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ustomProperty74.bin" ContentType="application/vnd.openxmlformats-officedocument.spreadsheetml.customProperty"/>
  <Override PartName="/xl/customProperty75.bin" ContentType="application/vnd.openxmlformats-officedocument.spreadsheetml.customProperty"/>
  <Override PartName="/xl/customProperty7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codeName="ThisWorkbook" defaultThemeVersion="124226"/>
  <xr:revisionPtr revIDLastSave="221" documentId="8_{483A82D6-FC25-48E1-87D6-F5D44631FD92}" xr6:coauthVersionLast="47" xr6:coauthVersionMax="47" xr10:uidLastSave="{497C2278-5DC2-4F22-A416-C20472189BFE}"/>
  <bookViews>
    <workbookView xWindow="-120" yWindow="-120" windowWidth="29040" windowHeight="15840" tabRatio="858" firstSheet="3" activeTab="3" xr2:uid="{00000000-000D-0000-FFFF-FFFF00000000}"/>
  </bookViews>
  <sheets>
    <sheet name="Cover Page" sheetId="67" r:id="rId1"/>
    <sheet name="ToC" sheetId="100" r:id="rId2"/>
    <sheet name="Formatting and References" sheetId="101" r:id="rId3"/>
    <sheet name="1-BaseTRR" sheetId="1" r:id="rId4"/>
    <sheet name="2-ITRR" sheetId="2" r:id="rId5"/>
    <sheet name="3-True-upTRR" sheetId="47" r:id="rId6"/>
    <sheet name="4-ATA" sheetId="5" r:id="rId7"/>
    <sheet name="5-CostofCap-1" sheetId="68" r:id="rId8"/>
    <sheet name="5-CostofCap-2" sheetId="69" r:id="rId9"/>
    <sheet name="5-CostofCap-3" sheetId="70" r:id="rId10"/>
    <sheet name="5-CostofCap-4" sheetId="71" r:id="rId11"/>
    <sheet name="6-PlantJurisdiction" sheetId="72" r:id="rId12"/>
    <sheet name="7-PlantInService" sheetId="73" r:id="rId13"/>
    <sheet name="8-AbandonedPlant" sheetId="102" r:id="rId14"/>
    <sheet name="9-PlantAdditions" sheetId="75" r:id="rId15"/>
    <sheet name="10-AccDep" sheetId="76" r:id="rId16"/>
    <sheet name="11-Depreciation" sheetId="77" r:id="rId17"/>
    <sheet name="12-DepRates" sheetId="78" r:id="rId18"/>
    <sheet name="13-WorkCap" sheetId="79" r:id="rId19"/>
    <sheet name="14-ADIT" sheetId="80" r:id="rId20"/>
    <sheet name="15-NUC" sheetId="81" r:id="rId21"/>
    <sheet name="16-UnfundedReserves" sheetId="82" r:id="rId22"/>
    <sheet name="17-RegAssets-1" sheetId="83" r:id="rId23"/>
    <sheet name="17-RegAssets-2" sheetId="103" r:id="rId24"/>
    <sheet name="17-RegAssets-3" sheetId="104" r:id="rId25"/>
    <sheet name="18-OandM" sheetId="84" r:id="rId26"/>
    <sheet name="19-AandG" sheetId="85" r:id="rId27"/>
    <sheet name="20-RevenueCredits" sheetId="86" r:id="rId28"/>
    <sheet name="21-NPandS" sheetId="87" r:id="rId29"/>
    <sheet name="22-TaxRates" sheetId="88" r:id="rId30"/>
    <sheet name="23-RetailSGTax" sheetId="89" r:id="rId31"/>
    <sheet name="24-Allocators" sheetId="90" r:id="rId32"/>
    <sheet name="25-RFandUFactors" sheetId="91" r:id="rId33"/>
    <sheet name="26-WholesaleTRRs" sheetId="92" r:id="rId34"/>
    <sheet name="27-WholesaleRates" sheetId="93" r:id="rId35"/>
    <sheet name="28-GrossLoad" sheetId="94" r:id="rId36"/>
    <sheet name="29-RetailRates-1" sheetId="105" r:id="rId37"/>
    <sheet name="29-RetailRates-2" sheetId="106" r:id="rId38"/>
  </sheets>
  <externalReferences>
    <externalReference r:id="rId39"/>
    <externalReference r:id="rId40"/>
  </externalReferences>
  <definedNames>
    <definedName name="\a" localSheetId="24">#REF!</definedName>
    <definedName name="\a">#REF!</definedName>
    <definedName name="\b" localSheetId="24">#REF!</definedName>
    <definedName name="\b">#REF!</definedName>
    <definedName name="\x" localSheetId="24">#REF!</definedName>
    <definedName name="\x">#REF!</definedName>
    <definedName name="___huh2" localSheetId="24" hidden="1">{#N/A,#N/A,FALSE,"Dist Rev at PR ";#N/A,#N/A,FALSE,"Spec";#N/A,#N/A,FALSE,"Res";#N/A,#N/A,FALSE,"Small L&amp;P";#N/A,#N/A,FALSE,"Medium L&amp;P";#N/A,#N/A,FALSE,"E-19";#N/A,#N/A,FALSE,"E-20";#N/A,#N/A,FALSE,"Strtlts &amp; Standby";#N/A,#N/A,FALSE,"A-RTP";#N/A,#N/A,FALSE,"2003mixeduse"}</definedName>
    <definedName name="___huh2" localSheetId="13"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9" hidden="1">#REF!</definedName>
    <definedName name="__123Graph_AGRAPH" localSheetId="9" hidden="1">#REF!</definedName>
    <definedName name="__123Graph_AGRS" localSheetId="9" hidden="1">#REF!</definedName>
    <definedName name="__123Graph_B" localSheetId="9" hidden="1">#REF!</definedName>
    <definedName name="__123Graph_BGRAPH" localSheetId="9" hidden="1">#REF!</definedName>
    <definedName name="__123Graph_BGRS" localSheetId="9" hidden="1">#REF!</definedName>
    <definedName name="__123Graph_C" localSheetId="9" hidden="1">#REF!</definedName>
    <definedName name="__123Graph_CGRAPH" localSheetId="9" hidden="1">#REF!</definedName>
    <definedName name="__123Graph_CGRS" localSheetId="9" hidden="1">#REF!</definedName>
    <definedName name="__123Graph_DGRAPH" localSheetId="9" hidden="1">#REF!</definedName>
    <definedName name="__123Graph_DGRS" localSheetId="9" hidden="1">#REF!</definedName>
    <definedName name="__123Graph_LBL_A" localSheetId="9" hidden="1">#REF!</definedName>
    <definedName name="__123Graph_LBL_EGRAPH" localSheetId="9" hidden="1">#REF!</definedName>
    <definedName name="__123Graph_LBL_EGRS" localSheetId="9" hidden="1">#REF!</definedName>
    <definedName name="__123Graph_X" localSheetId="9" hidden="1">#REF!</definedName>
    <definedName name="_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4"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4" hidden="1">{"Summary","1",FALSE,"Summary"}</definedName>
    <definedName name="__foo4" hidden="1">{"Summary","1",FALSE,"Summary"}</definedName>
    <definedName name="__FPMExcelClient_CellBasedFunctionStatus" localSheetId="26">"2_1_2_2_2_2"</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5" hidden="1">#REF!</definedName>
    <definedName name="_bdm.DA90C587C9374C5A8F37C549C9BCDD3D.edm" localSheetId="27" hidden="1">#REF!</definedName>
    <definedName name="_bdm.DA90C587C9374C5A8F37C549C9BCDD3D.edm" localSheetId="28"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32"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5" hidden="1">#REF!</definedName>
    <definedName name="_bdm.DA90C587C9374C5A8F37C549C9BCDD3D.edm" localSheetId="7" hidden="1">#REF!</definedName>
    <definedName name="_bdm.DA90C587C9374C5A8F37C549C9BCDD3D.edm" localSheetId="8" hidden="1">#REF!</definedName>
    <definedName name="_bdm.DA90C587C9374C5A8F37C549C9BCDD3D.edm" localSheetId="9"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4" hidden="1">#REF!</definedName>
    <definedName name="_bdm.DA90C587C9374C5A8F37C549C9BCDD3D.edm" hidden="1">#REF!</definedName>
    <definedName name="_Fill" hidden="1">#REF!</definedName>
    <definedName name="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4"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4" hidden="1">{"Summary","1",FALSE,"Summary"}</definedName>
    <definedName name="_foo4" hidden="1">{"Summary","1",FALSE,"Summary"}</definedName>
    <definedName name="_huh2" localSheetId="24" hidden="1">{#N/A,#N/A,FALSE,"Dist Rev at PR ";#N/A,#N/A,FALSE,"Spec";#N/A,#N/A,FALSE,"Res";#N/A,#N/A,FALSE,"Small L&amp;P";#N/A,#N/A,FALSE,"Medium L&amp;P";#N/A,#N/A,FALSE,"E-19";#N/A,#N/A,FALSE,"E-20";#N/A,#N/A,FALSE,"Strtlts &amp; Standby";#N/A,#N/A,FALSE,"A-RTP";#N/A,#N/A,FALSE,"2003mixeduse"}</definedName>
    <definedName name="_huh2" localSheetId="13"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5"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localSheetId="32" hidden="1">#REF!</definedName>
    <definedName name="_Key1" localSheetId="33" hidden="1">#REF!</definedName>
    <definedName name="_Key1" localSheetId="34" hidden="1">#REF!</definedName>
    <definedName name="_Key1" localSheetId="35" hidden="1">#REF!</definedName>
    <definedName name="_Key1" localSheetId="5" hidden="1">#REF!</definedName>
    <definedName name="_Key1" localSheetId="7" hidden="1">#REF!</definedName>
    <definedName name="_Key1" localSheetId="8" hidden="1">#REF!</definedName>
    <definedName name="_Key1" localSheetId="9"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5"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localSheetId="32" hidden="1">#REF!</definedName>
    <definedName name="_Key2" localSheetId="33" hidden="1">#REF!</definedName>
    <definedName name="_Key2" localSheetId="34" hidden="1">#REF!</definedName>
    <definedName name="_Key2" localSheetId="35" hidden="1">#REF!</definedName>
    <definedName name="_Key2" localSheetId="5" hidden="1">#REF!</definedName>
    <definedName name="_Key2" localSheetId="7" hidden="1">#REF!</definedName>
    <definedName name="_Key2" localSheetId="8" hidden="1">#REF!</definedName>
    <definedName name="_Key2" localSheetId="9" hidden="1">#REF!</definedName>
    <definedName name="_Key2" localSheetId="11" hidden="1">#REF!</definedName>
    <definedName name="_Key2" localSheetId="12" hidden="1">#REF!</definedName>
    <definedName name="_Key2" localSheetId="13" hidden="1">#REF!</definedName>
    <definedName name="_Key2" localSheetId="14" hidden="1">#REF!</definedName>
    <definedName name="_Key2" hidden="1">#REF!</definedName>
    <definedName name="_L2" localSheetId="24" hidden="1">{"PI_Data",#N/A,TRUE,"P&amp;I Data"}</definedName>
    <definedName name="_L2" hidden="1">{"PI_Data",#N/A,TRUE,"P&amp;I Data"}</definedName>
    <definedName name="_m2" localSheetId="24" hidden="1">{"PI_Data",#N/A,TRUE,"P&amp;I Data"}</definedName>
    <definedName name="_m2" hidden="1">{"PI_Data",#N/A,TRUE,"P&amp;I Data"}</definedName>
    <definedName name="_Order1">255</definedName>
    <definedName name="_Order2">255</definedName>
    <definedName name="_p2" localSheetId="24" hidden="1">{"PI_Data",#N/A,TRUE,"P&amp;I Data"}</definedName>
    <definedName name="_p2" hidden="1">{"PI_Data",#N/A,TRUE,"P&amp;I Data"}</definedName>
    <definedName name="_Regression_Int">1</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5"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localSheetId="32" hidden="1">#REF!</definedName>
    <definedName name="_Sort" localSheetId="33" hidden="1">#REF!</definedName>
    <definedName name="_Sort" localSheetId="34" hidden="1">#REF!</definedName>
    <definedName name="_Sort" localSheetId="35" hidden="1">#REF!</definedName>
    <definedName name="_Sort" localSheetId="5" hidden="1">#REF!</definedName>
    <definedName name="_Sort" localSheetId="7" hidden="1">#REF!</definedName>
    <definedName name="_Sort" localSheetId="8" hidden="1">#REF!</definedName>
    <definedName name="_Sort" localSheetId="9"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hidden="1">#REF!</definedName>
    <definedName name="_t2" localSheetId="24" hidden="1">{"PI_Data",#N/A,TRUE,"P&amp;I Data"}</definedName>
    <definedName name="_t2" hidden="1">{"PI_Data",#N/A,TRUE,"P&amp;I Data"}</definedName>
    <definedName name="a" localSheetId="24" hidden="1">{#N/A,#N/A,FALSE,"CTC Summary - EOY";#N/A,#N/A,FALSE,"CTC Summary - Wtavg"}</definedName>
    <definedName name="a" hidden="1">{#N/A,#N/A,FALSE,"CTC Summary - EOY";#N/A,#N/A,FALSE,"CTC Summary - Wtavg"}</definedName>
    <definedName name="ACCELERATED2" localSheetId="24" hidden="1">{#N/A,#N/A,FALSE,"CTC Summary - EOY";#N/A,#N/A,FALSE,"CTC Summary - Wtavg"}</definedName>
    <definedName name="ACCELERATED2" hidden="1">{#N/A,#N/A,FALSE,"CTC Summary - EOY";#N/A,#N/A,FALSE,"CTC Summary - Wtavg"}</definedName>
    <definedName name="ACCELLERATED1X" localSheetId="24" hidden="1">{#N/A,#N/A,FALSE,"CTC Summary - EOY";#N/A,#N/A,FALSE,"CTC Summary - Wtavg"}</definedName>
    <definedName name="ACCELLERATED1X" hidden="1">{#N/A,#N/A,FALSE,"CTC Summary - EOY";#N/A,#N/A,FALSE,"CTC Summary - Wtavg"}</definedName>
    <definedName name="again" localSheetId="24" hidden="1">{#N/A,#N/A,FALSE,"ND Rev at Pres Rates";#N/A,#N/A,FALSE,"Res - Unadj sales";#N/A,#N/A,FALSE,"Small L&amp;P";#N/A,#N/A,FALSE,"Medium L&amp;P";#N/A,#N/A,FALSE,"E-19";#N/A,#N/A,FALSE,"E-20";#N/A,#N/A,FALSE,"Strtlts &amp; Standby";#N/A,#N/A,FALSE,"AG";#N/A,#N/A,FALSE,"A-RTP";#N/A,#N/A,FALSE,"Spec"}</definedName>
    <definedName name="again" localSheetId="13"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localSheetId="24" hidden="1">{#N/A,#N/A,FALSE,"CTC Summary - EOY";#N/A,#N/A,FALSE,"CTC Summary - Wtavg"}</definedName>
    <definedName name="April" hidden="1">{#N/A,#N/A,FALSE,"CTC Summary - EOY";#N/A,#N/A,FALSE,"CTC Summary - Wtavg"}</definedName>
    <definedName name="AS2DocOpenMode">"AS2DocumentEdit"</definedName>
    <definedName name="August" localSheetId="24" hidden="1">{#N/A,#N/A,FALSE,"CTC Summary - EOY";#N/A,#N/A,FALSE,"CTC Summary - Wtavg"}</definedName>
    <definedName name="August" hidden="1">{#N/A,#N/A,FALSE,"CTC Summary - EOY";#N/A,#N/A,FALSE,"CTC Summary - Wtavg"}</definedName>
    <definedName name="b" localSheetId="24" hidden="1">{#N/A,#N/A,FALSE,"CTC Summary - EOY";#N/A,#N/A,FALSE,"CTC Summary - Wtavg"}</definedName>
    <definedName name="b" hidden="1">{#N/A,#N/A,FALSE,"CTC Summary - EOY";#N/A,#N/A,FALSE,"CTC Summary - Wtavg"}</definedName>
    <definedName name="CIQWBGuid" hidden="1">"5c45d50c-fbb0-4040-9a33-7ec34da71b69"</definedName>
    <definedName name="copy" localSheetId="24" hidden="1">{#N/A,#N/A,FALSE,"Dist Rev at PR ";#N/A,#N/A,FALSE,"Spec";#N/A,#N/A,FALSE,"Res";#N/A,#N/A,FALSE,"Small L&amp;P";#N/A,#N/A,FALSE,"Medium L&amp;P";#N/A,#N/A,FALSE,"E-19";#N/A,#N/A,FALSE,"E-20";#N/A,#N/A,FALSE,"Strtlts &amp; Standby";#N/A,#N/A,FALSE,"A-RTP";#N/A,#N/A,FALSE,"2003mixeduse"}</definedName>
    <definedName name="copy" localSheetId="13"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4" hidden="1">{#N/A,#N/A,FALSE,"Workpaper Tables 4-1 &amp; 4-2";#N/A,#N/A,FALSE,"Revenue Allocation Results";#N/A,#N/A,FALSE,"FERC Rev @ PR";#N/A,#N/A,FALSE,"Distribution Revenue Allocation";#N/A,#N/A,FALSE,"Nonallocated Revenues ";#N/A,#N/A,FALSE,"2000mixuse";#N/A,#N/A,FALSE,"MC Revenues- 00 sales, 96 MC's"}</definedName>
    <definedName name="copyprint" localSheetId="13"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4" hidden="1">{#N/A,#N/A,FALSE,"RRQ inputs ";#N/A,#N/A,FALSE,"FERC Rev @ PR";#N/A,#N/A,FALSE,"Distribution Revenue Allocation";#N/A,#N/A,FALSE,"Nonallocated Revenues";#N/A,#N/A,FALSE,"MC Revenues-03 sales, 96 MC's";#N/A,#N/A,FALSE,"FTA"}</definedName>
    <definedName name="copyrevalloc" localSheetId="13"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4" hidden="1">{#N/A,#N/A,FALSE,"ND Rev at Pres Rates";#N/A,#N/A,FALSE,"Res - Unadj";#N/A,#N/A,FALSE,"Small L&amp;P";#N/A,#N/A,FALSE,"Medium L&amp;P";#N/A,#N/A,FALSE,"E-19";#N/A,#N/A,FALSE,"E-20";#N/A,#N/A,FALSE,"A-RTP";#N/A,#N/A,FALSE,"Strtlts &amp; Standby";#N/A,#N/A,FALSE,"AG";#N/A,#N/A,FALSE,"2001mixeduse"}</definedName>
    <definedName name="copyschudel" localSheetId="13"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localSheetId="24" hidden="1">{"PI_Data",#N/A,TRUE,"P&amp;I Data"}</definedName>
    <definedName name="CTIT" hidden="1">{"PI_Data",#N/A,TRUE,"P&amp;I Data"}</definedName>
    <definedName name="d" localSheetId="24" hidden="1">{#N/A,#N/A,FALSE,"CTC Summary - EOY";#N/A,#N/A,FALSE,"CTC Summary - Wtavg"}</definedName>
    <definedName name="d" hidden="1">{#N/A,#N/A,FALSE,"CTC Summary - EOY";#N/A,#N/A,FALSE,"CTC Summary - Wtavg"}</definedName>
    <definedName name="DeleteMe" localSheetId="24"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e" localSheetId="24" hidden="1">{#N/A,#N/A,FALSE,"CTC Summary - EOY";#N/A,#N/A,FALSE,"CTC Summary - Wtavg"}</definedName>
    <definedName name="e" hidden="1">{#N/A,#N/A,FALSE,"CTC Summary - EOY";#N/A,#N/A,FALSE,"CTC Summary - Wtavg"}</definedName>
    <definedName name="ED">"3W3Y8WU9D4KB8I8XZYLB5WWMT"</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32"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9" hidden="1">{"PI_Data",#N/A,TRUE,"P&amp;I Data"}</definedName>
    <definedName name="ee" localSheetId="11" hidden="1">{"PI_Data",#N/A,TRUE,"P&amp;I Data"}</definedName>
    <definedName name="ee" localSheetId="12" hidden="1">{"PI_Data",#N/A,TRUE,"P&amp;I Data"}</definedName>
    <definedName name="ee" localSheetId="13" hidden="1">{"PI_Data",#N/A,TRUE,"P&amp;I Data"}</definedName>
    <definedName name="ee" localSheetId="14" hidden="1">{"PI_Data",#N/A,TRUE,"P&amp;I Data"}</definedName>
    <definedName name="ee"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4" hidden="1">{"PI_Data",#N/A,TRUE,"P&amp;I Data"}</definedName>
    <definedName name="ef" localSheetId="25" hidden="1">{"PI_Data",#N/A,TRUE,"P&amp;I Data"}</definedName>
    <definedName name="ef" localSheetId="27" hidden="1">{"PI_Data",#N/A,TRUE,"P&amp;I Data"}</definedName>
    <definedName name="ef" localSheetId="28"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32"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9" hidden="1">{"PI_Data",#N/A,TRUE,"P&amp;I Data"}</definedName>
    <definedName name="ef" localSheetId="11" hidden="1">{"PI_Data",#N/A,TRUE,"P&amp;I Data"}</definedName>
    <definedName name="ef" localSheetId="12" hidden="1">{"PI_Data",#N/A,TRUE,"P&amp;I Data"}</definedName>
    <definedName name="ef" localSheetId="13" hidden="1">{"PI_Data",#N/A,TRUE,"P&amp;I Data"}</definedName>
    <definedName name="ef" localSheetId="14" hidden="1">{"PI_Data",#N/A,TRUE,"P&amp;I Data"}</definedName>
    <definedName name="ef" hidden="1">{"PI_Data",#N/A,TRUE,"P&amp;I Data"}</definedName>
    <definedName name="EV__EVCOM_OPTIONS__" hidden="1">8</definedName>
    <definedName name="EV__EXPOPTIONS__" hidden="1">1</definedName>
    <definedName name="EV__LASTREFTIME__" localSheetId="23"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localSheetId="24" hidden="1">{#N/A,#N/A,FALSE,"CTC Summary - EOY";#N/A,#N/A,FALSE,"CTC Summary - Wtavg"}</definedName>
    <definedName name="FERC" hidden="1">{#N/A,#N/A,FALSE,"CTC Summary - EOY";#N/A,#N/A,FALSE,"CTC Summary - Wtavg"}</definedName>
    <definedName name="foo"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24" hidden="1">{#N/A,#N/A,FALSE,"Dist Rev at PR ";#N/A,#N/A,FALSE,"Spec";#N/A,#N/A,FALSE,"Res";#N/A,#N/A,FALSE,"Small L&amp;P";#N/A,#N/A,FALSE,"Medium L&amp;P";#N/A,#N/A,FALSE,"E-19";#N/A,#N/A,FALSE,"E-20";#N/A,#N/A,FALSE,"Strtlts &amp; Standby";#N/A,#N/A,FALSE,"A-RTP";#N/A,#N/A,FALSE,"2003mixeduse"}</definedName>
    <definedName name="huh" localSheetId="13"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4" hidden="1">{#N/A,#N/A,FALSE,"ND Rev at Pres Rates";#N/A,#N/A,FALSE,"Res - Unadj sales";#N/A,#N/A,FALSE,"Small L&amp;P";#N/A,#N/A,FALSE,"Medium L&amp;P";#N/A,#N/A,FALSE,"E-19";#N/A,#N/A,FALSE,"E-20";#N/A,#N/A,FALSE,"Strtlts &amp; Standby";#N/A,#N/A,FALSE,"AG";#N/A,#N/A,FALSE,"A-RTP";#N/A,#N/A,FALSE,"Spec"}</definedName>
    <definedName name="huhnd" localSheetId="13"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4" hidden="1">{#N/A,#N/A,FALSE,"ND Rev at Pres Rates";#N/A,#N/A,FALSE,"Res - Unadj sales";#N/A,#N/A,FALSE,"Small L&amp;P";#N/A,#N/A,FALSE,"Medium L&amp;P";#N/A,#N/A,FALSE,"E-19";#N/A,#N/A,FALSE,"E-20";#N/A,#N/A,FALSE,"Strtlts &amp; Standby";#N/A,#N/A,FALSE,"AG";#N/A,#N/A,FALSE,"A-RTP";#N/A,#N/A,FALSE,"Spec"}</definedName>
    <definedName name="huhnd2" localSheetId="13"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4" hidden="1">{#N/A,#N/A,FALSE,"Workpaper Tables 4-1 &amp; 4-2";#N/A,#N/A,FALSE,"Revenue Allocation Results";#N/A,#N/A,FALSE,"FERC Rev @ PR";#N/A,#N/A,FALSE,"Distribution Revenue Allocation";#N/A,#N/A,FALSE,"Nonallocated Revenues ";#N/A,#N/A,FALSE,"2000mixuse";#N/A,#N/A,FALSE,"MC Revenues- 00 sales, 96 MC's"}</definedName>
    <definedName name="huhprint" localSheetId="13"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4" hidden="1">{#N/A,#N/A,FALSE,"RRQ inputs ";#N/A,#N/A,FALSE,"FERC Rev @ PR";#N/A,#N/A,FALSE,"Distribution Revenue Allocation";#N/A,#N/A,FALSE,"Nonallocated Revenues";#N/A,#N/A,FALSE,"MC Revenues-03 sales, 96 MC's";#N/A,#N/A,FALSE,"FTA"}</definedName>
    <definedName name="huhrevalloc" localSheetId="13"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4" hidden="1">{#N/A,#N/A,FALSE,"ND Rev at Pres Rates";#N/A,#N/A,FALSE,"Res - Unadj";#N/A,#N/A,FALSE,"Small L&amp;P";#N/A,#N/A,FALSE,"Medium L&amp;P";#N/A,#N/A,FALSE,"E-19";#N/A,#N/A,FALSE,"E-20";#N/A,#N/A,FALSE,"A-RTP";#N/A,#N/A,FALSE,"Strtlts &amp; Standby";#N/A,#N/A,FALSE,"AG";#N/A,#N/A,FALSE,"2001mixeduse"}</definedName>
    <definedName name="huhschudel" localSheetId="13"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localSheetId="24" hidden="1">{#N/A,#N/A,FALSE,"CTC Summary - EOY";#N/A,#N/A,FALSE,"CTC Summary - Wtavg"}</definedName>
    <definedName name="July" hidden="1">{#N/A,#N/A,FALSE,"CTC Summary - EOY";#N/A,#N/A,FALSE,"CTC Summary - Wtavg"}</definedName>
    <definedName name="June" localSheetId="24"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4" hidden="1">{"PI_Data",#N/A,TRUE,"P&amp;I Data"}</definedName>
    <definedName name="L" localSheetId="25" hidden="1">{"PI_Data",#N/A,TRUE,"P&amp;I Data"}</definedName>
    <definedName name="L" localSheetId="27" hidden="1">{"PI_Data",#N/A,TRUE,"P&amp;I Data"}</definedName>
    <definedName name="L" localSheetId="28"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32"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9" hidden="1">{"PI_Data",#N/A,TRUE,"P&amp;I Data"}</definedName>
    <definedName name="L" localSheetId="11" hidden="1">{"PI_Data",#N/A,TRUE,"P&amp;I Data"}</definedName>
    <definedName name="L" localSheetId="12" hidden="1">{"PI_Data",#N/A,TRUE,"P&amp;I Data"}</definedName>
    <definedName name="L" localSheetId="13" hidden="1">{"PI_Data",#N/A,TRUE,"P&amp;I Data"}</definedName>
    <definedName name="L" localSheetId="14" hidden="1">{"PI_Data",#N/A,TRUE,"P&amp;I Data"}</definedName>
    <definedName name="L" hidden="1">{"PI_Data",#N/A,TRUE,"P&amp;I Data"}</definedName>
    <definedName name="L2X" localSheetId="24" hidden="1">{"PI_Data",#N/A,TRUE,"P&amp;I Data"}</definedName>
    <definedName name="L2X" hidden="1">{"PI_Data",#N/A,TRUE,"P&amp;I Data"}</definedName>
    <definedName name="left">#REF!</definedName>
    <definedName name="LL" localSheetId="24" hidden="1">{"PI_Data",#N/A,TRUE,"P&amp;I Data"}</definedName>
    <definedName name="LL"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4" hidden="1">{"PI_Data",#N/A,TRUE,"P&amp;I Data"}</definedName>
    <definedName name="m" localSheetId="25" hidden="1">{"PI_Data",#N/A,TRUE,"P&amp;I Data"}</definedName>
    <definedName name="m" localSheetId="27" hidden="1">{"PI_Data",#N/A,TRUE,"P&amp;I Data"}</definedName>
    <definedName name="m" localSheetId="28"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32"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9" hidden="1">{"PI_Data",#N/A,TRUE,"P&amp;I Data"}</definedName>
    <definedName name="m" localSheetId="11" hidden="1">{"PI_Data",#N/A,TRUE,"P&amp;I Data"}</definedName>
    <definedName name="m" localSheetId="12" hidden="1">{"PI_Data",#N/A,TRUE,"P&amp;I Data"}</definedName>
    <definedName name="m" localSheetId="13" hidden="1">{"PI_Data",#N/A,TRUE,"P&amp;I Data"}</definedName>
    <definedName name="m" localSheetId="14" hidden="1">{"PI_Data",#N/A,TRUE,"P&amp;I Data"}</definedName>
    <definedName name="m" hidden="1">{"PI_Data",#N/A,TRUE,"P&amp;I Data"}</definedName>
    <definedName name="M2X" localSheetId="24" hidden="1">{"PI_Data",#N/A,TRUE,"P&amp;I Data"}</definedName>
    <definedName name="M2X" hidden="1">{"PI_Data",#N/A,TRUE,"P&amp;I Data"}</definedName>
    <definedName name="May" localSheetId="24" hidden="1">{#N/A,#N/A,FALSE,"CTC Summary - EOY";#N/A,#N/A,FALSE,"CTC Summary - Wtavg"}</definedName>
    <definedName name="May" hidden="1">{#N/A,#N/A,FALSE,"CTC Summary - EOY";#N/A,#N/A,FALSE,"CTC Summary - Wtavg"}</definedName>
    <definedName name="MEWarning" hidden="1">1</definedName>
    <definedName name="MM" localSheetId="24" hidden="1">{"PI_Data",#N/A,TRUE,"P&amp;I Data"}</definedName>
    <definedName name="MM" hidden="1">{"PI_Data",#N/A,TRUE,"P&amp;I Data"}</definedName>
    <definedName name="n" localSheetId="24" hidden="1">{#N/A,#N/A,FALSE,"CTC Summary - EOY";#N/A,#N/A,FALSE,"CTC Summary - Wtavg"}</definedName>
    <definedName name="n" hidden="1">{#N/A,#N/A,FALSE,"CTC Summary - EOY";#N/A,#N/A,FALSE,"CTC Summary - Wtavg"}</definedName>
    <definedName name="New" localSheetId="24" hidden="1">{#N/A,#N/A,FALSE,"CTC Summary - EOY";#N/A,#N/A,FALSE,"CTC Summary - Wtavg"}</definedName>
    <definedName name="New" hidden="1">{#N/A,#N/A,FALSE,"CTC Summary - EOY";#N/A,#N/A,FALSE,"CTC Summary - Wtavg"}</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32"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9" hidden="1">{"PI_Data",#N/A,TRUE,"P&amp;I Data"}</definedName>
    <definedName name="p" localSheetId="11" hidden="1">{"PI_Data",#N/A,TRUE,"P&amp;I Data"}</definedName>
    <definedName name="p" localSheetId="12" hidden="1">{"PI_Data",#N/A,TRUE,"P&amp;I Data"}</definedName>
    <definedName name="p" localSheetId="13" hidden="1">{"PI_Data",#N/A,TRUE,"P&amp;I Data"}</definedName>
    <definedName name="p" localSheetId="14" hidden="1">{"PI_Data",#N/A,TRUE,"P&amp;I Data"}</definedName>
    <definedName name="p" hidden="1">{"PI_Data",#N/A,TRUE,"P&amp;I Data"}</definedName>
    <definedName name="P2X" localSheetId="24" hidden="1">{"PI_Data",#N/A,TRUE,"P&amp;I Data"}</definedName>
    <definedName name="P2X" hidden="1">{"PI_Data",#N/A,TRUE,"P&amp;I Data"}</definedName>
    <definedName name="PIX" localSheetId="24" hidden="1">{"PI_Data",#N/A,TRUE,"P&amp;I Data"}</definedName>
    <definedName name="PIX" hidden="1">{"PI_Data",#N/A,TRUE,"P&amp;I Data"}</definedName>
    <definedName name="PP" localSheetId="24" hidden="1">{"PI_Data",#N/A,TRUE,"P&amp;I Data"}</definedName>
    <definedName name="PP" hidden="1">{"PI_Data",#N/A,TRUE,"P&amp;I Data"}</definedName>
    <definedName name="ppppppppppppppppppppppppppppppp" localSheetId="24" hidden="1">{"PI_Data",#N/A,TRUE,"P&amp;I Data"}</definedName>
    <definedName name="ppppppppppppppppppppppppppppppp" hidden="1">{"PI_Data",#N/A,TRUE,"P&amp;I Data"}</definedName>
    <definedName name="_xlnm.Print_Area" localSheetId="15">'10-AccDep'!$A$1:$R$136</definedName>
    <definedName name="_xlnm.Print_Area" localSheetId="18">'13-WorkCap'!$A$1:$J$69</definedName>
    <definedName name="_xlnm.Print_Area" localSheetId="19">'14-ADIT'!$A$1:$N$189</definedName>
    <definedName name="_xlnm.Print_Area" localSheetId="20">'15-NUC'!$A$1:$G$20</definedName>
    <definedName name="_xlnm.Print_Area" localSheetId="22">'17-RegAssets-1'!$A$1:$K$73</definedName>
    <definedName name="_xlnm.Print_Area" localSheetId="25">'18-OandM'!$A$1:$Q$47</definedName>
    <definedName name="_xlnm.Print_Area" localSheetId="26">'19-AandG'!$A$1:$N$78</definedName>
    <definedName name="_xlnm.Print_Area" localSheetId="27">'20-RevenueCredits'!$A$1:$K$70</definedName>
    <definedName name="_xlnm.Print_Area" localSheetId="28">'21-NPandS'!$A$1:$G$44</definedName>
    <definedName name="_xlnm.Print_Area" localSheetId="29">'22-TaxRates'!$A$1:$F$16</definedName>
    <definedName name="_xlnm.Print_Area" localSheetId="30">'23-RetailSGTax'!$A$1:$K$68</definedName>
    <definedName name="_xlnm.Print_Area" localSheetId="31">'24-Allocators'!$A$1:$F$64</definedName>
    <definedName name="_xlnm.Print_Area" localSheetId="32">'25-RFandUFactors'!$A$1:$G$25</definedName>
    <definedName name="_xlnm.Print_Area" localSheetId="33">'26-WholesaleTRRs'!$A$1:$I$59</definedName>
    <definedName name="_xlnm.Print_Area" localSheetId="35">'28-GrossLoad'!$A$1:$F$13</definedName>
    <definedName name="_xlnm.Print_Area" localSheetId="4">'2-ITRR'!$A$1:$G$35</definedName>
    <definedName name="_xlnm.Print_Area" localSheetId="5">'3-True-upTRR'!$A$1:$I$111</definedName>
    <definedName name="_xlnm.Print_Area" localSheetId="6">'4-ATA'!$A$1:$L$148</definedName>
    <definedName name="_xlnm.Print_Area" localSheetId="7">'5-CostofCap-1'!$A$1:$G$30</definedName>
    <definedName name="_xlnm.Print_Area" localSheetId="8">'5-CostofCap-2'!$A$1:$Q$57</definedName>
    <definedName name="_xlnm.Print_Area" localSheetId="9">'5-CostofCap-3'!$A$1:$H$25</definedName>
    <definedName name="_xlnm.Print_Area" localSheetId="10">'5-CostofCap-4'!$A$1:$K$47</definedName>
    <definedName name="_xlnm.Print_Area" localSheetId="11">'6-PlantJurisdiction'!$A$1:$J$29</definedName>
    <definedName name="_xlnm.Print_Area" localSheetId="12">'7-PlantInService'!$A$1:$R$136</definedName>
    <definedName name="_xlnm.Print_Area" localSheetId="13">'8-AbandonedPlant'!$A$1:$Q$22</definedName>
    <definedName name="_xlnm.Print_Area" localSheetId="0">'Cover Page'!$A$1:$F$23</definedName>
    <definedName name="Print_Area_MI" localSheetId="24">#REF!</definedName>
    <definedName name="Print_Area_MI">#REF!</definedName>
    <definedName name="_xlnm.Print_Titles" localSheetId="15">'10-AccDep'!$1:$2</definedName>
    <definedName name="_xlnm.Print_Titles" localSheetId="16">'11-Depreciation'!$1:$2</definedName>
    <definedName name="_xlnm.Print_Titles" localSheetId="18">'13-WorkCap'!$1:$2</definedName>
    <definedName name="_xlnm.Print_Titles" localSheetId="19">'14-ADIT'!$1:$2</definedName>
    <definedName name="_xlnm.Print_Titles" localSheetId="24">'17-RegAssets-3'!$A:$A</definedName>
    <definedName name="_xlnm.Print_Titles" localSheetId="3">'1-BaseTRR'!$1:$2</definedName>
    <definedName name="_xlnm.Print_Titles" localSheetId="5">'3-True-upTRR'!$1:$2</definedName>
    <definedName name="_xlnm.Print_Titles" localSheetId="6">'4-ATA'!$1:$2</definedName>
    <definedName name="_xlnm.Print_Titles" localSheetId="12">'7-PlantInService'!$1:$2</definedName>
    <definedName name="_xlnm.Print_Titles" localSheetId="14">'9-PlantAdditions'!$1:$5</definedName>
    <definedName name="q" localSheetId="24" hidden="1">#REF!</definedName>
    <definedName name="q" hidden="1">#REF!</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32"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9" hidden="1">{"PI_Data",#N/A,TRUE,"P&amp;I Data"}</definedName>
    <definedName name="qwer" localSheetId="11" hidden="1">{"PI_Data",#N/A,TRUE,"P&amp;I Data"}</definedName>
    <definedName name="qwer" localSheetId="12" hidden="1">{"PI_Data",#N/A,TRUE,"P&amp;I Data"}</definedName>
    <definedName name="qwer" localSheetId="13" hidden="1">{"PI_Data",#N/A,TRUE,"P&amp;I Data"}</definedName>
    <definedName name="qwer" localSheetId="14" hidden="1">{"PI_Data",#N/A,TRUE,"P&amp;I Data"}</definedName>
    <definedName name="qwer" hidden="1">{"PI_Data",#N/A,TRUE,"P&amp;I Data"}</definedName>
    <definedName name="QWER1" localSheetId="24" hidden="1">{"PI_Data",#N/A,TRUE,"P&amp;I Data"}</definedName>
    <definedName name="QWER1" hidden="1">{"PI_Data",#N/A,TRUE,"P&amp;I Data"}</definedName>
    <definedName name="qwer2" localSheetId="24" hidden="1">{"PI_Data",#N/A,TRUE,"P&amp;I Data"}</definedName>
    <definedName name="qwer2" hidden="1">{"PI_Data",#N/A,TRUE,"P&amp;I Data"}</definedName>
    <definedName name="QWERX" localSheetId="24"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3" hidden="1">23</definedName>
    <definedName name="SAPBEXrevision">9</definedName>
    <definedName name="SAPBEXsysID">"BPR"</definedName>
    <definedName name="SAPBEXwbID" localSheetId="23" hidden="1">"4HQ4VKTSPDVV7Z9R01RIJVVW7"</definedName>
    <definedName name="SAPBEXwbID">"3XY8MM4SHGBHT4B7F8XEIC63B"</definedName>
    <definedName name="SAPBEXwbID2" localSheetId="23" hidden="1">"43PJT8J5QINLSBNFYJLE3ZU45"</definedName>
    <definedName name="SAPBEXwbID2">"3W3Y8WU9D4KB8I8XZYLB5WWMT"</definedName>
    <definedName name="SAPCrosstab1">#REF!</definedName>
    <definedName name="SAPEXwbID1">"471C2VSNPC28U9XYPMV2AOH11"</definedName>
    <definedName name="sds" localSheetId="24" hidden="1">{"Summary","1",FALSE,"Summary"}</definedName>
    <definedName name="sds" hidden="1">{"Summary","1",FALSE,"Summary"}</definedName>
    <definedName name="sdsb" localSheetId="24" hidden="1">{"Summary","1",FALSE,"Summary"}</definedName>
    <definedName name="sdsb" hidden="1">{"Summary","1",FALSE,"Summary"}</definedName>
    <definedName name="sencount">1</definedName>
    <definedName name="solver_lin" hidden="1">0</definedName>
    <definedName name="solver_num" hidden="1">0</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5"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localSheetId="31" hidden="1">#REF!</definedName>
    <definedName name="solver_opt" localSheetId="32" hidden="1">#REF!</definedName>
    <definedName name="solver_opt" localSheetId="33" hidden="1">#REF!</definedName>
    <definedName name="solver_opt" localSheetId="34" hidden="1">#REF!</definedName>
    <definedName name="solver_opt" localSheetId="35" hidden="1">#REF!</definedName>
    <definedName name="solver_opt" localSheetId="5" hidden="1">#REF!</definedName>
    <definedName name="solver_opt" localSheetId="7" hidden="1">#REF!</definedName>
    <definedName name="solver_opt" localSheetId="8" hidden="1">#REF!</definedName>
    <definedName name="solver_opt" localSheetId="9" hidden="1">#REF!</definedName>
    <definedName name="solver_opt" localSheetId="11" hidden="1">#REF!</definedName>
    <definedName name="solver_opt" localSheetId="12" hidden="1">#REF!</definedName>
    <definedName name="solver_opt" localSheetId="13" hidden="1">#REF!</definedName>
    <definedName name="solver_opt" localSheetId="14" hidden="1">#REF!</definedName>
    <definedName name="solver_opt" hidden="1">#REF!</definedName>
    <definedName name="solver_typ" hidden="1">1</definedName>
    <definedName name="solver_val" hidden="1">0</definedName>
    <definedName name="ssd"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localSheetId="24" hidden="1">{#N/A,#N/A,FALSE,"CTC Summary - EOY";#N/A,#N/A,FALSE,"CTC Summary - Wtavg"}</definedName>
    <definedName name="Step2" hidden="1">{#N/A,#N/A,FALSE,"CTC Summary - EOY";#N/A,#N/A,FALSE,"CTC Summary - Wtavg"}</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32"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9" hidden="1">{"PI_Data",#N/A,TRUE,"P&amp;I Data"}</definedName>
    <definedName name="T" localSheetId="11" hidden="1">{"PI_Data",#N/A,TRUE,"P&amp;I Data"}</definedName>
    <definedName name="T" localSheetId="12" hidden="1">{"PI_Data",#N/A,TRUE,"P&amp;I Data"}</definedName>
    <definedName name="T" localSheetId="13" hidden="1">{"PI_Data",#N/A,TRUE,"P&amp;I Data"}</definedName>
    <definedName name="T" localSheetId="14" hidden="1">{"PI_Data",#N/A,TRUE,"P&amp;I Data"}</definedName>
    <definedName name="T" hidden="1">{"PI_Data",#N/A,TRUE,"P&amp;I Data"}</definedName>
    <definedName name="T2X" localSheetId="24" hidden="1">{"PI_Data",#N/A,TRUE,"P&amp;I Data"}</definedName>
    <definedName name="T2X"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4" hidden="1">{"PI_Data",#N/A,TRUE,"P&amp;I Data"}</definedName>
    <definedName name="test" localSheetId="25" hidden="1">{"PI_Data",#N/A,TRUE,"P&amp;I Data"}</definedName>
    <definedName name="test" localSheetId="27" hidden="1">{"PI_Data",#N/A,TRUE,"P&amp;I Data"}</definedName>
    <definedName name="test" localSheetId="28"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32"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9" hidden="1">{"PI_Data",#N/A,TRUE,"P&amp;I Data"}</definedName>
    <definedName name="test" localSheetId="11" hidden="1">{"PI_Data",#N/A,TRUE,"P&amp;I Data"}</definedName>
    <definedName name="test" localSheetId="12" hidden="1">{"PI_Data",#N/A,TRUE,"P&amp;I Data"}</definedName>
    <definedName name="test" localSheetId="13" hidden="1">{"PI_Data",#N/A,TRUE,"P&amp;I Data"}</definedName>
    <definedName name="test" localSheetId="14" hidden="1">{"PI_Data",#N/A,TRUE,"P&amp;I Data"}</definedName>
    <definedName name="test"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localSheetId="24" hidden="1">{"PI_Data",#N/A,TRUE,"P&amp;I Data"}</definedName>
    <definedName name="TT" hidden="1">{"PI_Data",#N/A,TRUE,"P&amp;I Data"}</definedName>
    <definedName name="ttttttttttttttttttttttaaaaaaaaaaaa" localSheetId="24" hidden="1">{"PI_Data",#N/A,TRUE,"P&amp;I Data"}</definedName>
    <definedName name="ttttttttttttttttttttttaaaaaaaaaaaa" hidden="1">{"PI_Data",#N/A,TRUE,"P&amp;I Data"}</definedName>
    <definedName name="UCC_500" localSheetId="24" hidden="1">'[1]1_1'!$Z$78:$AA$92</definedName>
    <definedName name="UCC_500" hidden="1">'[2]1_1'!$Z$78:$AA$92</definedName>
    <definedName name="UCC_510" localSheetId="24" hidden="1">'[1]1_1'!$Z$78:$AB$83</definedName>
    <definedName name="UCC_510" hidden="1">'[2]1_1'!$Z$78:$AB$83</definedName>
    <definedName name="UCC_800" localSheetId="24" hidden="1">'[1]1_1'!$Y$48:$Z$97</definedName>
    <definedName name="UCC_800" hidden="1">'[2]1_1'!$Y$48:$Z$97</definedName>
    <definedName name="UCC_801" localSheetId="24" hidden="1">'[1]1_1'!$Z$54:$AB$74</definedName>
    <definedName name="UCC_801" hidden="1">'[2]1_1'!$Z$54:$AB$74</definedName>
    <definedName name="UCC_802" localSheetId="24" hidden="1">'[1]1_1'!$Z$78:$AC$97</definedName>
    <definedName name="UCC_802" hidden="1">'[2]1_1'!$Z$78:$AC$97</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32"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9" hidden="1">{#N/A,#N/A,FALSE,"CTC Summary - EOY";#N/A,#N/A,FALSE,"CTC Summary - Wtavg"}</definedName>
    <definedName name="wrn.Accelerated." localSheetId="11" hidden="1">{#N/A,#N/A,FALSE,"CTC Summary - EOY";#N/A,#N/A,FALSE,"CTC Summary - Wtavg"}</definedName>
    <definedName name="wrn.Accelerated." localSheetId="12" hidden="1">{#N/A,#N/A,FALSE,"CTC Summary - EOY";#N/A,#N/A,FALSE,"CTC Summary - Wtavg"}</definedName>
    <definedName name="wrn.Accelerated." localSheetId="13" hidden="1">{#N/A,#N/A,FALSE,"CTC Summary - EOY";#N/A,#N/A,FALSE,"CTC Summary - Wtavg"}</definedName>
    <definedName name="wrn.Accelerated." localSheetId="14" hidden="1">{#N/A,#N/A,FALSE,"CTC Summary - EOY";#N/A,#N/A,FALSE,"CTC Summary - Wtavg"}</definedName>
    <definedName name="wrn.Accelerated."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32"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9" hidden="1">{#N/A,#N/A,FALSE,"CTC Summary - EOY";#N/A,#N/A,FALSE,"CTC Summary - Wtavg"}</definedName>
    <definedName name="wrn.accellerated1" localSheetId="11" hidden="1">{#N/A,#N/A,FALSE,"CTC Summary - EOY";#N/A,#N/A,FALSE,"CTC Summary - Wtavg"}</definedName>
    <definedName name="wrn.accellerated1" localSheetId="12"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hidden="1">{#N/A,#N/A,FALSE,"CTC Summary - EOY";#N/A,#N/A,FALSE,"CTC Summary - Wtavg"}</definedName>
    <definedName name="wrn.AG." localSheetId="24" hidden="1">{#N/A,#N/A,FALSE,"AG-1";#N/A,#N/A,FALSE,"AG-R";#N/A,#N/A,FALSE,"AG-V";#N/A,#N/A,FALSE,"AG-4";#N/A,#N/A,FALSE,"AG-5";#N/A,#N/A,FALSE,"AG-6";#N/A,#N/A,FALSE,"AG-7"}</definedName>
    <definedName name="wrn.AG." localSheetId="13" hidden="1">{#N/A,#N/A,FALSE,"AG-1";#N/A,#N/A,FALSE,"AG-R";#N/A,#N/A,FALSE,"AG-V";#N/A,#N/A,FALSE,"AG-4";#N/A,#N/A,FALSE,"AG-5";#N/A,#N/A,FALSE,"AG-6";#N/A,#N/A,FALSE,"AG-7"}</definedName>
    <definedName name="wrn.AG." hidden="1">{#N/A,#N/A,FALSE,"AG-1";#N/A,#N/A,FALSE,"AG-R";#N/A,#N/A,FALSE,"AG-V";#N/A,#N/A,FALSE,"AG-4";#N/A,#N/A,FALSE,"AG-5";#N/A,#N/A,FALSE,"AG-6";#N/A,#N/A,FALSE,"AG-7"}</definedName>
    <definedName name="wrn.AGa." localSheetId="24" hidden="1">{#N/A,#N/A,FALSE,"UN-AGRA";#N/A,#N/A,FALSE,"UN-AG1A";#N/A,#N/A,FALSE,"UN-AGVA";#N/A,#N/A,FALSE,"UN-AG4A ";#N/A,#N/A,FALSE,"UN-AG5A";#N/A,#N/A,FALSE,"UN-AG6A";#N/A,#N/A,FALSE,"Dist Calcs";#N/A,#N/A,FALSE,"7A-Avg.";#N/A,#N/A,FALSE,"7A Tier1-avg";#N/A,#N/A,FALSE,"7A Tier2-avg";#N/A,#N/A,FALSE,"Ag-7A Dist Calc"}</definedName>
    <definedName name="wrn.AGa." localSheetId="13"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4"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3"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24" hidden="1">{#N/A,#N/A,FALSE,"A-1, A-6, A-10, A-15";#N/A,#N/A,FALSE,"E-19 Firm";#N/A,#N/A,FALSE,"E-19 Nonfirm";#N/A,#N/A,FALSE,"E-20 Firm ";#N/A,#N/A,FALSE,"E-20 Nonfirm ";#N/A,#N/A,FALSE,"E-25";#N/A,#N/A,FALSE,"E-36, E-37";#N/A,#N/A,FALSE,"LS-1,-2,-3, TC-1, OL-1";#N/A,#N/A,FALSE,"Standby"}</definedName>
    <definedName name="wrn.comind." localSheetId="13"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3" hidden="1">{#N/A,#N/A,FALSE,"Dist Rev at PR ";#N/A,#N/A,FALSE,"Spec";#N/A,#N/A,FALSE,"Res";#N/A,#N/A,FALSE,"Small L&amp;P";#N/A,#N/A,FALSE,"Medium L&amp;P";#N/A,#N/A,FALSE,"E-19";#N/A,#N/A,FALSE,"E-20";#N/A,#N/A,FALSE,"Strtlts &amp; Standby";#N/A,#N/A,FALSE,"A-RTP";#N/A,#N/A,FALSE,"2003mixeduse"}</definedName>
    <definedName name="wrn.Distr." localSheetId="24" hidden="1">{#N/A,#N/A,FALSE,"Dist Rev at PR ";#N/A,#N/A,FALSE,"Spec";#N/A,#N/A,FALSE,"Res";#N/A,#N/A,FALSE,"Small L&amp;P";#N/A,#N/A,FALSE,"Medium L&amp;P";#N/A,#N/A,FALSE,"E-19";#N/A,#N/A,FALSE,"E-20";#N/A,#N/A,FALSE,"Strtlts &amp; Standby";#N/A,#N/A,FALSE,"A-RTP";#N/A,#N/A,FALSE,"2003mixeduse"}</definedName>
    <definedName name="wrn.Distr." localSheetId="13"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localSheetId="24" hidden="1">{"JE9DOLLARS",#N/A,FALSE,"JE9"}</definedName>
    <definedName name="wrn.JE9DOLLARS." hidden="1">{"JE9DOLLARS",#N/A,FALSE,"JE9"}</definedName>
    <definedName name="wrn.JE9DTHS." localSheetId="24" hidden="1">{"JE9DTHS",#N/A,FALSE,"JE9"}</definedName>
    <definedName name="wrn.JE9DTHS." hidden="1">{"JE9DTHS",#N/A,FALSE,"JE9"}</definedName>
    <definedName name="wrn.JE9MCF." localSheetId="24" hidden="1">{"JE9MCF",#N/A,FALSE,"JE9"}</definedName>
    <definedName name="wrn.JE9MCF." hidden="1">{"JE9MCF",#N/A,FALSE,"JE9"}</definedName>
    <definedName name="wrn.ND." localSheetId="23" hidden="1">{#N/A,#N/A,FALSE,"ND Rev at Pres Rates";#N/A,#N/A,FALSE,"Res - Unadj sales";#N/A,#N/A,FALSE,"Small L&amp;P";#N/A,#N/A,FALSE,"Medium L&amp;P";#N/A,#N/A,FALSE,"E-19";#N/A,#N/A,FALSE,"E-20";#N/A,#N/A,FALSE,"Strtlts &amp; Standby";#N/A,#N/A,FALSE,"AG";#N/A,#N/A,FALSE,"A-RTP";#N/A,#N/A,FALSE,"Spec"}</definedName>
    <definedName name="wrn.ND." localSheetId="24" hidden="1">{#N/A,#N/A,FALSE,"ND Rev at Pres Rates";#N/A,#N/A,FALSE,"Res - Unadj sales";#N/A,#N/A,FALSE,"Small L&amp;P";#N/A,#N/A,FALSE,"Medium L&amp;P";#N/A,#N/A,FALSE,"E-19";#N/A,#N/A,FALSE,"E-20";#N/A,#N/A,FALSE,"Strtlts &amp; Standby";#N/A,#N/A,FALSE,"AG";#N/A,#N/A,FALSE,"A-RTP";#N/A,#N/A,FALSE,"Spec"}</definedName>
    <definedName name="wrn.ND." localSheetId="13"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32"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9" hidden="1">{"PI_Data",#N/A,TRUE,"P&amp;I Data"}</definedName>
    <definedName name="wrn.PI_Report." localSheetId="11" hidden="1">{"PI_Data",#N/A,TRUE,"P&amp;I Data"}</definedName>
    <definedName name="wrn.PI_Report." localSheetId="12" hidden="1">{"PI_Data",#N/A,TRUE,"P&amp;I Data"}</definedName>
    <definedName name="wrn.PI_Report." localSheetId="13" hidden="1">{"PI_Data",#N/A,TRUE,"P&amp;I Data"}</definedName>
    <definedName name="wrn.PI_Report." localSheetId="14" hidden="1">{"PI_Data",#N/A,TRUE,"P&amp;I Data"}</definedName>
    <definedName name="wrn.PI_Report." hidden="1">{"PI_Data",#N/A,TRUE,"P&amp;I Data"}</definedName>
    <definedName name="wrn.Print._.1_8."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8"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11" hidden="1">{#N/A,#N/A,FALSE,"Transmission Revenue Allocation";"Marginal Cost Revenues",#N/A,FALSE,"MC Revenues- 01 sales, 96 MC's";#N/A,#N/A,FALSE,"1996 marginal costs -ECAC Adopt"}</definedName>
    <definedName name="wrn.printout." localSheetId="12" hidden="1">{#N/A,#N/A,FALSE,"Transmission Revenue Allocation";"Marginal Cost Revenues",#N/A,FALSE,"MC Revenues- 01 sales, 96 MC's";#N/A,#N/A,FALSE,"1996 marginal costs -ECAC Adopt"}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24" hidden="1">{#N/A,#N/A,FALSE,"E-1, EM, ES";#N/A,#N/A,FALSE,"ESR, ET";#N/A,#N/A,FALSE,"E-7, E-A7";#N/A,#N/A,FALSE,"E-8";#N/A,#N/A,FALSE,"E-9 A, B, C, D";#N/A,#N/A,FALSE,"EL-1, EML";#N/A,#N/A,FALSE,"ESL, ESRL";#N/A,#N/A,FALSE,"ETL, EL-7";#N/A,#N/A,FALSE,"EL-A7, EL-8"}</definedName>
    <definedName name="wrn.Res." localSheetId="13"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3"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3" hidden="1">{#N/A,#N/A,FALSE,"ND Rev at Pres Rates";#N/A,#N/A,FALSE,"Res - Unadj";#N/A,#N/A,FALSE,"Small L&amp;P";#N/A,#N/A,FALSE,"Medium L&amp;P";#N/A,#N/A,FALSE,"E-19";#N/A,#N/A,FALSE,"E-20";#N/A,#N/A,FALSE,"A-RTP";#N/A,#N/A,FALSE,"Strtlts &amp; Standby";#N/A,#N/A,FALSE,"AG";#N/A,#N/A,FALSE,"2001mixeduse"}</definedName>
    <definedName name="wrn.schedules." localSheetId="24" hidden="1">{#N/A,#N/A,FALSE,"Res - Unadj";#N/A,#N/A,FALSE,"Small L&amp;P";#N/A,#N/A,FALSE,"Medium L&amp;P";#N/A,#N/A,FALSE,"E-19";#N/A,#N/A,FALSE,"E-20";#N/A,#N/A,FALSE,"A-RTP";#N/A,#N/A,FALSE,"Strtlts &amp; Standby";#N/A,#N/A,FALSE,"AG";#N/A,#N/A,FALSE,"2001mixeduse"}</definedName>
    <definedName name="wrn.schedules." localSheetId="13"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4" hidden="1">{"Summary","1",FALSE,"Summary"}</definedName>
    <definedName name="wrn.sum1." hidden="1">{"Summary","1",FALSE,"Summary"}</definedName>
    <definedName name="x" localSheetId="24" hidden="1">{#N/A,#N/A,FALSE,"CTC Summary - EOY";#N/A,#N/A,FALSE,"CTC Summary - Wtavg"}</definedName>
    <definedName name="x" hidden="1">{#N/A,#N/A,FALSE,"CTC Summary - EOY";#N/A,#N/A,FALSE,"CTC Summary - Wtavg"}</definedName>
    <definedName name="x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4"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4" hidden="1">{"Summary","1",FALSE,"Summary"}</definedName>
    <definedName name="xl" hidden="1">{"Summary","1",FALSE,"Summary"}</definedName>
    <definedName name="xm"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localSheetId="24" hidden="1">{"PI_Data",#N/A,TRUE,"P&amp;I Data"}</definedName>
    <definedName name="zzzzzzzzzzzzzzzzzzzzzzzzzzzzz" hidden="1">{"PI_Data",#N/A,TRUE,"P&amp;I Data"}</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1" l="1"/>
  <c r="E55" i="1"/>
  <c r="I12" i="102"/>
  <c r="I13" i="102"/>
  <c r="I14" i="102"/>
  <c r="M12" i="102"/>
  <c r="M13" i="102"/>
  <c r="M14" i="102"/>
  <c r="E130" i="1"/>
  <c r="E9" i="1"/>
  <c r="E7" i="1"/>
  <c r="E8" i="1"/>
  <c r="E10" i="1"/>
  <c r="E13" i="1"/>
  <c r="E125" i="1"/>
  <c r="E126" i="1"/>
  <c r="E15" i="1"/>
  <c r="E14" i="1"/>
  <c r="E16" i="1"/>
  <c r="E19" i="1"/>
  <c r="E20" i="1"/>
  <c r="E21" i="1"/>
  <c r="E23" i="1"/>
  <c r="E24" i="1"/>
  <c r="E25" i="1"/>
  <c r="E26" i="1"/>
  <c r="E28" i="1"/>
  <c r="G2" i="1"/>
  <c r="E25" i="82"/>
  <c r="E6" i="82"/>
  <c r="E27" i="1"/>
  <c r="E30" i="1"/>
  <c r="E58" i="1"/>
  <c r="E65" i="1"/>
  <c r="E63" i="1"/>
  <c r="E41" i="1"/>
  <c r="E56" i="1"/>
  <c r="E64" i="1"/>
  <c r="E66" i="1"/>
  <c r="E71" i="1"/>
  <c r="E69" i="1"/>
  <c r="E72" i="1"/>
  <c r="E73" i="1"/>
  <c r="E131" i="1"/>
  <c r="E115" i="1"/>
  <c r="E120" i="1"/>
  <c r="E68" i="1"/>
  <c r="E116" i="1"/>
  <c r="E103" i="1"/>
  <c r="E119" i="1"/>
  <c r="E97" i="1"/>
  <c r="E98" i="1"/>
  <c r="E99" i="1"/>
  <c r="E117" i="1"/>
  <c r="E108" i="1"/>
  <c r="E118" i="1"/>
  <c r="E110" i="1"/>
  <c r="E133" i="1"/>
  <c r="E127" i="1"/>
  <c r="E128" i="1"/>
  <c r="E129" i="1"/>
  <c r="E88" i="1"/>
  <c r="E90" i="1"/>
  <c r="E91" i="1"/>
  <c r="E79" i="1"/>
  <c r="E80" i="1"/>
  <c r="E93" i="1"/>
  <c r="E132" i="1"/>
  <c r="E134" i="1"/>
  <c r="C29" i="87"/>
  <c r="C31" i="87"/>
  <c r="C32" i="87"/>
  <c r="C39" i="87"/>
  <c r="E135" i="1"/>
  <c r="E136" i="1"/>
  <c r="E137" i="1"/>
  <c r="D14" i="2"/>
  <c r="D16" i="2"/>
  <c r="D15" i="2"/>
  <c r="D17" i="2"/>
  <c r="D18" i="2"/>
  <c r="D23" i="2"/>
  <c r="D25" i="2"/>
  <c r="H128" i="80"/>
  <c r="H160" i="80"/>
  <c r="I160" i="80"/>
  <c r="J160" i="80"/>
  <c r="L160" i="80"/>
  <c r="H159" i="80"/>
  <c r="I159" i="80"/>
  <c r="J159" i="80"/>
  <c r="L159" i="80"/>
  <c r="H158" i="80"/>
  <c r="I158" i="80"/>
  <c r="J158" i="80"/>
  <c r="L158" i="80"/>
  <c r="H157" i="80"/>
  <c r="I157" i="80"/>
  <c r="J157" i="80"/>
  <c r="L157" i="80"/>
  <c r="H156" i="80"/>
  <c r="I156" i="80"/>
  <c r="J156" i="80"/>
  <c r="L156" i="80"/>
  <c r="H155" i="80"/>
  <c r="I155" i="80"/>
  <c r="J155" i="80"/>
  <c r="L155" i="80"/>
  <c r="H154" i="80"/>
  <c r="I154" i="80"/>
  <c r="J154" i="80"/>
  <c r="L154" i="80"/>
  <c r="H153" i="80"/>
  <c r="I153" i="80"/>
  <c r="J153" i="80"/>
  <c r="L153" i="80"/>
  <c r="H152" i="80"/>
  <c r="I152" i="80"/>
  <c r="J152" i="80"/>
  <c r="L152" i="80"/>
  <c r="H151" i="80"/>
  <c r="I151" i="80"/>
  <c r="J151" i="80"/>
  <c r="L151" i="80"/>
  <c r="H150" i="80"/>
  <c r="I150" i="80"/>
  <c r="J150" i="80"/>
  <c r="L150" i="80"/>
  <c r="H149" i="80"/>
  <c r="I149" i="80"/>
  <c r="J149" i="80"/>
  <c r="L149" i="80"/>
  <c r="H132" i="80"/>
  <c r="I132" i="80"/>
  <c r="J132" i="80"/>
  <c r="H133" i="80"/>
  <c r="I133" i="80"/>
  <c r="J133" i="80"/>
  <c r="H134" i="80"/>
  <c r="I134" i="80"/>
  <c r="J134" i="80"/>
  <c r="H135" i="80"/>
  <c r="I135" i="80"/>
  <c r="J135" i="80"/>
  <c r="H136" i="80"/>
  <c r="I136" i="80"/>
  <c r="J136" i="80"/>
  <c r="H137" i="80"/>
  <c r="I137" i="80"/>
  <c r="J137" i="80"/>
  <c r="H138" i="80"/>
  <c r="I138" i="80"/>
  <c r="J138" i="80"/>
  <c r="H139" i="80"/>
  <c r="I139" i="80"/>
  <c r="J139" i="80"/>
  <c r="H140" i="80"/>
  <c r="I140" i="80"/>
  <c r="J140" i="80"/>
  <c r="H141" i="80"/>
  <c r="I141" i="80"/>
  <c r="J141" i="80"/>
  <c r="H142" i="80"/>
  <c r="I142" i="80"/>
  <c r="J142" i="80"/>
  <c r="H143" i="80"/>
  <c r="I143" i="80"/>
  <c r="J143" i="80"/>
  <c r="J144" i="80"/>
  <c r="J146" i="80"/>
  <c r="L146" i="80"/>
  <c r="M146" i="80"/>
  <c r="M149" i="80"/>
  <c r="M150" i="80"/>
  <c r="M151" i="80"/>
  <c r="M152" i="80"/>
  <c r="M153" i="80"/>
  <c r="M154" i="80"/>
  <c r="M155" i="80"/>
  <c r="M156" i="80"/>
  <c r="M157" i="80"/>
  <c r="M158" i="80"/>
  <c r="M159" i="80"/>
  <c r="M160" i="80"/>
  <c r="M163" i="80"/>
  <c r="M164" i="80"/>
  <c r="D27" i="2"/>
  <c r="D28" i="2"/>
  <c r="E140" i="1"/>
  <c r="D30" i="2"/>
  <c r="E141" i="1"/>
  <c r="D31" i="2"/>
  <c r="D32" i="2"/>
  <c r="D34" i="2"/>
  <c r="E42" i="47"/>
  <c r="E41" i="47"/>
  <c r="E45" i="47"/>
  <c r="F24" i="70"/>
  <c r="E24" i="106"/>
  <c r="F24" i="106"/>
  <c r="D24" i="106"/>
  <c r="G10" i="84"/>
  <c r="H10" i="84"/>
  <c r="G24" i="87"/>
  <c r="D17" i="87"/>
  <c r="C17" i="87"/>
  <c r="E23" i="87"/>
  <c r="F23" i="87"/>
  <c r="H67" i="5"/>
  <c r="H68" i="5"/>
  <c r="H66" i="5"/>
  <c r="H64" i="5"/>
  <c r="H65" i="5"/>
  <c r="H63" i="5"/>
  <c r="C25" i="69"/>
  <c r="H46" i="5"/>
  <c r="H47" i="5"/>
  <c r="H48" i="5"/>
  <c r="H49" i="5"/>
  <c r="H50" i="5"/>
  <c r="H51" i="5"/>
  <c r="H52" i="5"/>
  <c r="H53" i="5"/>
  <c r="H54" i="5"/>
  <c r="H55" i="5"/>
  <c r="H56" i="5"/>
  <c r="H57" i="5"/>
  <c r="H58" i="5"/>
  <c r="H59" i="5"/>
  <c r="H60" i="5"/>
  <c r="H61" i="5"/>
  <c r="H62" i="5"/>
  <c r="H45" i="5"/>
  <c r="G57" i="89"/>
  <c r="G56" i="89"/>
  <c r="G55" i="89"/>
  <c r="G54" i="89"/>
  <c r="G53" i="89"/>
  <c r="G52" i="89"/>
  <c r="G51" i="89"/>
  <c r="G50" i="89"/>
  <c r="G49" i="89"/>
  <c r="G48" i="89"/>
  <c r="G47" i="89"/>
  <c r="G46" i="89"/>
  <c r="AX105" i="103"/>
  <c r="AZ105" i="103"/>
  <c r="AX106" i="103"/>
  <c r="AZ106" i="103"/>
  <c r="AJ105" i="103"/>
  <c r="AL105" i="103"/>
  <c r="V105" i="103"/>
  <c r="X105" i="103"/>
  <c r="AN105" i="103"/>
  <c r="C15" i="90"/>
  <c r="C10" i="90"/>
  <c r="E20" i="85"/>
  <c r="E19" i="85"/>
  <c r="AP105" i="103"/>
  <c r="BB105" i="103"/>
  <c r="BD105" i="103"/>
  <c r="BF105" i="103"/>
  <c r="E23" i="82"/>
  <c r="D23" i="82"/>
  <c r="L42" i="106"/>
  <c r="L12" i="106"/>
  <c r="F51" i="106"/>
  <c r="E51" i="106"/>
  <c r="D51" i="106"/>
  <c r="H49" i="106"/>
  <c r="G49" i="106"/>
  <c r="H47" i="106"/>
  <c r="G47" i="106"/>
  <c r="I47" i="106"/>
  <c r="H45" i="106"/>
  <c r="G45" i="106"/>
  <c r="F40" i="106"/>
  <c r="E40" i="106"/>
  <c r="D40" i="106"/>
  <c r="H38" i="106"/>
  <c r="G38" i="106"/>
  <c r="H36" i="106"/>
  <c r="G36" i="106"/>
  <c r="H34" i="106"/>
  <c r="G34" i="106"/>
  <c r="G40" i="106"/>
  <c r="F32" i="106"/>
  <c r="E32" i="106"/>
  <c r="E42" i="106"/>
  <c r="D32" i="106"/>
  <c r="H30" i="106"/>
  <c r="G30" i="106"/>
  <c r="H28" i="106"/>
  <c r="G28" i="106"/>
  <c r="I28" i="106"/>
  <c r="H26" i="106"/>
  <c r="G26" i="106"/>
  <c r="I26" i="106"/>
  <c r="H22" i="106"/>
  <c r="G22" i="106"/>
  <c r="G20" i="106"/>
  <c r="I20" i="106"/>
  <c r="G18" i="106"/>
  <c r="I18" i="106"/>
  <c r="H16" i="106"/>
  <c r="G16" i="106"/>
  <c r="I16" i="106"/>
  <c r="N14" i="106"/>
  <c r="H14" i="106"/>
  <c r="G14" i="106"/>
  <c r="I14" i="106"/>
  <c r="A14" i="106"/>
  <c r="A16" i="106"/>
  <c r="N12" i="106"/>
  <c r="G12" i="106"/>
  <c r="N10" i="106"/>
  <c r="G9" i="106"/>
  <c r="F9" i="106"/>
  <c r="H47" i="105"/>
  <c r="L45" i="105"/>
  <c r="L43" i="105"/>
  <c r="L41" i="105"/>
  <c r="H39" i="105"/>
  <c r="L37" i="105"/>
  <c r="L35" i="105"/>
  <c r="L33" i="105"/>
  <c r="L29" i="105"/>
  <c r="H29" i="105"/>
  <c r="L27" i="105"/>
  <c r="H27" i="105"/>
  <c r="H31" i="105"/>
  <c r="L25" i="105"/>
  <c r="H25" i="105"/>
  <c r="H23" i="105"/>
  <c r="L21" i="105"/>
  <c r="L19" i="105"/>
  <c r="L17" i="105"/>
  <c r="L15" i="105"/>
  <c r="L13" i="105"/>
  <c r="H13" i="105"/>
  <c r="A13" i="105"/>
  <c r="A15" i="105"/>
  <c r="N11" i="105"/>
  <c r="L11" i="105"/>
  <c r="H11" i="105"/>
  <c r="N9" i="105"/>
  <c r="G51" i="106"/>
  <c r="I49" i="106"/>
  <c r="I45" i="106"/>
  <c r="I51" i="106"/>
  <c r="I36" i="106"/>
  <c r="I34" i="106"/>
  <c r="I38" i="106"/>
  <c r="E54" i="106"/>
  <c r="D42" i="106"/>
  <c r="I30" i="106"/>
  <c r="I32" i="106"/>
  <c r="L49" i="105"/>
  <c r="G32" i="106"/>
  <c r="F54" i="106"/>
  <c r="I22" i="106"/>
  <c r="I24" i="106"/>
  <c r="G24" i="106"/>
  <c r="G42" i="106"/>
  <c r="I12" i="106"/>
  <c r="A17" i="105"/>
  <c r="N15" i="105"/>
  <c r="A18" i="106"/>
  <c r="N16" i="106"/>
  <c r="F42" i="106"/>
  <c r="D54" i="106"/>
  <c r="L47" i="105"/>
  <c r="N13" i="105"/>
  <c r="A29" i="78"/>
  <c r="A30" i="78"/>
  <c r="A31" i="78"/>
  <c r="A32" i="78"/>
  <c r="A33" i="78"/>
  <c r="A34" i="78"/>
  <c r="A35" i="78"/>
  <c r="A36" i="78"/>
  <c r="A37" i="78"/>
  <c r="A38" i="78"/>
  <c r="A39" i="78"/>
  <c r="A40" i="78"/>
  <c r="A41" i="78"/>
  <c r="A42" i="78"/>
  <c r="A43" i="78"/>
  <c r="A44" i="78"/>
  <c r="A45" i="78"/>
  <c r="A46" i="78"/>
  <c r="A47" i="78"/>
  <c r="A48" i="78"/>
  <c r="A49" i="78"/>
  <c r="A50" i="78"/>
  <c r="A51" i="78"/>
  <c r="A52" i="78"/>
  <c r="A53" i="78"/>
  <c r="A54" i="78"/>
  <c r="A55" i="78"/>
  <c r="A56" i="78"/>
  <c r="A57" i="78"/>
  <c r="A58" i="78"/>
  <c r="A59" i="78"/>
  <c r="A60" i="78"/>
  <c r="A61" i="78"/>
  <c r="A62" i="78"/>
  <c r="A63" i="78"/>
  <c r="A64" i="78"/>
  <c r="A65" i="78"/>
  <c r="A66" i="78"/>
  <c r="A67" i="78"/>
  <c r="A68" i="78"/>
  <c r="A69" i="78"/>
  <c r="A70" i="78"/>
  <c r="A71" i="78"/>
  <c r="A72" i="78"/>
  <c r="A73" i="78"/>
  <c r="A74" i="78"/>
  <c r="A75" i="78"/>
  <c r="A76" i="78"/>
  <c r="G54" i="106"/>
  <c r="I40" i="106"/>
  <c r="I42" i="106"/>
  <c r="A20" i="106"/>
  <c r="N18" i="106"/>
  <c r="A19" i="105"/>
  <c r="N17" i="105"/>
  <c r="AP128" i="104"/>
  <c r="AN128" i="104"/>
  <c r="BB128" i="104"/>
  <c r="AL128" i="104"/>
  <c r="AZ128" i="104"/>
  <c r="Z128" i="104"/>
  <c r="AP127" i="104"/>
  <c r="BD127" i="104"/>
  <c r="AN127" i="104"/>
  <c r="BB127" i="104"/>
  <c r="AL127" i="104"/>
  <c r="AZ127" i="104"/>
  <c r="Z127" i="104"/>
  <c r="AP126" i="104"/>
  <c r="AR126" i="104"/>
  <c r="AN126" i="104"/>
  <c r="BB126" i="104"/>
  <c r="AL126" i="104"/>
  <c r="AZ126" i="104"/>
  <c r="Z126" i="104"/>
  <c r="BD125" i="104"/>
  <c r="AP125" i="104"/>
  <c r="AN125" i="104"/>
  <c r="BB125" i="104"/>
  <c r="AL125" i="104"/>
  <c r="AZ125" i="104"/>
  <c r="Z125" i="104"/>
  <c r="A125" i="104"/>
  <c r="BJ125" i="104"/>
  <c r="AP124" i="104"/>
  <c r="BD124" i="104"/>
  <c r="AN124" i="104"/>
  <c r="BB124" i="104"/>
  <c r="BB123" i="104"/>
  <c r="AL124" i="104"/>
  <c r="AZ124" i="104"/>
  <c r="Z124" i="104"/>
  <c r="Z123" i="104"/>
  <c r="A124" i="104"/>
  <c r="BJ124" i="104"/>
  <c r="BJ123" i="104"/>
  <c r="AX123" i="104"/>
  <c r="AV123" i="104"/>
  <c r="AV20" i="104"/>
  <c r="AT123" i="104"/>
  <c r="AT20" i="104"/>
  <c r="AN123" i="104"/>
  <c r="AN20" i="104"/>
  <c r="AH123" i="104"/>
  <c r="AF123" i="104"/>
  <c r="AF20" i="104"/>
  <c r="AD123" i="104"/>
  <c r="AD20" i="104"/>
  <c r="X123" i="104"/>
  <c r="V123" i="104"/>
  <c r="T123" i="104"/>
  <c r="N123" i="104"/>
  <c r="L123" i="104"/>
  <c r="J123" i="104"/>
  <c r="H123" i="104"/>
  <c r="AR121" i="104"/>
  <c r="AP121" i="104"/>
  <c r="BD121" i="104"/>
  <c r="AN121" i="104"/>
  <c r="BB121" i="104"/>
  <c r="AL121" i="104"/>
  <c r="AZ121" i="104"/>
  <c r="AP120" i="104"/>
  <c r="BD120" i="104"/>
  <c r="AN120" i="104"/>
  <c r="BB120" i="104"/>
  <c r="T120" i="104"/>
  <c r="AL120" i="104"/>
  <c r="AP119" i="104"/>
  <c r="AP115" i="104"/>
  <c r="AN119" i="104"/>
  <c r="BB119" i="104"/>
  <c r="T119" i="104"/>
  <c r="T115" i="104"/>
  <c r="T16" i="104"/>
  <c r="AP118" i="104"/>
  <c r="BD118" i="104"/>
  <c r="AN118" i="104"/>
  <c r="BB118" i="104"/>
  <c r="AL118" i="104"/>
  <c r="AZ118" i="104"/>
  <c r="BF118" i="104"/>
  <c r="T118" i="104"/>
  <c r="Z118" i="104"/>
  <c r="AP117" i="104"/>
  <c r="BD117" i="104"/>
  <c r="AN117" i="104"/>
  <c r="BB117" i="104"/>
  <c r="T117" i="104"/>
  <c r="Z117" i="104"/>
  <c r="BJ116" i="104"/>
  <c r="BB116" i="104"/>
  <c r="AP116" i="104"/>
  <c r="BD116" i="104"/>
  <c r="AN116" i="104"/>
  <c r="T116" i="104"/>
  <c r="AL116" i="104"/>
  <c r="A116" i="104"/>
  <c r="A117" i="104"/>
  <c r="BJ115" i="104"/>
  <c r="AX115" i="104"/>
  <c r="AV115" i="104"/>
  <c r="AT115" i="104"/>
  <c r="AT16" i="104"/>
  <c r="AH115" i="104"/>
  <c r="AF115" i="104"/>
  <c r="AD115" i="104"/>
  <c r="AD16" i="104"/>
  <c r="X115" i="104"/>
  <c r="V115" i="104"/>
  <c r="N115" i="104"/>
  <c r="L115" i="104"/>
  <c r="L16" i="104"/>
  <c r="J115" i="104"/>
  <c r="J16" i="104"/>
  <c r="H115" i="104"/>
  <c r="BB112" i="104"/>
  <c r="AN112" i="104"/>
  <c r="AL112" i="104"/>
  <c r="AZ112" i="104"/>
  <c r="X112" i="104"/>
  <c r="Z112" i="104"/>
  <c r="AN111" i="104"/>
  <c r="AL111" i="104"/>
  <c r="AZ111" i="104"/>
  <c r="X111" i="104"/>
  <c r="Z111" i="104"/>
  <c r="AN110" i="104"/>
  <c r="BB110" i="104"/>
  <c r="AL110" i="104"/>
  <c r="AZ110" i="104"/>
  <c r="X110" i="104"/>
  <c r="Z110" i="104"/>
  <c r="AN109" i="104"/>
  <c r="BB109" i="104"/>
  <c r="AL109" i="104"/>
  <c r="AZ109" i="104"/>
  <c r="X109" i="104"/>
  <c r="AP109" i="104"/>
  <c r="BD109" i="104"/>
  <c r="AZ108" i="104"/>
  <c r="AN108" i="104"/>
  <c r="BB108" i="104"/>
  <c r="AL108" i="104"/>
  <c r="X108" i="104"/>
  <c r="Z108" i="104"/>
  <c r="AN107" i="104"/>
  <c r="BB107" i="104"/>
  <c r="AL107" i="104"/>
  <c r="AZ107" i="104"/>
  <c r="X107" i="104"/>
  <c r="Z107" i="104"/>
  <c r="AN106" i="104"/>
  <c r="BB106" i="104"/>
  <c r="AL106" i="104"/>
  <c r="AZ106" i="104"/>
  <c r="X106" i="104"/>
  <c r="Z106" i="104"/>
  <c r="AZ105" i="104"/>
  <c r="AN105" i="104"/>
  <c r="BB105" i="104"/>
  <c r="AL105" i="104"/>
  <c r="X105" i="104"/>
  <c r="AP105" i="104"/>
  <c r="BD105" i="104"/>
  <c r="AZ104" i="104"/>
  <c r="AN104" i="104"/>
  <c r="BB104" i="104"/>
  <c r="AL104" i="104"/>
  <c r="X104" i="104"/>
  <c r="Z104" i="104"/>
  <c r="BJ103" i="104"/>
  <c r="AN103" i="104"/>
  <c r="BB103" i="104"/>
  <c r="AL103" i="104"/>
  <c r="AZ103" i="104"/>
  <c r="X103" i="104"/>
  <c r="AP103" i="104"/>
  <c r="A103" i="104"/>
  <c r="A104" i="104"/>
  <c r="BJ102" i="104"/>
  <c r="AX102" i="104"/>
  <c r="AV102" i="104"/>
  <c r="AT102" i="104"/>
  <c r="AH102" i="104"/>
  <c r="AF102" i="104"/>
  <c r="AD102" i="104"/>
  <c r="V102" i="104"/>
  <c r="T102" i="104"/>
  <c r="N102" i="104"/>
  <c r="L102" i="104"/>
  <c r="J102" i="104"/>
  <c r="H102" i="104"/>
  <c r="H15" i="104"/>
  <c r="AP99" i="104"/>
  <c r="BD99" i="104"/>
  <c r="AL99" i="104"/>
  <c r="AZ99" i="104"/>
  <c r="Z99" i="104"/>
  <c r="V99" i="104"/>
  <c r="AN99" i="104"/>
  <c r="BB99" i="104"/>
  <c r="AP98" i="104"/>
  <c r="BD98" i="104"/>
  <c r="AN98" i="104"/>
  <c r="BB98" i="104"/>
  <c r="AL98" i="104"/>
  <c r="AZ98" i="104"/>
  <c r="BF98" i="104"/>
  <c r="Z98" i="104"/>
  <c r="V98" i="104"/>
  <c r="AZ97" i="104"/>
  <c r="AP97" i="104"/>
  <c r="BD97" i="104"/>
  <c r="AL97" i="104"/>
  <c r="V97" i="104"/>
  <c r="Z97" i="104"/>
  <c r="BD96" i="104"/>
  <c r="AP96" i="104"/>
  <c r="AL96" i="104"/>
  <c r="AZ96" i="104"/>
  <c r="V96" i="104"/>
  <c r="Z96" i="104"/>
  <c r="BD95" i="104"/>
  <c r="AP95" i="104"/>
  <c r="AL95" i="104"/>
  <c r="AZ95" i="104"/>
  <c r="V95" i="104"/>
  <c r="AN95" i="104"/>
  <c r="BB95" i="104"/>
  <c r="AP94" i="104"/>
  <c r="BD94" i="104"/>
  <c r="AL94" i="104"/>
  <c r="AZ94" i="104"/>
  <c r="V94" i="104"/>
  <c r="AN94" i="104"/>
  <c r="BB94" i="104"/>
  <c r="AZ93" i="104"/>
  <c r="AP93" i="104"/>
  <c r="BD93" i="104"/>
  <c r="AL93" i="104"/>
  <c r="V93" i="104"/>
  <c r="Z93" i="104"/>
  <c r="BD92" i="104"/>
  <c r="AP92" i="104"/>
  <c r="AL92" i="104"/>
  <c r="AZ92" i="104"/>
  <c r="V92" i="104"/>
  <c r="Z92" i="104"/>
  <c r="BD91" i="104"/>
  <c r="AP91" i="104"/>
  <c r="AL91" i="104"/>
  <c r="AZ91" i="104"/>
  <c r="V91" i="104"/>
  <c r="AN91" i="104"/>
  <c r="BB91" i="104"/>
  <c r="AP90" i="104"/>
  <c r="BD90" i="104"/>
  <c r="AN90" i="104"/>
  <c r="BB90" i="104"/>
  <c r="AL90" i="104"/>
  <c r="AZ90" i="104"/>
  <c r="BF90" i="104"/>
  <c r="V90" i="104"/>
  <c r="Z90" i="104"/>
  <c r="AP89" i="104"/>
  <c r="BD89" i="104"/>
  <c r="AL89" i="104"/>
  <c r="V89" i="104"/>
  <c r="Z89" i="104"/>
  <c r="AR88" i="104"/>
  <c r="AP88" i="104"/>
  <c r="BD88" i="104"/>
  <c r="AN88" i="104"/>
  <c r="BB88" i="104"/>
  <c r="AL88" i="104"/>
  <c r="AZ88" i="104"/>
  <c r="Z88" i="104"/>
  <c r="V88" i="104"/>
  <c r="AP87" i="104"/>
  <c r="BD87" i="104"/>
  <c r="AL87" i="104"/>
  <c r="AZ87" i="104"/>
  <c r="V87" i="104"/>
  <c r="Z87" i="104"/>
  <c r="AP86" i="104"/>
  <c r="BD86" i="104"/>
  <c r="AN86" i="104"/>
  <c r="AR86" i="104"/>
  <c r="AL86" i="104"/>
  <c r="AZ86" i="104"/>
  <c r="V86" i="104"/>
  <c r="Z86" i="104"/>
  <c r="BD85" i="104"/>
  <c r="AP85" i="104"/>
  <c r="AL85" i="104"/>
  <c r="AZ85" i="104"/>
  <c r="V85" i="104"/>
  <c r="AP84" i="104"/>
  <c r="BD84" i="104"/>
  <c r="AL84" i="104"/>
  <c r="AZ84" i="104"/>
  <c r="V84" i="104"/>
  <c r="AN84" i="104"/>
  <c r="BD83" i="104"/>
  <c r="AZ83" i="104"/>
  <c r="AP83" i="104"/>
  <c r="AL83" i="104"/>
  <c r="V83" i="104"/>
  <c r="AP82" i="104"/>
  <c r="BD82" i="104"/>
  <c r="AN82" i="104"/>
  <c r="BB82" i="104"/>
  <c r="BF82" i="104"/>
  <c r="AL82" i="104"/>
  <c r="AZ82" i="104"/>
  <c r="V82" i="104"/>
  <c r="Z82" i="104"/>
  <c r="BD81" i="104"/>
  <c r="AZ81" i="104"/>
  <c r="AP81" i="104"/>
  <c r="AL81" i="104"/>
  <c r="V81" i="104"/>
  <c r="AP80" i="104"/>
  <c r="BD80" i="104"/>
  <c r="AN80" i="104"/>
  <c r="BB80" i="104"/>
  <c r="BF80" i="104"/>
  <c r="AL80" i="104"/>
  <c r="AZ80" i="104"/>
  <c r="V80" i="104"/>
  <c r="Z80" i="104"/>
  <c r="BD79" i="104"/>
  <c r="AP79" i="104"/>
  <c r="AL79" i="104"/>
  <c r="V79" i="104"/>
  <c r="AP78" i="104"/>
  <c r="BD78" i="104"/>
  <c r="AL78" i="104"/>
  <c r="AZ78" i="104"/>
  <c r="V78" i="104"/>
  <c r="AN78" i="104"/>
  <c r="BD77" i="104"/>
  <c r="AP77" i="104"/>
  <c r="AL77" i="104"/>
  <c r="V77" i="104"/>
  <c r="AP76" i="104"/>
  <c r="BD76" i="104"/>
  <c r="AN76" i="104"/>
  <c r="BB76" i="104"/>
  <c r="BF76" i="104"/>
  <c r="AL76" i="104"/>
  <c r="AZ76" i="104"/>
  <c r="V76" i="104"/>
  <c r="Z76" i="104"/>
  <c r="BD75" i="104"/>
  <c r="AP75" i="104"/>
  <c r="AL75" i="104"/>
  <c r="V75" i="104"/>
  <c r="AP74" i="104"/>
  <c r="BD74" i="104"/>
  <c r="AL74" i="104"/>
  <c r="AZ74" i="104"/>
  <c r="V74" i="104"/>
  <c r="AN74" i="104"/>
  <c r="BD73" i="104"/>
  <c r="AP73" i="104"/>
  <c r="AL73" i="104"/>
  <c r="V73" i="104"/>
  <c r="AP72" i="104"/>
  <c r="BD72" i="104"/>
  <c r="AN72" i="104"/>
  <c r="BB72" i="104"/>
  <c r="BF72" i="104"/>
  <c r="AL72" i="104"/>
  <c r="AZ72" i="104"/>
  <c r="V72" i="104"/>
  <c r="Z72" i="104"/>
  <c r="BD71" i="104"/>
  <c r="AP71" i="104"/>
  <c r="AL71" i="104"/>
  <c r="V71" i="104"/>
  <c r="AP70" i="104"/>
  <c r="BD70" i="104"/>
  <c r="AL70" i="104"/>
  <c r="AZ70" i="104"/>
  <c r="V70" i="104"/>
  <c r="AN70" i="104"/>
  <c r="BD69" i="104"/>
  <c r="AP69" i="104"/>
  <c r="AL69" i="104"/>
  <c r="V69" i="104"/>
  <c r="AP68" i="104"/>
  <c r="BD68" i="104"/>
  <c r="AN68" i="104"/>
  <c r="BB68" i="104"/>
  <c r="BF68" i="104"/>
  <c r="AL68" i="104"/>
  <c r="AZ68" i="104"/>
  <c r="V68" i="104"/>
  <c r="Z68" i="104"/>
  <c r="BD67" i="104"/>
  <c r="AZ67" i="104"/>
  <c r="AP67" i="104"/>
  <c r="AL67" i="104"/>
  <c r="V67" i="104"/>
  <c r="Z67" i="104"/>
  <c r="BD66" i="104"/>
  <c r="AP66" i="104"/>
  <c r="AN66" i="104"/>
  <c r="BB66" i="104"/>
  <c r="AL66" i="104"/>
  <c r="AZ66" i="104"/>
  <c r="V66" i="104"/>
  <c r="Z66" i="104"/>
  <c r="AZ65" i="104"/>
  <c r="AP65" i="104"/>
  <c r="BD65" i="104"/>
  <c r="AL65" i="104"/>
  <c r="V65" i="104"/>
  <c r="AN65" i="104"/>
  <c r="BB65" i="104"/>
  <c r="AP64" i="104"/>
  <c r="BD64" i="104"/>
  <c r="AL64" i="104"/>
  <c r="AZ64" i="104"/>
  <c r="V64" i="104"/>
  <c r="AN64" i="104"/>
  <c r="BB64" i="104"/>
  <c r="AP63" i="104"/>
  <c r="BD63" i="104"/>
  <c r="AN63" i="104"/>
  <c r="BB63" i="104"/>
  <c r="AL63" i="104"/>
  <c r="AZ63" i="104"/>
  <c r="BF63" i="104"/>
  <c r="Z63" i="104"/>
  <c r="V63" i="104"/>
  <c r="AP62" i="104"/>
  <c r="BD62" i="104"/>
  <c r="AL62" i="104"/>
  <c r="AZ62" i="104"/>
  <c r="V62" i="104"/>
  <c r="Z62" i="104"/>
  <c r="AP61" i="104"/>
  <c r="BD61" i="104"/>
  <c r="AN61" i="104"/>
  <c r="BB61" i="104"/>
  <c r="AL61" i="104"/>
  <c r="AZ61" i="104"/>
  <c r="BF61" i="104"/>
  <c r="Z61" i="104"/>
  <c r="V61" i="104"/>
  <c r="AP60" i="104"/>
  <c r="BD60" i="104"/>
  <c r="AL60" i="104"/>
  <c r="AZ60" i="104"/>
  <c r="V60" i="104"/>
  <c r="AN60" i="104"/>
  <c r="BB60" i="104"/>
  <c r="AP59" i="104"/>
  <c r="BD59" i="104"/>
  <c r="AN59" i="104"/>
  <c r="BB59" i="104"/>
  <c r="AL59" i="104"/>
  <c r="AZ59" i="104"/>
  <c r="V59" i="104"/>
  <c r="Z59" i="104"/>
  <c r="AP58" i="104"/>
  <c r="BD58" i="104"/>
  <c r="AL58" i="104"/>
  <c r="AZ58" i="104"/>
  <c r="V58" i="104"/>
  <c r="Z58" i="104"/>
  <c r="AP57" i="104"/>
  <c r="BD57" i="104"/>
  <c r="AN57" i="104"/>
  <c r="BB57" i="104"/>
  <c r="AL57" i="104"/>
  <c r="AZ57" i="104"/>
  <c r="V57" i="104"/>
  <c r="Z57" i="104"/>
  <c r="AP56" i="104"/>
  <c r="BD56" i="104"/>
  <c r="AL56" i="104"/>
  <c r="AZ56" i="104"/>
  <c r="V56" i="104"/>
  <c r="AN56" i="104"/>
  <c r="BB56" i="104"/>
  <c r="AP55" i="104"/>
  <c r="BD55" i="104"/>
  <c r="AN55" i="104"/>
  <c r="BB55" i="104"/>
  <c r="AL55" i="104"/>
  <c r="AZ55" i="104"/>
  <c r="V55" i="104"/>
  <c r="Z55" i="104"/>
  <c r="AP54" i="104"/>
  <c r="BD54" i="104"/>
  <c r="AL54" i="104"/>
  <c r="AZ54" i="104"/>
  <c r="V54" i="104"/>
  <c r="Z54" i="104"/>
  <c r="AP53" i="104"/>
  <c r="BD53" i="104"/>
  <c r="AN53" i="104"/>
  <c r="BB53" i="104"/>
  <c r="AL53" i="104"/>
  <c r="AZ53" i="104"/>
  <c r="V53" i="104"/>
  <c r="Z53" i="104"/>
  <c r="AP52" i="104"/>
  <c r="BD52" i="104"/>
  <c r="AL52" i="104"/>
  <c r="AZ52" i="104"/>
  <c r="V52" i="104"/>
  <c r="AN52" i="104"/>
  <c r="BB52" i="104"/>
  <c r="AP51" i="104"/>
  <c r="BD51" i="104"/>
  <c r="AL51" i="104"/>
  <c r="AZ51" i="104"/>
  <c r="V51" i="104"/>
  <c r="AN51" i="104"/>
  <c r="AP50" i="104"/>
  <c r="BD50" i="104"/>
  <c r="AL50" i="104"/>
  <c r="AZ50" i="104"/>
  <c r="V50" i="104"/>
  <c r="Z50" i="104"/>
  <c r="AP49" i="104"/>
  <c r="BD49" i="104"/>
  <c r="AL49" i="104"/>
  <c r="AZ49" i="104"/>
  <c r="V49" i="104"/>
  <c r="AN49" i="104"/>
  <c r="BB49" i="104"/>
  <c r="AP48" i="104"/>
  <c r="BD48" i="104"/>
  <c r="AL48" i="104"/>
  <c r="AZ48" i="104"/>
  <c r="V48" i="104"/>
  <c r="AN48" i="104"/>
  <c r="BB48" i="104"/>
  <c r="AP47" i="104"/>
  <c r="BD47" i="104"/>
  <c r="AL47" i="104"/>
  <c r="AZ47" i="104"/>
  <c r="V47" i="104"/>
  <c r="AN47" i="104"/>
  <c r="AR47" i="104"/>
  <c r="AP46" i="104"/>
  <c r="BD46" i="104"/>
  <c r="AL46" i="104"/>
  <c r="AZ46" i="104"/>
  <c r="V46" i="104"/>
  <c r="Z46" i="104"/>
  <c r="AP45" i="104"/>
  <c r="BD45" i="104"/>
  <c r="AL45" i="104"/>
  <c r="AZ45" i="104"/>
  <c r="V45" i="104"/>
  <c r="AN45" i="104"/>
  <c r="BB45" i="104"/>
  <c r="AP44" i="104"/>
  <c r="BD44" i="104"/>
  <c r="AL44" i="104"/>
  <c r="AZ44" i="104"/>
  <c r="V44" i="104"/>
  <c r="AN44" i="104"/>
  <c r="AP43" i="104"/>
  <c r="BD43" i="104"/>
  <c r="BD42" i="104"/>
  <c r="BD14" i="104"/>
  <c r="AL43" i="104"/>
  <c r="AZ43" i="104"/>
  <c r="V43" i="104"/>
  <c r="AN43" i="104"/>
  <c r="AR43" i="104"/>
  <c r="A43" i="104"/>
  <c r="A44" i="104"/>
  <c r="BJ42" i="104"/>
  <c r="AX42" i="104"/>
  <c r="AV42" i="104"/>
  <c r="AV14" i="104"/>
  <c r="AT42" i="104"/>
  <c r="AH42" i="104"/>
  <c r="AH14" i="104"/>
  <c r="AF42" i="104"/>
  <c r="AD42" i="104"/>
  <c r="AD14" i="104"/>
  <c r="X42" i="104"/>
  <c r="X14" i="104"/>
  <c r="T42" i="104"/>
  <c r="T14" i="104"/>
  <c r="N42" i="104"/>
  <c r="L42" i="104"/>
  <c r="L14" i="104"/>
  <c r="J42" i="104"/>
  <c r="H42" i="104"/>
  <c r="H14" i="104"/>
  <c r="AP39" i="104"/>
  <c r="BD39" i="104"/>
  <c r="AN39" i="104"/>
  <c r="BB39" i="104"/>
  <c r="T39" i="104"/>
  <c r="Z39" i="104"/>
  <c r="AP38" i="104"/>
  <c r="BD38" i="104"/>
  <c r="AN38" i="104"/>
  <c r="BB38" i="104"/>
  <c r="T38" i="104"/>
  <c r="AL38" i="104"/>
  <c r="AP37" i="104"/>
  <c r="BD37" i="104"/>
  <c r="AN37" i="104"/>
  <c r="BB37" i="104"/>
  <c r="T37" i="104"/>
  <c r="AL37" i="104"/>
  <c r="AP36" i="104"/>
  <c r="BD36" i="104"/>
  <c r="AN36" i="104"/>
  <c r="BB36" i="104"/>
  <c r="Z36" i="104"/>
  <c r="T36" i="104"/>
  <c r="AL36" i="104"/>
  <c r="A36" i="104"/>
  <c r="A37" i="104"/>
  <c r="AP35" i="104"/>
  <c r="BD35" i="104"/>
  <c r="BD34" i="104"/>
  <c r="AN35" i="104"/>
  <c r="BB35" i="104"/>
  <c r="AL35" i="104"/>
  <c r="AZ35" i="104"/>
  <c r="T35" i="104"/>
  <c r="Z35" i="104"/>
  <c r="A35" i="104"/>
  <c r="BJ35" i="104"/>
  <c r="BJ34" i="104"/>
  <c r="AX34" i="104"/>
  <c r="AX13" i="104"/>
  <c r="AV34" i="104"/>
  <c r="AV13" i="104"/>
  <c r="AT34" i="104"/>
  <c r="AT13" i="104"/>
  <c r="AH34" i="104"/>
  <c r="AF34" i="104"/>
  <c r="AF13" i="104"/>
  <c r="AD34" i="104"/>
  <c r="X34" i="104"/>
  <c r="V34" i="104"/>
  <c r="V13" i="104"/>
  <c r="N34" i="104"/>
  <c r="N13" i="104"/>
  <c r="L34" i="104"/>
  <c r="J34" i="104"/>
  <c r="J13" i="104"/>
  <c r="H34" i="104"/>
  <c r="H13" i="104"/>
  <c r="AP31" i="104"/>
  <c r="BD31" i="104"/>
  <c r="AN31" i="104"/>
  <c r="BB31" i="104"/>
  <c r="AL31" i="104"/>
  <c r="AZ31" i="104"/>
  <c r="BF31" i="104"/>
  <c r="Z31" i="104"/>
  <c r="AP30" i="104"/>
  <c r="BD30" i="104"/>
  <c r="AN30" i="104"/>
  <c r="BB30" i="104"/>
  <c r="AL30" i="104"/>
  <c r="AZ30" i="104"/>
  <c r="BF30" i="104"/>
  <c r="Z30" i="104"/>
  <c r="AP29" i="104"/>
  <c r="BD29" i="104"/>
  <c r="AN29" i="104"/>
  <c r="BB29" i="104"/>
  <c r="T29" i="104"/>
  <c r="AL29" i="104"/>
  <c r="AP28" i="104"/>
  <c r="BD28" i="104"/>
  <c r="AN28" i="104"/>
  <c r="BB28" i="104"/>
  <c r="T28" i="104"/>
  <c r="AL28" i="104"/>
  <c r="AP27" i="104"/>
  <c r="BD27" i="104"/>
  <c r="BD26" i="104"/>
  <c r="BD12" i="104"/>
  <c r="AN27" i="104"/>
  <c r="BB27" i="104"/>
  <c r="BB26" i="104"/>
  <c r="AL27" i="104"/>
  <c r="AZ27" i="104"/>
  <c r="Z27" i="104"/>
  <c r="T27" i="104"/>
  <c r="A27" i="104"/>
  <c r="A28" i="104"/>
  <c r="BJ26" i="104"/>
  <c r="AX26" i="104"/>
  <c r="AV26" i="104"/>
  <c r="AV12" i="104"/>
  <c r="AT26" i="104"/>
  <c r="AH26" i="104"/>
  <c r="AH12" i="104"/>
  <c r="AF26" i="104"/>
  <c r="AD26" i="104"/>
  <c r="AD12" i="104"/>
  <c r="X26" i="104"/>
  <c r="X12" i="104"/>
  <c r="V26" i="104"/>
  <c r="N26" i="104"/>
  <c r="N12" i="104"/>
  <c r="L26" i="104"/>
  <c r="L12" i="104"/>
  <c r="J26" i="104"/>
  <c r="H26" i="104"/>
  <c r="H12" i="104"/>
  <c r="AX22" i="104"/>
  <c r="AV22" i="104"/>
  <c r="AT22" i="104"/>
  <c r="AP22" i="104"/>
  <c r="AN22" i="104"/>
  <c r="AH22" i="104"/>
  <c r="AF22" i="104"/>
  <c r="AD22" i="104"/>
  <c r="Z22" i="104"/>
  <c r="X22" i="104"/>
  <c r="V22" i="104"/>
  <c r="T22" i="104"/>
  <c r="N22" i="104"/>
  <c r="L22" i="104"/>
  <c r="J22" i="104"/>
  <c r="H22" i="104"/>
  <c r="AX21" i="104"/>
  <c r="AV21" i="104"/>
  <c r="AT21" i="104"/>
  <c r="AL21" i="104"/>
  <c r="AH21" i="104"/>
  <c r="AF21" i="104"/>
  <c r="AD21" i="104"/>
  <c r="X21" i="104"/>
  <c r="V21" i="104"/>
  <c r="T21" i="104"/>
  <c r="Z21" i="104"/>
  <c r="N21" i="104"/>
  <c r="L21" i="104"/>
  <c r="J21" i="104"/>
  <c r="H21" i="104"/>
  <c r="AX20" i="104"/>
  <c r="AH20" i="104"/>
  <c r="Z20" i="104"/>
  <c r="X20" i="104"/>
  <c r="V20" i="104"/>
  <c r="T20" i="104"/>
  <c r="N20" i="104"/>
  <c r="L20" i="104"/>
  <c r="J20" i="104"/>
  <c r="H20" i="104"/>
  <c r="AX16" i="104"/>
  <c r="AV16" i="104"/>
  <c r="AP16" i="104"/>
  <c r="AH16" i="104"/>
  <c r="AF16" i="104"/>
  <c r="X16" i="104"/>
  <c r="V16" i="104"/>
  <c r="N16" i="104"/>
  <c r="H16" i="104"/>
  <c r="AX15" i="104"/>
  <c r="AV15" i="104"/>
  <c r="AT15" i="104"/>
  <c r="AH15" i="104"/>
  <c r="AF15" i="104"/>
  <c r="AD15" i="104"/>
  <c r="V15" i="104"/>
  <c r="T15" i="104"/>
  <c r="N15" i="104"/>
  <c r="L15" i="104"/>
  <c r="J15" i="104"/>
  <c r="AX14" i="104"/>
  <c r="AT14" i="104"/>
  <c r="AF14" i="104"/>
  <c r="N14" i="104"/>
  <c r="J14" i="104"/>
  <c r="A14" i="104"/>
  <c r="A15" i="104"/>
  <c r="BJ15" i="104"/>
  <c r="BD13" i="104"/>
  <c r="AH13" i="104"/>
  <c r="AH17" i="104"/>
  <c r="AH23" i="104"/>
  <c r="AD13" i="104"/>
  <c r="X13" i="104"/>
  <c r="L13" i="104"/>
  <c r="A13" i="104"/>
  <c r="BJ13" i="104"/>
  <c r="BJ12" i="104"/>
  <c r="BB12" i="104"/>
  <c r="AX12" i="104"/>
  <c r="AT12" i="104"/>
  <c r="AF12" i="104"/>
  <c r="V12" i="104"/>
  <c r="J12" i="104"/>
  <c r="BH9" i="104"/>
  <c r="H124" i="103"/>
  <c r="H116" i="103"/>
  <c r="H16" i="103"/>
  <c r="H102" i="103"/>
  <c r="H15" i="103"/>
  <c r="H42" i="103"/>
  <c r="H14" i="103"/>
  <c r="H34" i="103"/>
  <c r="H13" i="103"/>
  <c r="H26" i="103"/>
  <c r="H12" i="103"/>
  <c r="H22" i="103"/>
  <c r="H21" i="103"/>
  <c r="H20" i="103"/>
  <c r="BF9" i="103"/>
  <c r="BF129" i="103"/>
  <c r="I54" i="106"/>
  <c r="L32" i="106"/>
  <c r="L26" i="106"/>
  <c r="L24" i="106"/>
  <c r="L14" i="106"/>
  <c r="L40" i="106"/>
  <c r="K14" i="106"/>
  <c r="K24" i="106"/>
  <c r="K32" i="106"/>
  <c r="K40" i="106"/>
  <c r="K26" i="106"/>
  <c r="K12" i="106"/>
  <c r="K42" i="106"/>
  <c r="A21" i="105"/>
  <c r="N19" i="105"/>
  <c r="A22" i="106"/>
  <c r="N20" i="106"/>
  <c r="Z16" i="104"/>
  <c r="AL117" i="104"/>
  <c r="AR117" i="104"/>
  <c r="AR118" i="104"/>
  <c r="Z109" i="104"/>
  <c r="Z105" i="104"/>
  <c r="BB20" i="104"/>
  <c r="BB22" i="104"/>
  <c r="AZ21" i="104"/>
  <c r="BD22" i="104"/>
  <c r="BD126" i="104"/>
  <c r="AP21" i="104"/>
  <c r="BD21" i="104"/>
  <c r="AR128" i="104"/>
  <c r="AN21" i="104"/>
  <c r="BB21" i="104"/>
  <c r="AR127" i="104"/>
  <c r="AL22" i="104"/>
  <c r="AL123" i="104"/>
  <c r="AL20" i="104"/>
  <c r="AZ20" i="104"/>
  <c r="AR125" i="104"/>
  <c r="BD128" i="104"/>
  <c r="AD17" i="104"/>
  <c r="AD23" i="104"/>
  <c r="BF105" i="104"/>
  <c r="BF109" i="104"/>
  <c r="BH109" i="104"/>
  <c r="AV17" i="104"/>
  <c r="AV23" i="104"/>
  <c r="BF99" i="104"/>
  <c r="AR63" i="104"/>
  <c r="BB34" i="104"/>
  <c r="BB13" i="104"/>
  <c r="AR27" i="104"/>
  <c r="BB70" i="104"/>
  <c r="BF70" i="104"/>
  <c r="AR70" i="104"/>
  <c r="BB74" i="104"/>
  <c r="BF74" i="104"/>
  <c r="BH74" i="104"/>
  <c r="AR74" i="104"/>
  <c r="BB51" i="104"/>
  <c r="AR51" i="104"/>
  <c r="BB84" i="104"/>
  <c r="AR84" i="104"/>
  <c r="BB78" i="104"/>
  <c r="BF78" i="104"/>
  <c r="AR78" i="104"/>
  <c r="L17" i="104"/>
  <c r="L23" i="104"/>
  <c r="Z43" i="104"/>
  <c r="Z45" i="104"/>
  <c r="Z49" i="104"/>
  <c r="Z51" i="104"/>
  <c r="BF60" i="104"/>
  <c r="BH60" i="104"/>
  <c r="Z70" i="104"/>
  <c r="Z78" i="104"/>
  <c r="Z84" i="104"/>
  <c r="BF91" i="104"/>
  <c r="BH91" i="104"/>
  <c r="AR66" i="104"/>
  <c r="AN67" i="104"/>
  <c r="BB67" i="104"/>
  <c r="AR82" i="104"/>
  <c r="BF84" i="104"/>
  <c r="BH84" i="104"/>
  <c r="AN93" i="104"/>
  <c r="BB93" i="104"/>
  <c r="Z94" i="104"/>
  <c r="BF95" i="104"/>
  <c r="BH95" i="104"/>
  <c r="Z47" i="104"/>
  <c r="Z65" i="104"/>
  <c r="Z74" i="104"/>
  <c r="AR55" i="104"/>
  <c r="N17" i="104"/>
  <c r="N23" i="104"/>
  <c r="AR59" i="104"/>
  <c r="BF65" i="104"/>
  <c r="BH65" i="104"/>
  <c r="AR68" i="104"/>
  <c r="AR72" i="104"/>
  <c r="AR76" i="104"/>
  <c r="AR80" i="104"/>
  <c r="BB86" i="104"/>
  <c r="BF86" i="104"/>
  <c r="BH86" i="104"/>
  <c r="AN89" i="104"/>
  <c r="BB89" i="104"/>
  <c r="AR90" i="104"/>
  <c r="BF94" i="104"/>
  <c r="BH94" i="104"/>
  <c r="AN97" i="104"/>
  <c r="BB97" i="104"/>
  <c r="BF97" i="104"/>
  <c r="BH97" i="104"/>
  <c r="H17" i="104"/>
  <c r="H23" i="104"/>
  <c r="Z38" i="104"/>
  <c r="AL39" i="104"/>
  <c r="AZ39" i="104"/>
  <c r="BF39" i="104"/>
  <c r="BH39" i="104"/>
  <c r="Z29" i="104"/>
  <c r="BJ14" i="104"/>
  <c r="BF27" i="104"/>
  <c r="AZ29" i="104"/>
  <c r="BF29" i="104"/>
  <c r="BH29" i="104"/>
  <c r="AR29" i="104"/>
  <c r="BF56" i="104"/>
  <c r="BH56" i="104"/>
  <c r="BF57" i="104"/>
  <c r="BH57" i="104"/>
  <c r="BF59" i="104"/>
  <c r="BH59" i="104"/>
  <c r="BH82" i="104"/>
  <c r="AZ22" i="104"/>
  <c r="AR22" i="104"/>
  <c r="A29" i="104"/>
  <c r="BJ28" i="104"/>
  <c r="AZ28" i="104"/>
  <c r="BF28" i="104"/>
  <c r="BH28" i="104"/>
  <c r="AR28" i="104"/>
  <c r="AL26" i="104"/>
  <c r="AL12" i="104"/>
  <c r="BH30" i="104"/>
  <c r="BH31" i="104"/>
  <c r="BB44" i="104"/>
  <c r="BF44" i="104"/>
  <c r="BH44" i="104"/>
  <c r="BH61" i="104"/>
  <c r="BH63" i="104"/>
  <c r="BH68" i="104"/>
  <c r="BH72" i="104"/>
  <c r="BH76" i="104"/>
  <c r="BH80" i="104"/>
  <c r="AT17" i="104"/>
  <c r="AT23" i="104"/>
  <c r="AR21" i="104"/>
  <c r="A38" i="104"/>
  <c r="BJ37" i="104"/>
  <c r="AZ38" i="104"/>
  <c r="BF38" i="104"/>
  <c r="BH38" i="104"/>
  <c r="AR38" i="104"/>
  <c r="BF45" i="104"/>
  <c r="BH45" i="104"/>
  <c r="BF48" i="104"/>
  <c r="BH48" i="104"/>
  <c r="BF49" i="104"/>
  <c r="BH49" i="104"/>
  <c r="BF51" i="104"/>
  <c r="BH51" i="104"/>
  <c r="BF64" i="104"/>
  <c r="BH64" i="104"/>
  <c r="J17" i="104"/>
  <c r="J23" i="104"/>
  <c r="AF17" i="104"/>
  <c r="AF23" i="104"/>
  <c r="AX17" i="104"/>
  <c r="AX23" i="104"/>
  <c r="A16" i="104"/>
  <c r="BF35" i="104"/>
  <c r="AR36" i="104"/>
  <c r="AZ36" i="104"/>
  <c r="BF36" i="104"/>
  <c r="BH36" i="104"/>
  <c r="AZ37" i="104"/>
  <c r="BF37" i="104"/>
  <c r="BH37" i="104"/>
  <c r="AR37" i="104"/>
  <c r="A45" i="104"/>
  <c r="BJ44" i="104"/>
  <c r="BF52" i="104"/>
  <c r="BH52" i="104"/>
  <c r="BF53" i="104"/>
  <c r="BH53" i="104"/>
  <c r="BF55" i="104"/>
  <c r="BH55" i="104"/>
  <c r="BF66" i="104"/>
  <c r="BH66" i="104"/>
  <c r="BH70" i="104"/>
  <c r="BH78" i="104"/>
  <c r="Z28" i="104"/>
  <c r="Z26" i="104"/>
  <c r="T34" i="104"/>
  <c r="T13" i="104"/>
  <c r="Z13" i="104"/>
  <c r="AN34" i="104"/>
  <c r="AN13" i="104"/>
  <c r="Z37" i="104"/>
  <c r="Z34" i="104"/>
  <c r="AL42" i="104"/>
  <c r="AL14" i="104"/>
  <c r="Z44" i="104"/>
  <c r="AR44" i="104"/>
  <c r="AN46" i="104"/>
  <c r="BB46" i="104"/>
  <c r="BF46" i="104"/>
  <c r="BH46" i="104"/>
  <c r="Z48" i="104"/>
  <c r="AR48" i="104"/>
  <c r="AN50" i="104"/>
  <c r="BB50" i="104"/>
  <c r="BF50" i="104"/>
  <c r="BH50" i="104"/>
  <c r="Z52" i="104"/>
  <c r="AR52" i="104"/>
  <c r="AN54" i="104"/>
  <c r="BB54" i="104"/>
  <c r="BF54" i="104"/>
  <c r="BH54" i="104"/>
  <c r="Z56" i="104"/>
  <c r="AR56" i="104"/>
  <c r="AN58" i="104"/>
  <c r="BB58" i="104"/>
  <c r="BF58" i="104"/>
  <c r="BH58" i="104"/>
  <c r="Z60" i="104"/>
  <c r="AR60" i="104"/>
  <c r="AN62" i="104"/>
  <c r="BB62" i="104"/>
  <c r="BF62" i="104"/>
  <c r="BH62" i="104"/>
  <c r="Z64" i="104"/>
  <c r="AR64" i="104"/>
  <c r="AR65" i="104"/>
  <c r="AN85" i="104"/>
  <c r="BB85" i="104"/>
  <c r="BF85" i="104"/>
  <c r="BH85" i="104"/>
  <c r="Z85" i="104"/>
  <c r="BH90" i="104"/>
  <c r="BH98" i="104"/>
  <c r="A105" i="104"/>
  <c r="BJ104" i="104"/>
  <c r="T26" i="104"/>
  <c r="T12" i="104"/>
  <c r="AN26" i="104"/>
  <c r="AN12" i="104"/>
  <c r="BB43" i="104"/>
  <c r="BF43" i="104"/>
  <c r="BJ43" i="104"/>
  <c r="AR45" i="104"/>
  <c r="BB47" i="104"/>
  <c r="BF47" i="104"/>
  <c r="BH47" i="104"/>
  <c r="AR49" i="104"/>
  <c r="AR53" i="104"/>
  <c r="AR57" i="104"/>
  <c r="AR61" i="104"/>
  <c r="BF67" i="104"/>
  <c r="BH67" i="104"/>
  <c r="BF88" i="104"/>
  <c r="BH88" i="104"/>
  <c r="BH99" i="104"/>
  <c r="BD103" i="104"/>
  <c r="BF103" i="104"/>
  <c r="BH105" i="104"/>
  <c r="BJ27" i="104"/>
  <c r="AR30" i="104"/>
  <c r="AR31" i="104"/>
  <c r="AP34" i="104"/>
  <c r="AP13" i="104"/>
  <c r="BJ36" i="104"/>
  <c r="AP26" i="104"/>
  <c r="AP12" i="104"/>
  <c r="AR35" i="104"/>
  <c r="V42" i="104"/>
  <c r="V14" i="104"/>
  <c r="Z14" i="104"/>
  <c r="AP42" i="104"/>
  <c r="AP14" i="104"/>
  <c r="AR46" i="104"/>
  <c r="AR62" i="104"/>
  <c r="AR67" i="104"/>
  <c r="AZ69" i="104"/>
  <c r="AZ71" i="104"/>
  <c r="AZ73" i="104"/>
  <c r="AZ75" i="104"/>
  <c r="AZ77" i="104"/>
  <c r="AZ79" i="104"/>
  <c r="AN69" i="104"/>
  <c r="BB69" i="104"/>
  <c r="Z69" i="104"/>
  <c r="Z71" i="104"/>
  <c r="AN71" i="104"/>
  <c r="BB71" i="104"/>
  <c r="AN73" i="104"/>
  <c r="BB73" i="104"/>
  <c r="Z73" i="104"/>
  <c r="Z75" i="104"/>
  <c r="AN75" i="104"/>
  <c r="BB75" i="104"/>
  <c r="AN77" i="104"/>
  <c r="BB77" i="104"/>
  <c r="Z77" i="104"/>
  <c r="Z79" i="104"/>
  <c r="AN79" i="104"/>
  <c r="BB79" i="104"/>
  <c r="AN81" i="104"/>
  <c r="BB81" i="104"/>
  <c r="BF81" i="104"/>
  <c r="BH81" i="104"/>
  <c r="Z81" i="104"/>
  <c r="Z83" i="104"/>
  <c r="AN83" i="104"/>
  <c r="BB83" i="104"/>
  <c r="BF83" i="104"/>
  <c r="BH83" i="104"/>
  <c r="BB102" i="104"/>
  <c r="BB15" i="104"/>
  <c r="BH118" i="104"/>
  <c r="AR85" i="104"/>
  <c r="AN87" i="104"/>
  <c r="BB87" i="104"/>
  <c r="BF87" i="104"/>
  <c r="BH87" i="104"/>
  <c r="Z91" i="104"/>
  <c r="AR93" i="104"/>
  <c r="Z95" i="104"/>
  <c r="AR97" i="104"/>
  <c r="AR98" i="104"/>
  <c r="AR99" i="104"/>
  <c r="AN102" i="104"/>
  <c r="AN15" i="104"/>
  <c r="AR105" i="104"/>
  <c r="AP110" i="104"/>
  <c r="A118" i="104"/>
  <c r="BJ117" i="104"/>
  <c r="BB115" i="104"/>
  <c r="BB16" i="104"/>
  <c r="AZ120" i="104"/>
  <c r="BF120" i="104"/>
  <c r="BH120" i="104"/>
  <c r="AR120" i="104"/>
  <c r="AZ123" i="104"/>
  <c r="BF124" i="104"/>
  <c r="BF126" i="104"/>
  <c r="BH126" i="104"/>
  <c r="BH22" i="104"/>
  <c r="BF128" i="104"/>
  <c r="BH128" i="104"/>
  <c r="AN92" i="104"/>
  <c r="BB92" i="104"/>
  <c r="BF92" i="104"/>
  <c r="BH92" i="104"/>
  <c r="AN96" i="104"/>
  <c r="BB96" i="104"/>
  <c r="BF96" i="104"/>
  <c r="BH96" i="104"/>
  <c r="Z103" i="104"/>
  <c r="Z102" i="104"/>
  <c r="X102" i="104"/>
  <c r="X15" i="104"/>
  <c r="X17" i="104"/>
  <c r="X23" i="104"/>
  <c r="AZ116" i="104"/>
  <c r="AR116" i="104"/>
  <c r="AZ89" i="104"/>
  <c r="AZ102" i="104"/>
  <c r="AZ15" i="104"/>
  <c r="AL102" i="104"/>
  <c r="AL15" i="104"/>
  <c r="AP106" i="104"/>
  <c r="BB111" i="104"/>
  <c r="AN115" i="104"/>
  <c r="AN16" i="104"/>
  <c r="AZ117" i="104"/>
  <c r="BF117" i="104"/>
  <c r="BH117" i="104"/>
  <c r="BD119" i="104"/>
  <c r="BD115" i="104"/>
  <c r="BD16" i="104"/>
  <c r="AR124" i="104"/>
  <c r="AP123" i="104"/>
  <c r="AP20" i="104"/>
  <c r="BD20" i="104"/>
  <c r="BF125" i="104"/>
  <c r="BH125" i="104"/>
  <c r="BH21" i="104"/>
  <c r="A126" i="104"/>
  <c r="BF127" i="104"/>
  <c r="BH127" i="104"/>
  <c r="AR91" i="104"/>
  <c r="BF93" i="104"/>
  <c r="BH93" i="104"/>
  <c r="AR94" i="104"/>
  <c r="AR95" i="104"/>
  <c r="AR103" i="104"/>
  <c r="AR109" i="104"/>
  <c r="AL119" i="104"/>
  <c r="Z119" i="104"/>
  <c r="AP107" i="104"/>
  <c r="BD107" i="104"/>
  <c r="BF107" i="104"/>
  <c r="BH107" i="104"/>
  <c r="AP111" i="104"/>
  <c r="BD111" i="104"/>
  <c r="BF111" i="104"/>
  <c r="AP112" i="104"/>
  <c r="BD112" i="104"/>
  <c r="BF112" i="104"/>
  <c r="AP104" i="104"/>
  <c r="BD104" i="104"/>
  <c r="BF104" i="104"/>
  <c r="BH104" i="104"/>
  <c r="AP108" i="104"/>
  <c r="BD108" i="104"/>
  <c r="BF108" i="104"/>
  <c r="BH108" i="104"/>
  <c r="Z116" i="104"/>
  <c r="Z120" i="104"/>
  <c r="H17" i="103"/>
  <c r="H23" i="103"/>
  <c r="BF126" i="103"/>
  <c r="BF21" i="103"/>
  <c r="BF127" i="103"/>
  <c r="BF22" i="103"/>
  <c r="BF128" i="103"/>
  <c r="BF125" i="103"/>
  <c r="I64" i="80"/>
  <c r="I99" i="80"/>
  <c r="G66" i="83"/>
  <c r="G65" i="83"/>
  <c r="G64" i="83"/>
  <c r="G63" i="83"/>
  <c r="G62" i="83"/>
  <c r="G61" i="83"/>
  <c r="G60" i="83"/>
  <c r="G59" i="83"/>
  <c r="G58" i="83"/>
  <c r="G57" i="83"/>
  <c r="G56" i="83"/>
  <c r="G55" i="83"/>
  <c r="G121" i="80"/>
  <c r="G120" i="80"/>
  <c r="G119" i="80"/>
  <c r="G118" i="80"/>
  <c r="G117" i="80"/>
  <c r="G116" i="80"/>
  <c r="G115" i="80"/>
  <c r="G114" i="80"/>
  <c r="G113" i="80"/>
  <c r="G112" i="80"/>
  <c r="G111" i="80"/>
  <c r="G110" i="80"/>
  <c r="AF124" i="103"/>
  <c r="AD124" i="103"/>
  <c r="AB124" i="103"/>
  <c r="AF116" i="103"/>
  <c r="AF16" i="103"/>
  <c r="AD116" i="103"/>
  <c r="AD16" i="103"/>
  <c r="AB116" i="103"/>
  <c r="AB16" i="103"/>
  <c r="AF102" i="103"/>
  <c r="AD102" i="103"/>
  <c r="AB102" i="103"/>
  <c r="AF42" i="103"/>
  <c r="AD42" i="103"/>
  <c r="AB42" i="103"/>
  <c r="AB14" i="103"/>
  <c r="AF34" i="103"/>
  <c r="AF13" i="103"/>
  <c r="AF17" i="103"/>
  <c r="AF23" i="103"/>
  <c r="AD34" i="103"/>
  <c r="AB34" i="103"/>
  <c r="AF26" i="103"/>
  <c r="AD26" i="103"/>
  <c r="AB26" i="103"/>
  <c r="N124" i="103"/>
  <c r="L124" i="103"/>
  <c r="J124" i="103"/>
  <c r="J20" i="103"/>
  <c r="N116" i="103"/>
  <c r="L116" i="103"/>
  <c r="J116" i="103"/>
  <c r="N102" i="103"/>
  <c r="L102" i="103"/>
  <c r="J102" i="103"/>
  <c r="N42" i="103"/>
  <c r="N14" i="103"/>
  <c r="L42" i="103"/>
  <c r="L14" i="103"/>
  <c r="J42" i="103"/>
  <c r="J14" i="103"/>
  <c r="N34" i="103"/>
  <c r="L34" i="103"/>
  <c r="J34" i="103"/>
  <c r="D13" i="68"/>
  <c r="D12" i="68"/>
  <c r="Q9" i="78"/>
  <c r="M65" i="85"/>
  <c r="E52" i="85"/>
  <c r="E53" i="85"/>
  <c r="E54" i="85"/>
  <c r="E55" i="85"/>
  <c r="E56" i="85"/>
  <c r="E57" i="85"/>
  <c r="E58" i="85"/>
  <c r="E59" i="85"/>
  <c r="E60" i="85"/>
  <c r="E61" i="85"/>
  <c r="E62" i="85"/>
  <c r="E63" i="85"/>
  <c r="E64" i="85"/>
  <c r="E51" i="85"/>
  <c r="F34" i="82"/>
  <c r="D29" i="68"/>
  <c r="D28" i="68"/>
  <c r="D25" i="68"/>
  <c r="D21" i="68"/>
  <c r="D27" i="68"/>
  <c r="D20" i="68"/>
  <c r="D22" i="68"/>
  <c r="D19" i="68"/>
  <c r="D11" i="68"/>
  <c r="D10" i="68"/>
  <c r="D9" i="68"/>
  <c r="D8" i="68"/>
  <c r="D7" i="68"/>
  <c r="D6" i="68"/>
  <c r="C35" i="69"/>
  <c r="A34" i="82"/>
  <c r="E34" i="82"/>
  <c r="G32" i="82"/>
  <c r="G34" i="82"/>
  <c r="G39" i="82"/>
  <c r="A40" i="82"/>
  <c r="F41" i="82"/>
  <c r="A41" i="82"/>
  <c r="G40" i="82"/>
  <c r="G41" i="82"/>
  <c r="F43" i="82"/>
  <c r="A43" i="82"/>
  <c r="G43" i="82"/>
  <c r="A49" i="82"/>
  <c r="F50" i="82"/>
  <c r="G48" i="82"/>
  <c r="A50" i="82"/>
  <c r="G49" i="82"/>
  <c r="AV102" i="103"/>
  <c r="AV15" i="103"/>
  <c r="AV17" i="103"/>
  <c r="AV23" i="103"/>
  <c r="AT102" i="103"/>
  <c r="AR102" i="103"/>
  <c r="AF15" i="103"/>
  <c r="T125" i="103"/>
  <c r="AL125" i="103"/>
  <c r="AJ125" i="103"/>
  <c r="AN125" i="103"/>
  <c r="AN21" i="103"/>
  <c r="AP21" i="103"/>
  <c r="T126" i="103"/>
  <c r="X126" i="103"/>
  <c r="AJ126" i="103"/>
  <c r="AN126" i="103"/>
  <c r="AN22" i="103"/>
  <c r="AP22" i="103"/>
  <c r="T127" i="103"/>
  <c r="AJ127" i="103"/>
  <c r="AX127" i="103"/>
  <c r="AN127" i="103"/>
  <c r="BB127" i="103"/>
  <c r="A49" i="85"/>
  <c r="A50" i="85"/>
  <c r="A51" i="85"/>
  <c r="L65" i="85"/>
  <c r="K65" i="85"/>
  <c r="J65" i="85"/>
  <c r="I65" i="85"/>
  <c r="H65" i="85"/>
  <c r="G65" i="85"/>
  <c r="F65" i="85"/>
  <c r="N49" i="85"/>
  <c r="N48" i="85"/>
  <c r="A26" i="85"/>
  <c r="A27" i="85"/>
  <c r="A28" i="85"/>
  <c r="A29" i="85"/>
  <c r="A30" i="85"/>
  <c r="A31" i="85"/>
  <c r="A32" i="85"/>
  <c r="A33" i="85"/>
  <c r="A34" i="85"/>
  <c r="A35" i="85"/>
  <c r="A36" i="85"/>
  <c r="A37" i="85"/>
  <c r="A38" i="85"/>
  <c r="A39" i="85"/>
  <c r="A40" i="85"/>
  <c r="A41" i="85"/>
  <c r="A42" i="85"/>
  <c r="A43" i="85"/>
  <c r="A44" i="85"/>
  <c r="F40" i="85"/>
  <c r="I13" i="85"/>
  <c r="K13" i="85"/>
  <c r="F28" i="85"/>
  <c r="F37" i="85"/>
  <c r="I9" i="85"/>
  <c r="K9" i="85"/>
  <c r="I10" i="85"/>
  <c r="K10" i="85"/>
  <c r="I11" i="85"/>
  <c r="K11" i="85"/>
  <c r="I12" i="85"/>
  <c r="I14" i="85"/>
  <c r="K14" i="85"/>
  <c r="I15" i="85"/>
  <c r="K15" i="85"/>
  <c r="I16" i="85"/>
  <c r="K16" i="85"/>
  <c r="I17" i="85"/>
  <c r="K17" i="85"/>
  <c r="I18" i="85"/>
  <c r="K18" i="85"/>
  <c r="I19" i="85"/>
  <c r="K19" i="85"/>
  <c r="I20" i="85"/>
  <c r="K20" i="85"/>
  <c r="I21" i="85"/>
  <c r="K21" i="85"/>
  <c r="I22" i="85"/>
  <c r="K22" i="85"/>
  <c r="N26" i="85"/>
  <c r="N25" i="85"/>
  <c r="A6" i="85"/>
  <c r="A7" i="85"/>
  <c r="J23" i="85"/>
  <c r="G23" i="85"/>
  <c r="E23" i="85"/>
  <c r="N6" i="85"/>
  <c r="N5" i="85"/>
  <c r="J13" i="102"/>
  <c r="J12" i="102"/>
  <c r="I37" i="84"/>
  <c r="I36" i="84"/>
  <c r="I35" i="84"/>
  <c r="I34" i="84"/>
  <c r="I33" i="84"/>
  <c r="I32" i="84"/>
  <c r="I31" i="84"/>
  <c r="I30" i="84"/>
  <c r="I29" i="84"/>
  <c r="I28" i="84"/>
  <c r="I27" i="84"/>
  <c r="I26" i="84"/>
  <c r="I25" i="84"/>
  <c r="I24" i="84"/>
  <c r="I23" i="84"/>
  <c r="I22" i="84"/>
  <c r="I21" i="84"/>
  <c r="I20" i="84"/>
  <c r="I19" i="84"/>
  <c r="I18" i="84"/>
  <c r="I17" i="84"/>
  <c r="I16" i="84"/>
  <c r="I15" i="84"/>
  <c r="I14" i="84"/>
  <c r="I13" i="84"/>
  <c r="I12" i="84"/>
  <c r="D95" i="80"/>
  <c r="D94" i="80"/>
  <c r="D93" i="80"/>
  <c r="D78" i="80"/>
  <c r="D77" i="80"/>
  <c r="D76" i="80"/>
  <c r="D81" i="80"/>
  <c r="D60" i="80"/>
  <c r="D59" i="80"/>
  <c r="D58" i="80"/>
  <c r="D57" i="80"/>
  <c r="D62" i="80"/>
  <c r="D56" i="80"/>
  <c r="D55" i="80"/>
  <c r="D54" i="80"/>
  <c r="D40" i="80"/>
  <c r="D39" i="80"/>
  <c r="D38" i="80"/>
  <c r="D37" i="80"/>
  <c r="D36" i="80"/>
  <c r="D35" i="80"/>
  <c r="D34" i="80"/>
  <c r="D33" i="80"/>
  <c r="D32" i="80"/>
  <c r="AN129" i="103"/>
  <c r="BB129" i="103"/>
  <c r="AJ129" i="103"/>
  <c r="AX129" i="103"/>
  <c r="AN128" i="103"/>
  <c r="BB128" i="103"/>
  <c r="AJ128" i="103"/>
  <c r="AX128" i="103"/>
  <c r="T129" i="103"/>
  <c r="X129" i="103"/>
  <c r="T128" i="103"/>
  <c r="AL128" i="103"/>
  <c r="BD22" i="103"/>
  <c r="R22" i="103"/>
  <c r="X22" i="103"/>
  <c r="BD21" i="103"/>
  <c r="R21" i="103"/>
  <c r="X21" i="103"/>
  <c r="AB20" i="103"/>
  <c r="N13" i="103"/>
  <c r="AF20" i="103"/>
  <c r="AD20" i="103"/>
  <c r="AF14" i="103"/>
  <c r="AD14" i="103"/>
  <c r="AF12" i="103"/>
  <c r="BH12" i="103"/>
  <c r="A13" i="103"/>
  <c r="BH13" i="103"/>
  <c r="AB13" i="103"/>
  <c r="AD13" i="103"/>
  <c r="A14" i="103"/>
  <c r="A15" i="103"/>
  <c r="AB15" i="103"/>
  <c r="AD15" i="103"/>
  <c r="J26" i="103"/>
  <c r="J12" i="103"/>
  <c r="L26" i="103"/>
  <c r="L12" i="103"/>
  <c r="N26" i="103"/>
  <c r="N12" i="103"/>
  <c r="T26" i="103"/>
  <c r="T12" i="103"/>
  <c r="V26" i="103"/>
  <c r="V12" i="103"/>
  <c r="AB12" i="103"/>
  <c r="AD12" i="103"/>
  <c r="AR26" i="103"/>
  <c r="AR12" i="103"/>
  <c r="AT26" i="103"/>
  <c r="AT12" i="103"/>
  <c r="AV26" i="103"/>
  <c r="AV12" i="103"/>
  <c r="BH26" i="103"/>
  <c r="A27" i="103"/>
  <c r="BH27" i="103"/>
  <c r="R27" i="103"/>
  <c r="X27" i="103"/>
  <c r="AL27" i="103"/>
  <c r="AZ27" i="103"/>
  <c r="AN27" i="103"/>
  <c r="R28" i="103"/>
  <c r="AJ28" i="103"/>
  <c r="AL28" i="103"/>
  <c r="AZ28" i="103"/>
  <c r="AN28" i="103"/>
  <c r="BB28" i="103"/>
  <c r="R29" i="103"/>
  <c r="X29" i="103"/>
  <c r="AL29" i="103"/>
  <c r="AZ29" i="103"/>
  <c r="AN29" i="103"/>
  <c r="BB29" i="103"/>
  <c r="X30" i="103"/>
  <c r="AJ30" i="103"/>
  <c r="AX30" i="103"/>
  <c r="AL30" i="103"/>
  <c r="AZ30" i="103"/>
  <c r="AN30" i="103"/>
  <c r="BB30" i="103"/>
  <c r="X31" i="103"/>
  <c r="AJ31" i="103"/>
  <c r="AL31" i="103"/>
  <c r="AZ31" i="103"/>
  <c r="BD31" i="103"/>
  <c r="BF31" i="103"/>
  <c r="AN31" i="103"/>
  <c r="BB31" i="103"/>
  <c r="J13" i="103"/>
  <c r="L13" i="103"/>
  <c r="T34" i="103"/>
  <c r="T13" i="103"/>
  <c r="V34" i="103"/>
  <c r="V13" i="103"/>
  <c r="AR34" i="103"/>
  <c r="AR13" i="103"/>
  <c r="AT34" i="103"/>
  <c r="AT13" i="103"/>
  <c r="AV34" i="103"/>
  <c r="AV13" i="103"/>
  <c r="BH34" i="103"/>
  <c r="A35" i="103"/>
  <c r="R35" i="103"/>
  <c r="X35" i="103"/>
  <c r="AL35" i="103"/>
  <c r="AN35" i="103"/>
  <c r="BB35" i="103"/>
  <c r="R36" i="103"/>
  <c r="R34" i="103"/>
  <c r="R13" i="103"/>
  <c r="X13" i="103"/>
  <c r="AL36" i="103"/>
  <c r="AZ36" i="103"/>
  <c r="AN36" i="103"/>
  <c r="BB36" i="103"/>
  <c r="R37" i="103"/>
  <c r="AL37" i="103"/>
  <c r="AZ37" i="103"/>
  <c r="AN37" i="103"/>
  <c r="BB37" i="103"/>
  <c r="R38" i="103"/>
  <c r="X38" i="103"/>
  <c r="AL38" i="103"/>
  <c r="AZ38" i="103"/>
  <c r="AN38" i="103"/>
  <c r="BB38" i="103"/>
  <c r="R39" i="103"/>
  <c r="AL39" i="103"/>
  <c r="AZ39" i="103"/>
  <c r="AN39" i="103"/>
  <c r="BB39" i="103"/>
  <c r="R42" i="103"/>
  <c r="R14" i="103"/>
  <c r="V42" i="103"/>
  <c r="V14" i="103"/>
  <c r="AR42" i="103"/>
  <c r="AR14" i="103"/>
  <c r="AT42" i="103"/>
  <c r="AT14" i="103"/>
  <c r="AT17" i="103"/>
  <c r="AV42" i="103"/>
  <c r="AV14" i="103"/>
  <c r="BH42" i="103"/>
  <c r="A43" i="103"/>
  <c r="T43" i="103"/>
  <c r="AJ43" i="103"/>
  <c r="AX43" i="103"/>
  <c r="AN43" i="103"/>
  <c r="T44" i="103"/>
  <c r="X44" i="103"/>
  <c r="AJ44" i="103"/>
  <c r="AN44" i="103"/>
  <c r="BB44" i="103"/>
  <c r="T45" i="103"/>
  <c r="X45" i="103"/>
  <c r="AJ45" i="103"/>
  <c r="AX45" i="103"/>
  <c r="AN45" i="103"/>
  <c r="BB45" i="103"/>
  <c r="T46" i="103"/>
  <c r="X46" i="103"/>
  <c r="AJ46" i="103"/>
  <c r="AX46" i="103"/>
  <c r="AN46" i="103"/>
  <c r="BB46" i="103"/>
  <c r="T47" i="103"/>
  <c r="AJ47" i="103"/>
  <c r="AX47" i="103"/>
  <c r="AN47" i="103"/>
  <c r="BB47" i="103"/>
  <c r="T48" i="103"/>
  <c r="AL48" i="103"/>
  <c r="AJ48" i="103"/>
  <c r="AX48" i="103"/>
  <c r="AN48" i="103"/>
  <c r="BB48" i="103"/>
  <c r="T49" i="103"/>
  <c r="X49" i="103"/>
  <c r="AJ49" i="103"/>
  <c r="AX49" i="103"/>
  <c r="AN49" i="103"/>
  <c r="BB49" i="103"/>
  <c r="T50" i="103"/>
  <c r="X50" i="103"/>
  <c r="AJ50" i="103"/>
  <c r="AX50" i="103"/>
  <c r="AN50" i="103"/>
  <c r="BB50" i="103"/>
  <c r="T51" i="103"/>
  <c r="X51" i="103"/>
  <c r="AJ51" i="103"/>
  <c r="AX51" i="103"/>
  <c r="AN51" i="103"/>
  <c r="BB51" i="103"/>
  <c r="T52" i="103"/>
  <c r="AL52" i="103"/>
  <c r="AZ52" i="103"/>
  <c r="AJ52" i="103"/>
  <c r="AN52" i="103"/>
  <c r="BB52" i="103"/>
  <c r="T53" i="103"/>
  <c r="AL53" i="103"/>
  <c r="AJ53" i="103"/>
  <c r="AN53" i="103"/>
  <c r="BB53" i="103"/>
  <c r="T54" i="103"/>
  <c r="X54" i="103"/>
  <c r="AJ54" i="103"/>
  <c r="AX54" i="103"/>
  <c r="AN54" i="103"/>
  <c r="BB54" i="103"/>
  <c r="T55" i="103"/>
  <c r="AL55" i="103"/>
  <c r="AJ55" i="103"/>
  <c r="AN55" i="103"/>
  <c r="BB55" i="103"/>
  <c r="T56" i="103"/>
  <c r="AJ56" i="103"/>
  <c r="AN56" i="103"/>
  <c r="BB56" i="103"/>
  <c r="T57" i="103"/>
  <c r="AL57" i="103"/>
  <c r="AJ57" i="103"/>
  <c r="AX57" i="103"/>
  <c r="AN57" i="103"/>
  <c r="BB57" i="103"/>
  <c r="T58" i="103"/>
  <c r="X58" i="103"/>
  <c r="AJ58" i="103"/>
  <c r="AX58" i="103"/>
  <c r="AN58" i="103"/>
  <c r="BB58" i="103"/>
  <c r="T59" i="103"/>
  <c r="X59" i="103"/>
  <c r="AJ59" i="103"/>
  <c r="AX59" i="103"/>
  <c r="AN59" i="103"/>
  <c r="BB59" i="103"/>
  <c r="T60" i="103"/>
  <c r="X60" i="103"/>
  <c r="AJ60" i="103"/>
  <c r="AX60" i="103"/>
  <c r="AN60" i="103"/>
  <c r="BB60" i="103"/>
  <c r="T61" i="103"/>
  <c r="X61" i="103"/>
  <c r="AJ61" i="103"/>
  <c r="AN61" i="103"/>
  <c r="BB61" i="103"/>
  <c r="T62" i="103"/>
  <c r="X62" i="103"/>
  <c r="AJ62" i="103"/>
  <c r="AX62" i="103"/>
  <c r="AN62" i="103"/>
  <c r="BB62" i="103"/>
  <c r="T63" i="103"/>
  <c r="X63" i="103"/>
  <c r="AJ63" i="103"/>
  <c r="AX63" i="103"/>
  <c r="AN63" i="103"/>
  <c r="BB63" i="103"/>
  <c r="T64" i="103"/>
  <c r="AJ64" i="103"/>
  <c r="AN64" i="103"/>
  <c r="BB64" i="103"/>
  <c r="T65" i="103"/>
  <c r="AL65" i="103"/>
  <c r="AZ65" i="103"/>
  <c r="AJ65" i="103"/>
  <c r="AX65" i="103"/>
  <c r="AN65" i="103"/>
  <c r="BB65" i="103"/>
  <c r="T66" i="103"/>
  <c r="X66" i="103"/>
  <c r="AJ66" i="103"/>
  <c r="AN66" i="103"/>
  <c r="BB66" i="103"/>
  <c r="T67" i="103"/>
  <c r="X67" i="103"/>
  <c r="AJ67" i="103"/>
  <c r="AN67" i="103"/>
  <c r="BB67" i="103"/>
  <c r="T68" i="103"/>
  <c r="AJ68" i="103"/>
  <c r="AX68" i="103"/>
  <c r="AN68" i="103"/>
  <c r="BB68" i="103"/>
  <c r="T69" i="103"/>
  <c r="AJ69" i="103"/>
  <c r="AN69" i="103"/>
  <c r="BB69" i="103"/>
  <c r="T70" i="103"/>
  <c r="X70" i="103"/>
  <c r="AJ70" i="103"/>
  <c r="AN70" i="103"/>
  <c r="BB70" i="103"/>
  <c r="T71" i="103"/>
  <c r="X71" i="103"/>
  <c r="AJ71" i="103"/>
  <c r="AX71" i="103"/>
  <c r="AN71" i="103"/>
  <c r="BB71" i="103"/>
  <c r="T72" i="103"/>
  <c r="AL72" i="103"/>
  <c r="AJ72" i="103"/>
  <c r="AX72" i="103"/>
  <c r="AN72" i="103"/>
  <c r="BB72" i="103"/>
  <c r="T73" i="103"/>
  <c r="AL73" i="103"/>
  <c r="AJ73" i="103"/>
  <c r="AX73" i="103"/>
  <c r="AN73" i="103"/>
  <c r="BB73" i="103"/>
  <c r="T74" i="103"/>
  <c r="X74" i="103"/>
  <c r="AJ74" i="103"/>
  <c r="AX74" i="103"/>
  <c r="AN74" i="103"/>
  <c r="BB74" i="103"/>
  <c r="T75" i="103"/>
  <c r="X75" i="103"/>
  <c r="AJ75" i="103"/>
  <c r="AX75" i="103"/>
  <c r="AN75" i="103"/>
  <c r="BB75" i="103"/>
  <c r="T76" i="103"/>
  <c r="AL76" i="103"/>
  <c r="AJ76" i="103"/>
  <c r="AX76" i="103"/>
  <c r="AN76" i="103"/>
  <c r="BB76" i="103"/>
  <c r="T77" i="103"/>
  <c r="AL77" i="103"/>
  <c r="AP77" i="103"/>
  <c r="AJ77" i="103"/>
  <c r="AX77" i="103"/>
  <c r="AN77" i="103"/>
  <c r="BB77" i="103"/>
  <c r="T78" i="103"/>
  <c r="X78" i="103"/>
  <c r="AJ78" i="103"/>
  <c r="AX78" i="103"/>
  <c r="AN78" i="103"/>
  <c r="BB78" i="103"/>
  <c r="T79" i="103"/>
  <c r="AL79" i="103"/>
  <c r="AJ79" i="103"/>
  <c r="AX79" i="103"/>
  <c r="AN79" i="103"/>
  <c r="BB79" i="103"/>
  <c r="T80" i="103"/>
  <c r="AJ80" i="103"/>
  <c r="AX80" i="103"/>
  <c r="AN80" i="103"/>
  <c r="BB80" i="103"/>
  <c r="T81" i="103"/>
  <c r="X81" i="103"/>
  <c r="AJ81" i="103"/>
  <c r="AX81" i="103"/>
  <c r="AN81" i="103"/>
  <c r="BB81" i="103"/>
  <c r="T82" i="103"/>
  <c r="X82" i="103"/>
  <c r="AJ82" i="103"/>
  <c r="AN82" i="103"/>
  <c r="BB82" i="103"/>
  <c r="T83" i="103"/>
  <c r="X83" i="103"/>
  <c r="AJ83" i="103"/>
  <c r="AX83" i="103"/>
  <c r="AN83" i="103"/>
  <c r="BB83" i="103"/>
  <c r="T84" i="103"/>
  <c r="X84" i="103"/>
  <c r="AJ84" i="103"/>
  <c r="AX84" i="103"/>
  <c r="AN84" i="103"/>
  <c r="BB84" i="103"/>
  <c r="T85" i="103"/>
  <c r="AL85" i="103"/>
  <c r="AZ85" i="103"/>
  <c r="AJ85" i="103"/>
  <c r="AN85" i="103"/>
  <c r="BB85" i="103"/>
  <c r="T86" i="103"/>
  <c r="X86" i="103"/>
  <c r="AJ86" i="103"/>
  <c r="AX86" i="103"/>
  <c r="AN86" i="103"/>
  <c r="BB86" i="103"/>
  <c r="T87" i="103"/>
  <c r="AL87" i="103"/>
  <c r="AJ87" i="103"/>
  <c r="AN87" i="103"/>
  <c r="BB87" i="103"/>
  <c r="T88" i="103"/>
  <c r="AJ88" i="103"/>
  <c r="AX88" i="103"/>
  <c r="AN88" i="103"/>
  <c r="BB88" i="103"/>
  <c r="T89" i="103"/>
  <c r="X89" i="103"/>
  <c r="AJ89" i="103"/>
  <c r="AX89" i="103"/>
  <c r="AN89" i="103"/>
  <c r="BB89" i="103"/>
  <c r="T90" i="103"/>
  <c r="X90" i="103"/>
  <c r="AJ90" i="103"/>
  <c r="AX90" i="103"/>
  <c r="AN90" i="103"/>
  <c r="BB90" i="103"/>
  <c r="T91" i="103"/>
  <c r="X91" i="103"/>
  <c r="AJ91" i="103"/>
  <c r="AX91" i="103"/>
  <c r="AN91" i="103"/>
  <c r="BB91" i="103"/>
  <c r="T92" i="103"/>
  <c r="X92" i="103"/>
  <c r="AJ92" i="103"/>
  <c r="AX92" i="103"/>
  <c r="AN92" i="103"/>
  <c r="BB92" i="103"/>
  <c r="T93" i="103"/>
  <c r="X93" i="103"/>
  <c r="AJ93" i="103"/>
  <c r="AX93" i="103"/>
  <c r="AN93" i="103"/>
  <c r="BB93" i="103"/>
  <c r="T94" i="103"/>
  <c r="X94" i="103"/>
  <c r="AJ94" i="103"/>
  <c r="AX94" i="103"/>
  <c r="AN94" i="103"/>
  <c r="BB94" i="103"/>
  <c r="T95" i="103"/>
  <c r="X95" i="103"/>
  <c r="AJ95" i="103"/>
  <c r="AX95" i="103"/>
  <c r="AN95" i="103"/>
  <c r="BB95" i="103"/>
  <c r="T96" i="103"/>
  <c r="AJ96" i="103"/>
  <c r="AX96" i="103"/>
  <c r="AN96" i="103"/>
  <c r="BB96" i="103"/>
  <c r="T97" i="103"/>
  <c r="X97" i="103"/>
  <c r="AJ97" i="103"/>
  <c r="AX97" i="103"/>
  <c r="AN97" i="103"/>
  <c r="BB97" i="103"/>
  <c r="T98" i="103"/>
  <c r="AJ98" i="103"/>
  <c r="AN98" i="103"/>
  <c r="BB98" i="103"/>
  <c r="T99" i="103"/>
  <c r="AJ99" i="103"/>
  <c r="AX99" i="103"/>
  <c r="AN99" i="103"/>
  <c r="BB99" i="103"/>
  <c r="J15" i="103"/>
  <c r="L15" i="103"/>
  <c r="N15" i="103"/>
  <c r="R102" i="103"/>
  <c r="R15" i="103"/>
  <c r="T102" i="103"/>
  <c r="T15" i="103"/>
  <c r="AR15" i="103"/>
  <c r="AT15" i="103"/>
  <c r="BH102" i="103"/>
  <c r="A103" i="103"/>
  <c r="BH103" i="103"/>
  <c r="V103" i="103"/>
  <c r="AJ103" i="103"/>
  <c r="AL103" i="103"/>
  <c r="AZ103" i="103"/>
  <c r="A104" i="103"/>
  <c r="V104" i="103"/>
  <c r="AN104" i="103"/>
  <c r="AJ104" i="103"/>
  <c r="AL104" i="103"/>
  <c r="V106" i="103"/>
  <c r="X106" i="103"/>
  <c r="AJ106" i="103"/>
  <c r="AL106" i="103"/>
  <c r="V107" i="103"/>
  <c r="AN107" i="103"/>
  <c r="BB107" i="103"/>
  <c r="AJ107" i="103"/>
  <c r="AX107" i="103"/>
  <c r="AL107" i="103"/>
  <c r="V108" i="103"/>
  <c r="X108" i="103"/>
  <c r="AJ108" i="103"/>
  <c r="AX108" i="103"/>
  <c r="AL108" i="103"/>
  <c r="AZ108" i="103"/>
  <c r="V109" i="103"/>
  <c r="X109" i="103"/>
  <c r="AJ109" i="103"/>
  <c r="AX109" i="103"/>
  <c r="AL109" i="103"/>
  <c r="AZ109" i="103"/>
  <c r="V110" i="103"/>
  <c r="X110" i="103"/>
  <c r="AJ110" i="103"/>
  <c r="AX110" i="103"/>
  <c r="AL110" i="103"/>
  <c r="AZ110" i="103"/>
  <c r="V111" i="103"/>
  <c r="AJ111" i="103"/>
  <c r="AX111" i="103"/>
  <c r="AL111" i="103"/>
  <c r="AZ111" i="103"/>
  <c r="V112" i="103"/>
  <c r="X112" i="103"/>
  <c r="AJ112" i="103"/>
  <c r="AX112" i="103"/>
  <c r="AL112" i="103"/>
  <c r="AZ112" i="103"/>
  <c r="V113" i="103"/>
  <c r="AJ113" i="103"/>
  <c r="AX113" i="103"/>
  <c r="BD113" i="103"/>
  <c r="AL113" i="103"/>
  <c r="AZ113" i="103"/>
  <c r="J16" i="103"/>
  <c r="L16" i="103"/>
  <c r="N16" i="103"/>
  <c r="T116" i="103"/>
  <c r="T16" i="103"/>
  <c r="V116" i="103"/>
  <c r="V16" i="103"/>
  <c r="AR116" i="103"/>
  <c r="AR16" i="103"/>
  <c r="AT116" i="103"/>
  <c r="AT16" i="103"/>
  <c r="AV116" i="103"/>
  <c r="AV16" i="103"/>
  <c r="BH116" i="103"/>
  <c r="A117" i="103"/>
  <c r="BH117" i="103"/>
  <c r="R117" i="103"/>
  <c r="X117" i="103"/>
  <c r="AL117" i="103"/>
  <c r="AL116" i="103"/>
  <c r="AL16" i="103"/>
  <c r="AN117" i="103"/>
  <c r="BB117" i="103"/>
  <c r="R118" i="103"/>
  <c r="AL118" i="103"/>
  <c r="AZ118" i="103"/>
  <c r="AN118" i="103"/>
  <c r="BB118" i="103"/>
  <c r="BB116" i="103"/>
  <c r="BB16" i="103"/>
  <c r="X119" i="103"/>
  <c r="AJ119" i="103"/>
  <c r="AX119" i="103"/>
  <c r="AL119" i="103"/>
  <c r="AN119" i="103"/>
  <c r="BB119" i="103"/>
  <c r="X120" i="103"/>
  <c r="AJ120" i="103"/>
  <c r="AX120" i="103"/>
  <c r="AL120" i="103"/>
  <c r="AZ120" i="103"/>
  <c r="AN120" i="103"/>
  <c r="BB120" i="103"/>
  <c r="X121" i="103"/>
  <c r="AJ121" i="103"/>
  <c r="AX121" i="103"/>
  <c r="AL121" i="103"/>
  <c r="AZ121" i="103"/>
  <c r="AN121" i="103"/>
  <c r="BB121" i="103"/>
  <c r="AJ122" i="103"/>
  <c r="AL122" i="103"/>
  <c r="AZ122" i="103"/>
  <c r="AN122" i="103"/>
  <c r="BB122" i="103"/>
  <c r="L20" i="103"/>
  <c r="N20" i="103"/>
  <c r="R124" i="103"/>
  <c r="R20" i="103"/>
  <c r="V124" i="103"/>
  <c r="V20" i="103"/>
  <c r="AR124" i="103"/>
  <c r="AR20" i="103"/>
  <c r="AT124" i="103"/>
  <c r="AT20" i="103"/>
  <c r="AV124" i="103"/>
  <c r="AV20" i="103"/>
  <c r="BH124" i="103"/>
  <c r="A125" i="103"/>
  <c r="BH125" i="103"/>
  <c r="AL46" i="103"/>
  <c r="AZ46" i="103"/>
  <c r="AX122" i="103"/>
  <c r="AX82" i="103"/>
  <c r="AX70" i="103"/>
  <c r="AX66" i="103"/>
  <c r="AX69" i="103"/>
  <c r="AX53" i="103"/>
  <c r="AL26" i="103"/>
  <c r="AL12" i="103"/>
  <c r="I44" i="86"/>
  <c r="E14" i="86"/>
  <c r="E20" i="86"/>
  <c r="E30" i="86"/>
  <c r="E10" i="86"/>
  <c r="E36" i="86"/>
  <c r="E44" i="86"/>
  <c r="C15" i="69"/>
  <c r="BI1" i="104"/>
  <c r="K54" i="83"/>
  <c r="K47" i="83"/>
  <c r="K46" i="83"/>
  <c r="A47" i="83"/>
  <c r="A48" i="83"/>
  <c r="A55" i="83"/>
  <c r="K55" i="83"/>
  <c r="H57" i="83"/>
  <c r="A56" i="83"/>
  <c r="A57" i="83"/>
  <c r="A58" i="83"/>
  <c r="K58" i="83"/>
  <c r="H55" i="83"/>
  <c r="H56" i="83"/>
  <c r="E26" i="2"/>
  <c r="H24" i="47"/>
  <c r="H25" i="47"/>
  <c r="H24" i="1"/>
  <c r="H25" i="1"/>
  <c r="B150" i="80"/>
  <c r="B151" i="80"/>
  <c r="B152" i="80"/>
  <c r="B153" i="80"/>
  <c r="B154" i="80"/>
  <c r="B155" i="80"/>
  <c r="B156" i="80"/>
  <c r="B157" i="80"/>
  <c r="B158" i="80"/>
  <c r="B159" i="80"/>
  <c r="B160" i="80"/>
  <c r="B149" i="80"/>
  <c r="B132" i="80"/>
  <c r="B133" i="80"/>
  <c r="B134" i="80"/>
  <c r="B135" i="80"/>
  <c r="B136" i="80"/>
  <c r="B137" i="80"/>
  <c r="B138" i="80"/>
  <c r="B139" i="80"/>
  <c r="B140" i="80"/>
  <c r="B141" i="80"/>
  <c r="B142" i="80"/>
  <c r="B143" i="80"/>
  <c r="E58" i="47"/>
  <c r="E57" i="47"/>
  <c r="E59" i="47"/>
  <c r="E68" i="47"/>
  <c r="C15" i="88"/>
  <c r="C16" i="88"/>
  <c r="A14" i="88"/>
  <c r="F13" i="88"/>
  <c r="F12" i="88"/>
  <c r="C10" i="94"/>
  <c r="C12" i="94"/>
  <c r="C6" i="93"/>
  <c r="C11" i="93"/>
  <c r="A9" i="94"/>
  <c r="F9" i="94"/>
  <c r="F8" i="94"/>
  <c r="E1" i="94"/>
  <c r="D12" i="93"/>
  <c r="A11" i="93"/>
  <c r="F11" i="93"/>
  <c r="F10" i="93"/>
  <c r="A6" i="93"/>
  <c r="F5" i="93"/>
  <c r="F3" i="93"/>
  <c r="E1" i="93"/>
  <c r="F56" i="92"/>
  <c r="A37" i="92"/>
  <c r="G19" i="92"/>
  <c r="I36" i="92"/>
  <c r="A12" i="92"/>
  <c r="I11" i="92"/>
  <c r="I6" i="92"/>
  <c r="I5" i="92"/>
  <c r="H1" i="92"/>
  <c r="E23" i="91"/>
  <c r="E155" i="1"/>
  <c r="E106" i="47"/>
  <c r="E22" i="91"/>
  <c r="E95" i="47"/>
  <c r="A22" i="91"/>
  <c r="G21" i="91"/>
  <c r="E21" i="91"/>
  <c r="E94" i="47"/>
  <c r="A18" i="91"/>
  <c r="G18" i="91"/>
  <c r="G17" i="91"/>
  <c r="A13" i="91"/>
  <c r="G13" i="91"/>
  <c r="G12" i="91"/>
  <c r="A8" i="91"/>
  <c r="G8" i="91"/>
  <c r="G7" i="91"/>
  <c r="G4" i="91"/>
  <c r="C63" i="90"/>
  <c r="C13" i="90"/>
  <c r="C20" i="90"/>
  <c r="A7" i="90"/>
  <c r="F6" i="90"/>
  <c r="F4" i="90"/>
  <c r="E59" i="89"/>
  <c r="D58" i="89"/>
  <c r="D57" i="89"/>
  <c r="D56" i="89"/>
  <c r="D55" i="89"/>
  <c r="D54" i="89"/>
  <c r="D53" i="89"/>
  <c r="D52" i="89"/>
  <c r="D51" i="89"/>
  <c r="D50" i="89"/>
  <c r="D49" i="89"/>
  <c r="D48" i="89"/>
  <c r="H47" i="89"/>
  <c r="D47" i="89"/>
  <c r="A47" i="89"/>
  <c r="A48" i="89"/>
  <c r="A49" i="89"/>
  <c r="K46" i="89"/>
  <c r="H46" i="89"/>
  <c r="E46" i="89"/>
  <c r="E47" i="89"/>
  <c r="E48" i="89"/>
  <c r="E49" i="89"/>
  <c r="E50" i="89"/>
  <c r="E51" i="89"/>
  <c r="E52" i="89"/>
  <c r="E53" i="89"/>
  <c r="E54" i="89"/>
  <c r="E55" i="89"/>
  <c r="E56" i="89"/>
  <c r="E57" i="89"/>
  <c r="E58" i="89"/>
  <c r="K45" i="89"/>
  <c r="A32" i="89"/>
  <c r="K31" i="89"/>
  <c r="K29" i="89"/>
  <c r="D22" i="89"/>
  <c r="E14" i="89"/>
  <c r="D14" i="89"/>
  <c r="D15" i="89"/>
  <c r="A14" i="89"/>
  <c r="A15" i="89"/>
  <c r="F24" i="89"/>
  <c r="K13" i="89"/>
  <c r="E13" i="89"/>
  <c r="D13" i="89"/>
  <c r="K12" i="89"/>
  <c r="A8" i="89"/>
  <c r="K8" i="89"/>
  <c r="K7" i="89"/>
  <c r="K6" i="89"/>
  <c r="C8" i="88"/>
  <c r="C9" i="88"/>
  <c r="A7" i="88"/>
  <c r="F7" i="88"/>
  <c r="F6" i="88"/>
  <c r="F5" i="88"/>
  <c r="A37" i="87"/>
  <c r="A38" i="87"/>
  <c r="G36" i="87"/>
  <c r="G35" i="87"/>
  <c r="A29" i="87"/>
  <c r="D37" i="87"/>
  <c r="G28" i="87"/>
  <c r="D28" i="87"/>
  <c r="G27" i="87"/>
  <c r="G23" i="87"/>
  <c r="E22" i="87"/>
  <c r="F22" i="87"/>
  <c r="E21" i="87"/>
  <c r="F21" i="87"/>
  <c r="E20" i="87"/>
  <c r="F20" i="87"/>
  <c r="E19" i="87"/>
  <c r="E18" i="87"/>
  <c r="A18" i="87"/>
  <c r="G17" i="87"/>
  <c r="C10" i="87"/>
  <c r="A8" i="87"/>
  <c r="A9" i="87"/>
  <c r="A10" i="87"/>
  <c r="G10" i="87"/>
  <c r="G6" i="87"/>
  <c r="G5" i="87"/>
  <c r="H61" i="86"/>
  <c r="H60" i="86"/>
  <c r="H59" i="86"/>
  <c r="H58" i="86"/>
  <c r="H57" i="86"/>
  <c r="H56" i="86"/>
  <c r="H55" i="86"/>
  <c r="H54" i="86"/>
  <c r="H53" i="86"/>
  <c r="H52" i="86"/>
  <c r="H51" i="86"/>
  <c r="H50" i="86"/>
  <c r="H49" i="86"/>
  <c r="H48" i="86"/>
  <c r="H47" i="86"/>
  <c r="H46" i="86"/>
  <c r="H45" i="86"/>
  <c r="G44" i="86"/>
  <c r="F44" i="86"/>
  <c r="A44" i="86"/>
  <c r="K43" i="86"/>
  <c r="H41" i="86"/>
  <c r="H40" i="86"/>
  <c r="H39" i="86"/>
  <c r="H38" i="86"/>
  <c r="H37" i="86"/>
  <c r="I36" i="86"/>
  <c r="G36" i="86"/>
  <c r="F36" i="86"/>
  <c r="A36" i="86"/>
  <c r="A37" i="86"/>
  <c r="K35" i="86"/>
  <c r="H33" i="86"/>
  <c r="H32" i="86"/>
  <c r="H31" i="86"/>
  <c r="I30" i="86"/>
  <c r="G30" i="86"/>
  <c r="F30" i="86"/>
  <c r="A30" i="86"/>
  <c r="K29" i="86"/>
  <c r="H27" i="86"/>
  <c r="H26" i="86"/>
  <c r="H25" i="86"/>
  <c r="H24" i="86"/>
  <c r="H23" i="86"/>
  <c r="H22" i="86"/>
  <c r="H21" i="86"/>
  <c r="I20" i="86"/>
  <c r="I10" i="86"/>
  <c r="C6" i="87"/>
  <c r="G20" i="86"/>
  <c r="F20" i="86"/>
  <c r="A20" i="86"/>
  <c r="K20" i="86"/>
  <c r="K19" i="86"/>
  <c r="H17" i="86"/>
  <c r="H16" i="86"/>
  <c r="H15" i="86"/>
  <c r="I14" i="86"/>
  <c r="G14" i="86"/>
  <c r="F14" i="86"/>
  <c r="A14" i="86"/>
  <c r="A15" i="86"/>
  <c r="K13" i="86"/>
  <c r="K10" i="86"/>
  <c r="K9" i="86"/>
  <c r="K37" i="84"/>
  <c r="J37" i="84"/>
  <c r="L37" i="84"/>
  <c r="F37" i="84"/>
  <c r="K36" i="84"/>
  <c r="J36" i="84"/>
  <c r="F36" i="84"/>
  <c r="K35" i="84"/>
  <c r="J35" i="84"/>
  <c r="F35" i="84"/>
  <c r="K34" i="84"/>
  <c r="J34" i="84"/>
  <c r="F34" i="84"/>
  <c r="B34" i="84"/>
  <c r="K33" i="84"/>
  <c r="J33" i="84"/>
  <c r="F33" i="84"/>
  <c r="K32" i="84"/>
  <c r="J32" i="84"/>
  <c r="L32" i="84"/>
  <c r="F32" i="84"/>
  <c r="K31" i="84"/>
  <c r="J31" i="84"/>
  <c r="F31" i="84"/>
  <c r="K30" i="84"/>
  <c r="J30" i="84"/>
  <c r="F30" i="84"/>
  <c r="K29" i="84"/>
  <c r="J29" i="84"/>
  <c r="F29" i="84"/>
  <c r="B29" i="84"/>
  <c r="B30" i="84"/>
  <c r="B31" i="84"/>
  <c r="B32" i="84"/>
  <c r="K28" i="84"/>
  <c r="J28" i="84"/>
  <c r="L28" i="84"/>
  <c r="F28" i="84"/>
  <c r="K27" i="84"/>
  <c r="J27" i="84"/>
  <c r="F27" i="84"/>
  <c r="K26" i="84"/>
  <c r="J26" i="84"/>
  <c r="F26" i="84"/>
  <c r="K25" i="84"/>
  <c r="J25" i="84"/>
  <c r="F25" i="84"/>
  <c r="K24" i="84"/>
  <c r="J24" i="84"/>
  <c r="N24" i="84"/>
  <c r="F24" i="84"/>
  <c r="K23" i="84"/>
  <c r="J23" i="84"/>
  <c r="F23" i="84"/>
  <c r="K22" i="84"/>
  <c r="J22" i="84"/>
  <c r="F22" i="84"/>
  <c r="K21" i="84"/>
  <c r="J21" i="84"/>
  <c r="F21" i="84"/>
  <c r="K20" i="84"/>
  <c r="J20" i="84"/>
  <c r="F20" i="84"/>
  <c r="K19" i="84"/>
  <c r="J19" i="84"/>
  <c r="F19" i="84"/>
  <c r="K18" i="84"/>
  <c r="J18" i="84"/>
  <c r="F18" i="84"/>
  <c r="K17" i="84"/>
  <c r="J17" i="84"/>
  <c r="F17" i="84"/>
  <c r="K16" i="84"/>
  <c r="J16" i="84"/>
  <c r="F16" i="84"/>
  <c r="K15" i="84"/>
  <c r="J15" i="84"/>
  <c r="F15" i="84"/>
  <c r="K14" i="84"/>
  <c r="J14" i="84"/>
  <c r="F14" i="84"/>
  <c r="K13" i="84"/>
  <c r="J13" i="84"/>
  <c r="F13" i="84"/>
  <c r="K12" i="84"/>
  <c r="J12" i="84"/>
  <c r="F12" i="84"/>
  <c r="K11" i="84"/>
  <c r="J11" i="84"/>
  <c r="I11" i="84"/>
  <c r="F11" i="84"/>
  <c r="A11" i="84"/>
  <c r="A12" i="84"/>
  <c r="Q10" i="84"/>
  <c r="E10" i="84"/>
  <c r="D10" i="84"/>
  <c r="E34" i="83"/>
  <c r="E27" i="83"/>
  <c r="D34" i="83"/>
  <c r="C34" i="83"/>
  <c r="E26" i="83"/>
  <c r="K33" i="83"/>
  <c r="A26" i="83"/>
  <c r="A27" i="83"/>
  <c r="K25" i="83"/>
  <c r="K24" i="83"/>
  <c r="A24" i="82"/>
  <c r="F25" i="82"/>
  <c r="G23" i="82"/>
  <c r="E13" i="82"/>
  <c r="D13" i="82"/>
  <c r="A12" i="82"/>
  <c r="F13" i="82"/>
  <c r="G11" i="82"/>
  <c r="G10" i="82"/>
  <c r="A6" i="82"/>
  <c r="G6" i="82"/>
  <c r="G5" i="82"/>
  <c r="G4" i="82"/>
  <c r="C20" i="81"/>
  <c r="E26" i="47"/>
  <c r="C17" i="81"/>
  <c r="C13" i="81"/>
  <c r="F11" i="81"/>
  <c r="C7" i="81"/>
  <c r="A7" i="81"/>
  <c r="F7" i="81"/>
  <c r="A8" i="81"/>
  <c r="F6" i="81"/>
  <c r="F5" i="81"/>
  <c r="B169" i="80"/>
  <c r="B170" i="80"/>
  <c r="B171" i="80"/>
  <c r="B172" i="80"/>
  <c r="B173" i="80"/>
  <c r="B174" i="80"/>
  <c r="B175" i="80"/>
  <c r="B176" i="80"/>
  <c r="B177" i="80"/>
  <c r="B178" i="80"/>
  <c r="B179" i="80"/>
  <c r="B180" i="80"/>
  <c r="B181" i="80"/>
  <c r="B182" i="80"/>
  <c r="B183" i="80"/>
  <c r="N167" i="80"/>
  <c r="A133" i="80"/>
  <c r="A134" i="80"/>
  <c r="N134" i="80"/>
  <c r="N132" i="80"/>
  <c r="G128" i="80"/>
  <c r="F128" i="80"/>
  <c r="H111" i="80"/>
  <c r="K132" i="80"/>
  <c r="K149" i="80"/>
  <c r="A111" i="80"/>
  <c r="A112" i="80"/>
  <c r="N112" i="80"/>
  <c r="N110" i="80"/>
  <c r="H110" i="80"/>
  <c r="K146" i="80"/>
  <c r="E110" i="80"/>
  <c r="J110" i="80"/>
  <c r="N109" i="80"/>
  <c r="I97" i="80"/>
  <c r="H97" i="80"/>
  <c r="G97" i="80"/>
  <c r="F97" i="80"/>
  <c r="E97" i="80"/>
  <c r="A94" i="80"/>
  <c r="N93" i="80"/>
  <c r="N91" i="80"/>
  <c r="I81" i="80"/>
  <c r="H81" i="80"/>
  <c r="G81" i="80"/>
  <c r="F81" i="80"/>
  <c r="F83" i="80"/>
  <c r="E81" i="80"/>
  <c r="A77" i="80"/>
  <c r="N77" i="80"/>
  <c r="N76" i="80"/>
  <c r="N74" i="80"/>
  <c r="D69" i="80"/>
  <c r="I62" i="80"/>
  <c r="H62" i="80"/>
  <c r="G62" i="80"/>
  <c r="F62" i="80"/>
  <c r="E62" i="80"/>
  <c r="A55" i="80"/>
  <c r="A56" i="80"/>
  <c r="N54" i="80"/>
  <c r="N53" i="80"/>
  <c r="I43" i="80"/>
  <c r="H43" i="80"/>
  <c r="G43" i="80"/>
  <c r="F43" i="80"/>
  <c r="F45" i="80"/>
  <c r="A33" i="80"/>
  <c r="A34" i="80"/>
  <c r="N34" i="80"/>
  <c r="N32" i="80"/>
  <c r="N30" i="80"/>
  <c r="A10" i="80"/>
  <c r="A11" i="80"/>
  <c r="A12" i="80"/>
  <c r="N9" i="80"/>
  <c r="N8" i="80"/>
  <c r="I59" i="79"/>
  <c r="H59" i="79"/>
  <c r="G59" i="79"/>
  <c r="E59" i="79"/>
  <c r="D59" i="79"/>
  <c r="I56" i="79"/>
  <c r="H56" i="79"/>
  <c r="G56" i="79"/>
  <c r="E56" i="79"/>
  <c r="D56" i="79"/>
  <c r="F49" i="79"/>
  <c r="F59" i="79"/>
  <c r="F48" i="79"/>
  <c r="F47" i="79"/>
  <c r="F46" i="79"/>
  <c r="F45" i="79"/>
  <c r="F44" i="79"/>
  <c r="F43" i="79"/>
  <c r="F42" i="79"/>
  <c r="F41" i="79"/>
  <c r="F40" i="79"/>
  <c r="F39" i="79"/>
  <c r="F38" i="79"/>
  <c r="A38" i="79"/>
  <c r="J37" i="79"/>
  <c r="F37" i="79"/>
  <c r="J36" i="79"/>
  <c r="E26" i="79"/>
  <c r="E13" i="47"/>
  <c r="D26" i="79"/>
  <c r="A14" i="79"/>
  <c r="A15" i="79"/>
  <c r="J13" i="79"/>
  <c r="J12" i="79"/>
  <c r="Q28" i="78"/>
  <c r="Q27" i="78"/>
  <c r="E98" i="77"/>
  <c r="D19" i="78"/>
  <c r="B19" i="78"/>
  <c r="D18" i="78"/>
  <c r="B18" i="78"/>
  <c r="D17" i="78"/>
  <c r="B17" i="78"/>
  <c r="D16" i="78"/>
  <c r="B16" i="78"/>
  <c r="D15" i="78"/>
  <c r="B15" i="78"/>
  <c r="D14" i="78"/>
  <c r="B14" i="78"/>
  <c r="D13" i="78"/>
  <c r="B13" i="78"/>
  <c r="D12" i="78"/>
  <c r="B12" i="78"/>
  <c r="D11" i="78"/>
  <c r="B11" i="78"/>
  <c r="A11" i="78"/>
  <c r="Q10" i="78"/>
  <c r="D10" i="78"/>
  <c r="B10" i="78"/>
  <c r="P1" i="78"/>
  <c r="A130" i="77"/>
  <c r="Q129" i="77"/>
  <c r="Q128" i="77"/>
  <c r="A111" i="77"/>
  <c r="Q111" i="77"/>
  <c r="Q110" i="77"/>
  <c r="Q108" i="77"/>
  <c r="Q97" i="77"/>
  <c r="A77" i="77"/>
  <c r="A78" i="77"/>
  <c r="Q76" i="77"/>
  <c r="Q75" i="77"/>
  <c r="Q61" i="77"/>
  <c r="Q60" i="77"/>
  <c r="Q51" i="77"/>
  <c r="Q50" i="77"/>
  <c r="Q38" i="77"/>
  <c r="Q37" i="77"/>
  <c r="Q25" i="77"/>
  <c r="C25" i="77"/>
  <c r="Q24" i="77"/>
  <c r="N15" i="77"/>
  <c r="M15" i="77"/>
  <c r="L15" i="77"/>
  <c r="K15" i="77"/>
  <c r="J15" i="77"/>
  <c r="I15" i="77"/>
  <c r="H15" i="77"/>
  <c r="G15" i="77"/>
  <c r="F15" i="77"/>
  <c r="E15" i="77"/>
  <c r="D15" i="77"/>
  <c r="C15" i="77"/>
  <c r="O14" i="77"/>
  <c r="A14" i="77"/>
  <c r="Q14" i="77"/>
  <c r="Q13" i="77"/>
  <c r="O13" i="77"/>
  <c r="Q12" i="77"/>
  <c r="A129" i="76"/>
  <c r="R129" i="76"/>
  <c r="A128" i="76"/>
  <c r="R128" i="76"/>
  <c r="R127" i="76"/>
  <c r="R126" i="76"/>
  <c r="D117" i="76"/>
  <c r="A116" i="76"/>
  <c r="R116" i="76"/>
  <c r="R115" i="76"/>
  <c r="R114" i="76"/>
  <c r="D103" i="76"/>
  <c r="A102" i="76"/>
  <c r="R101" i="76"/>
  <c r="R100" i="76"/>
  <c r="F89" i="76"/>
  <c r="E89" i="76"/>
  <c r="D88" i="76"/>
  <c r="A88" i="76"/>
  <c r="R87" i="76"/>
  <c r="D87" i="76"/>
  <c r="R86" i="76"/>
  <c r="O77" i="76"/>
  <c r="N77" i="76"/>
  <c r="M77" i="76"/>
  <c r="L77" i="76"/>
  <c r="K77" i="76"/>
  <c r="J77" i="76"/>
  <c r="I77" i="76"/>
  <c r="H77" i="76"/>
  <c r="G77" i="76"/>
  <c r="F77" i="76"/>
  <c r="E77" i="76"/>
  <c r="D77" i="76"/>
  <c r="P76" i="76"/>
  <c r="E23" i="92"/>
  <c r="P75" i="76"/>
  <c r="P74" i="76"/>
  <c r="P73" i="76"/>
  <c r="P72" i="76"/>
  <c r="P71" i="76"/>
  <c r="P70" i="76"/>
  <c r="P69" i="76"/>
  <c r="P68" i="76"/>
  <c r="P67" i="76"/>
  <c r="P66" i="76"/>
  <c r="P65" i="76"/>
  <c r="A65" i="76"/>
  <c r="R65" i="76"/>
  <c r="R64" i="76"/>
  <c r="P64" i="76"/>
  <c r="R63" i="76"/>
  <c r="O52" i="76"/>
  <c r="N52" i="76"/>
  <c r="M52" i="76"/>
  <c r="L52" i="76"/>
  <c r="K52" i="76"/>
  <c r="J52" i="76"/>
  <c r="I52" i="76"/>
  <c r="H52" i="76"/>
  <c r="G52" i="76"/>
  <c r="F52" i="76"/>
  <c r="E52" i="76"/>
  <c r="D52" i="76"/>
  <c r="P51" i="76"/>
  <c r="D23" i="92"/>
  <c r="P50" i="76"/>
  <c r="P49" i="76"/>
  <c r="P48" i="76"/>
  <c r="P47" i="76"/>
  <c r="P46" i="76"/>
  <c r="P45" i="76"/>
  <c r="P44" i="76"/>
  <c r="P43" i="76"/>
  <c r="P42" i="76"/>
  <c r="P41" i="76"/>
  <c r="P40" i="76"/>
  <c r="A40" i="76"/>
  <c r="R40" i="76"/>
  <c r="R39" i="76"/>
  <c r="P39" i="76"/>
  <c r="R38" i="76"/>
  <c r="O26" i="76"/>
  <c r="I19" i="78"/>
  <c r="N26" i="76"/>
  <c r="I18" i="78"/>
  <c r="M26" i="76"/>
  <c r="I17" i="78"/>
  <c r="L26" i="76"/>
  <c r="I16" i="78"/>
  <c r="K26" i="76"/>
  <c r="I15" i="78"/>
  <c r="J26" i="76"/>
  <c r="I14" i="78"/>
  <c r="I26" i="76"/>
  <c r="H26" i="76"/>
  <c r="I12" i="78"/>
  <c r="G26" i="76"/>
  <c r="I11" i="78"/>
  <c r="F26" i="76"/>
  <c r="E26" i="76"/>
  <c r="D26" i="76"/>
  <c r="O25" i="76"/>
  <c r="N25" i="76"/>
  <c r="M25" i="76"/>
  <c r="L25" i="76"/>
  <c r="K25" i="76"/>
  <c r="J25" i="76"/>
  <c r="I25" i="76"/>
  <c r="H25" i="76"/>
  <c r="G25" i="76"/>
  <c r="F25" i="76"/>
  <c r="E25" i="76"/>
  <c r="D25" i="76"/>
  <c r="O24" i="76"/>
  <c r="N24" i="76"/>
  <c r="M24" i="76"/>
  <c r="L24" i="76"/>
  <c r="K24" i="76"/>
  <c r="J24" i="76"/>
  <c r="I24" i="76"/>
  <c r="H24" i="76"/>
  <c r="G24" i="76"/>
  <c r="F24" i="76"/>
  <c r="E24" i="76"/>
  <c r="D24" i="76"/>
  <c r="P24" i="76"/>
  <c r="O23" i="76"/>
  <c r="N23" i="76"/>
  <c r="M23" i="76"/>
  <c r="L23" i="76"/>
  <c r="K23" i="76"/>
  <c r="J23" i="76"/>
  <c r="I23" i="76"/>
  <c r="H23" i="76"/>
  <c r="G23" i="76"/>
  <c r="F23" i="76"/>
  <c r="E23" i="76"/>
  <c r="D23" i="76"/>
  <c r="P23" i="76"/>
  <c r="O22" i="76"/>
  <c r="N22" i="76"/>
  <c r="M22" i="76"/>
  <c r="L22" i="76"/>
  <c r="K22" i="76"/>
  <c r="J22" i="76"/>
  <c r="I22" i="76"/>
  <c r="H22" i="76"/>
  <c r="G22" i="76"/>
  <c r="F22" i="76"/>
  <c r="E22" i="76"/>
  <c r="D22" i="76"/>
  <c r="O21" i="76"/>
  <c r="N21" i="76"/>
  <c r="M21" i="76"/>
  <c r="L21" i="76"/>
  <c r="K21" i="76"/>
  <c r="J21" i="76"/>
  <c r="I21" i="76"/>
  <c r="H21" i="76"/>
  <c r="G21" i="76"/>
  <c r="F21" i="76"/>
  <c r="E21" i="76"/>
  <c r="D21" i="76"/>
  <c r="O20" i="76"/>
  <c r="N20" i="76"/>
  <c r="M20" i="76"/>
  <c r="L20" i="76"/>
  <c r="K20" i="76"/>
  <c r="J20" i="76"/>
  <c r="I20" i="76"/>
  <c r="H20" i="76"/>
  <c r="G20" i="76"/>
  <c r="F20" i="76"/>
  <c r="E20" i="76"/>
  <c r="D20" i="76"/>
  <c r="O19" i="76"/>
  <c r="N19" i="76"/>
  <c r="M19" i="76"/>
  <c r="L19" i="76"/>
  <c r="K19" i="76"/>
  <c r="J19" i="76"/>
  <c r="I19" i="76"/>
  <c r="H19" i="76"/>
  <c r="G19" i="76"/>
  <c r="F19" i="76"/>
  <c r="E19" i="76"/>
  <c r="D19" i="76"/>
  <c r="O18" i="76"/>
  <c r="N18" i="76"/>
  <c r="M18" i="76"/>
  <c r="L18" i="76"/>
  <c r="K18" i="76"/>
  <c r="J18" i="76"/>
  <c r="I18" i="76"/>
  <c r="H18" i="76"/>
  <c r="G18" i="76"/>
  <c r="F18" i="76"/>
  <c r="E18" i="76"/>
  <c r="D18" i="76"/>
  <c r="O17" i="76"/>
  <c r="N17" i="76"/>
  <c r="M17" i="76"/>
  <c r="L17" i="76"/>
  <c r="K17" i="76"/>
  <c r="J17" i="76"/>
  <c r="I17" i="76"/>
  <c r="H17" i="76"/>
  <c r="G17" i="76"/>
  <c r="F17" i="76"/>
  <c r="E17" i="76"/>
  <c r="D17" i="76"/>
  <c r="O16" i="76"/>
  <c r="N16" i="76"/>
  <c r="M16" i="76"/>
  <c r="L16" i="76"/>
  <c r="K16" i="76"/>
  <c r="J16" i="76"/>
  <c r="I16" i="76"/>
  <c r="H16" i="76"/>
  <c r="G16" i="76"/>
  <c r="F16" i="76"/>
  <c r="E16" i="76"/>
  <c r="D16" i="76"/>
  <c r="O15" i="76"/>
  <c r="N15" i="76"/>
  <c r="M15" i="76"/>
  <c r="L15" i="76"/>
  <c r="K15" i="76"/>
  <c r="J15" i="76"/>
  <c r="I15" i="76"/>
  <c r="H15" i="76"/>
  <c r="G15" i="76"/>
  <c r="F15" i="76"/>
  <c r="E15" i="76"/>
  <c r="D15" i="76"/>
  <c r="A15" i="76"/>
  <c r="A16" i="76"/>
  <c r="R14" i="76"/>
  <c r="Q14" i="76"/>
  <c r="O14" i="76"/>
  <c r="N14" i="76"/>
  <c r="M14" i="76"/>
  <c r="L14" i="76"/>
  <c r="K14" i="76"/>
  <c r="J14" i="76"/>
  <c r="I14" i="76"/>
  <c r="H14" i="76"/>
  <c r="G14" i="76"/>
  <c r="F14" i="76"/>
  <c r="E14" i="76"/>
  <c r="D14" i="76"/>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B90" i="75"/>
  <c r="B89" i="75"/>
  <c r="A89" i="75"/>
  <c r="A90" i="75"/>
  <c r="J88" i="75"/>
  <c r="E88" i="75"/>
  <c r="B88" i="75"/>
  <c r="J87" i="75"/>
  <c r="C87" i="75"/>
  <c r="B87" i="75"/>
  <c r="B86" i="75"/>
  <c r="C75" i="75"/>
  <c r="C74" i="75"/>
  <c r="C73" i="75"/>
  <c r="C72" i="75"/>
  <c r="C71" i="75"/>
  <c r="C70" i="75"/>
  <c r="C69" i="75"/>
  <c r="C68" i="75"/>
  <c r="C67" i="75"/>
  <c r="C66" i="75"/>
  <c r="C65" i="75"/>
  <c r="C64" i="75"/>
  <c r="A53" i="75"/>
  <c r="J53" i="75"/>
  <c r="J52" i="75"/>
  <c r="E52" i="75"/>
  <c r="E53" i="75"/>
  <c r="J51" i="75"/>
  <c r="C51" i="75"/>
  <c r="B51" i="75"/>
  <c r="B50" i="75"/>
  <c r="G38" i="75"/>
  <c r="D38" i="75"/>
  <c r="D160" i="80"/>
  <c r="F160" i="80"/>
  <c r="C38" i="75"/>
  <c r="B38" i="75"/>
  <c r="G37" i="75"/>
  <c r="D37" i="75"/>
  <c r="D159" i="80"/>
  <c r="F159" i="80"/>
  <c r="C37" i="75"/>
  <c r="B37" i="75"/>
  <c r="G36" i="75"/>
  <c r="D36" i="75"/>
  <c r="D158" i="80"/>
  <c r="F158" i="80"/>
  <c r="C36" i="75"/>
  <c r="B36" i="75"/>
  <c r="G35" i="75"/>
  <c r="D35" i="75"/>
  <c r="D157" i="80"/>
  <c r="F157" i="80"/>
  <c r="C35" i="75"/>
  <c r="B35" i="75"/>
  <c r="G34" i="75"/>
  <c r="D34" i="75"/>
  <c r="D156" i="80"/>
  <c r="F156" i="80"/>
  <c r="C34" i="75"/>
  <c r="B34" i="75"/>
  <c r="G33" i="75"/>
  <c r="D33" i="75"/>
  <c r="D155" i="80"/>
  <c r="F155" i="80"/>
  <c r="C33" i="75"/>
  <c r="B33" i="75"/>
  <c r="G32" i="75"/>
  <c r="D32" i="75"/>
  <c r="D154" i="80"/>
  <c r="F154" i="80"/>
  <c r="C32" i="75"/>
  <c r="B32" i="75"/>
  <c r="G31" i="75"/>
  <c r="D31" i="75"/>
  <c r="D153" i="80"/>
  <c r="F153" i="80"/>
  <c r="C31" i="75"/>
  <c r="B31" i="75"/>
  <c r="G30" i="75"/>
  <c r="D30" i="75"/>
  <c r="D152" i="80"/>
  <c r="F152" i="80"/>
  <c r="C30" i="75"/>
  <c r="B30" i="75"/>
  <c r="G29" i="75"/>
  <c r="D29" i="75"/>
  <c r="D151" i="80"/>
  <c r="F151" i="80"/>
  <c r="C29" i="75"/>
  <c r="B29" i="75"/>
  <c r="G28" i="75"/>
  <c r="D28" i="75"/>
  <c r="D150" i="80"/>
  <c r="F150" i="80"/>
  <c r="C28" i="75"/>
  <c r="B28" i="75"/>
  <c r="G27" i="75"/>
  <c r="D27" i="75"/>
  <c r="D149" i="80"/>
  <c r="C27" i="75"/>
  <c r="B27" i="75"/>
  <c r="G26" i="75"/>
  <c r="D26" i="75"/>
  <c r="D143" i="80"/>
  <c r="F143" i="80"/>
  <c r="B26" i="75"/>
  <c r="G25" i="75"/>
  <c r="D25" i="75"/>
  <c r="D142" i="80"/>
  <c r="F142" i="80"/>
  <c r="B25" i="75"/>
  <c r="G24" i="75"/>
  <c r="D24" i="75"/>
  <c r="D141" i="80"/>
  <c r="F141" i="80"/>
  <c r="B24" i="75"/>
  <c r="G23" i="75"/>
  <c r="D23" i="75"/>
  <c r="D140" i="80"/>
  <c r="F140" i="80"/>
  <c r="B23" i="75"/>
  <c r="G22" i="75"/>
  <c r="D22" i="75"/>
  <c r="D139" i="80"/>
  <c r="F139" i="80"/>
  <c r="B22" i="75"/>
  <c r="G21" i="75"/>
  <c r="D21" i="75"/>
  <c r="D138" i="80"/>
  <c r="F138" i="80"/>
  <c r="B21" i="75"/>
  <c r="G20" i="75"/>
  <c r="D20" i="75"/>
  <c r="D137" i="80"/>
  <c r="F137" i="80"/>
  <c r="B20" i="75"/>
  <c r="G19" i="75"/>
  <c r="D19" i="75"/>
  <c r="D136" i="80"/>
  <c r="F136" i="80"/>
  <c r="B19" i="75"/>
  <c r="G18" i="75"/>
  <c r="D18" i="75"/>
  <c r="D135" i="80"/>
  <c r="F135" i="80"/>
  <c r="B18" i="75"/>
  <c r="G17" i="75"/>
  <c r="D17" i="75"/>
  <c r="D134" i="80"/>
  <c r="F134" i="80"/>
  <c r="B17" i="75"/>
  <c r="G16" i="75"/>
  <c r="D16" i="75"/>
  <c r="D133" i="80"/>
  <c r="B16" i="75"/>
  <c r="A16" i="75"/>
  <c r="A17" i="75"/>
  <c r="J15" i="75"/>
  <c r="G15" i="75"/>
  <c r="D15" i="75"/>
  <c r="D132" i="80"/>
  <c r="F132" i="80"/>
  <c r="B15" i="75"/>
  <c r="J14" i="75"/>
  <c r="K18" i="102"/>
  <c r="K17" i="102"/>
  <c r="A13" i="102"/>
  <c r="A14" i="102"/>
  <c r="A17" i="102"/>
  <c r="Q12" i="102"/>
  <c r="Q11" i="102"/>
  <c r="A128" i="73"/>
  <c r="R128" i="73"/>
  <c r="A129" i="73"/>
  <c r="R129" i="73"/>
  <c r="R127" i="73"/>
  <c r="R126" i="73"/>
  <c r="D116" i="73"/>
  <c r="A115" i="73"/>
  <c r="R114" i="73"/>
  <c r="R113" i="73"/>
  <c r="D102" i="73"/>
  <c r="A101" i="73"/>
  <c r="R100" i="73"/>
  <c r="R99" i="73"/>
  <c r="F88" i="73"/>
  <c r="E88" i="73"/>
  <c r="D87" i="73"/>
  <c r="A87" i="73"/>
  <c r="R87" i="73"/>
  <c r="R86" i="73"/>
  <c r="D86" i="73"/>
  <c r="R85" i="73"/>
  <c r="O75" i="73"/>
  <c r="N75" i="73"/>
  <c r="M75" i="73"/>
  <c r="L75" i="73"/>
  <c r="K75" i="73"/>
  <c r="J75" i="73"/>
  <c r="I75" i="73"/>
  <c r="H75" i="73"/>
  <c r="G75" i="73"/>
  <c r="F75" i="73"/>
  <c r="E75" i="73"/>
  <c r="D75" i="73"/>
  <c r="P74" i="73"/>
  <c r="E11" i="92"/>
  <c r="P73" i="73"/>
  <c r="P72" i="73"/>
  <c r="P71" i="73"/>
  <c r="P70" i="73"/>
  <c r="P69" i="73"/>
  <c r="P68" i="73"/>
  <c r="P67" i="73"/>
  <c r="P66" i="73"/>
  <c r="P65" i="73"/>
  <c r="P64" i="73"/>
  <c r="R63" i="73"/>
  <c r="P63" i="73"/>
  <c r="A63" i="73"/>
  <c r="A64" i="73"/>
  <c r="R62" i="73"/>
  <c r="P62" i="73"/>
  <c r="R61" i="73"/>
  <c r="O50" i="73"/>
  <c r="N50" i="73"/>
  <c r="M50" i="73"/>
  <c r="L50" i="73"/>
  <c r="K50" i="73"/>
  <c r="J50" i="73"/>
  <c r="I50" i="73"/>
  <c r="H50" i="73"/>
  <c r="G50" i="73"/>
  <c r="F50" i="73"/>
  <c r="E50" i="73"/>
  <c r="D50" i="73"/>
  <c r="P49" i="73"/>
  <c r="P48" i="73"/>
  <c r="P47" i="73"/>
  <c r="P46" i="73"/>
  <c r="P45" i="73"/>
  <c r="P44" i="73"/>
  <c r="P43" i="73"/>
  <c r="P42" i="73"/>
  <c r="P41" i="73"/>
  <c r="P40" i="73"/>
  <c r="P39" i="73"/>
  <c r="P38" i="73"/>
  <c r="A38" i="73"/>
  <c r="A39" i="73"/>
  <c r="R37" i="73"/>
  <c r="P37" i="73"/>
  <c r="R36" i="73"/>
  <c r="O24" i="73"/>
  <c r="N24" i="73"/>
  <c r="F18" i="78"/>
  <c r="M18" i="78"/>
  <c r="M24" i="73"/>
  <c r="F17" i="78"/>
  <c r="H17" i="78"/>
  <c r="L24" i="73"/>
  <c r="F16" i="78"/>
  <c r="K24" i="73"/>
  <c r="F15" i="78"/>
  <c r="H15" i="78"/>
  <c r="J15" i="78"/>
  <c r="K87" i="77"/>
  <c r="J24" i="73"/>
  <c r="I24" i="73"/>
  <c r="H24" i="73"/>
  <c r="F12" i="78"/>
  <c r="G24" i="73"/>
  <c r="F24" i="73"/>
  <c r="F10" i="78"/>
  <c r="E24" i="73"/>
  <c r="E87" i="77"/>
  <c r="D24" i="73"/>
  <c r="O23" i="73"/>
  <c r="O86" i="77"/>
  <c r="N23" i="73"/>
  <c r="N86" i="77"/>
  <c r="M23" i="73"/>
  <c r="M86" i="77"/>
  <c r="L23" i="73"/>
  <c r="L86" i="77"/>
  <c r="K23" i="73"/>
  <c r="K86" i="77"/>
  <c r="J23" i="73"/>
  <c r="J86" i="77"/>
  <c r="I23" i="73"/>
  <c r="I86" i="77"/>
  <c r="H23" i="73"/>
  <c r="H86" i="77"/>
  <c r="G23" i="73"/>
  <c r="G86" i="77"/>
  <c r="F23" i="73"/>
  <c r="F86" i="77"/>
  <c r="E23" i="73"/>
  <c r="E86" i="77"/>
  <c r="D23" i="73"/>
  <c r="D86" i="77"/>
  <c r="D120" i="77"/>
  <c r="O22" i="73"/>
  <c r="O85" i="77"/>
  <c r="N22" i="73"/>
  <c r="N85" i="77"/>
  <c r="M22" i="73"/>
  <c r="M85" i="77"/>
  <c r="L22" i="73"/>
  <c r="L85" i="77"/>
  <c r="K22" i="73"/>
  <c r="K85" i="77"/>
  <c r="J22" i="73"/>
  <c r="J85" i="77"/>
  <c r="I22" i="73"/>
  <c r="I85" i="77"/>
  <c r="H22" i="73"/>
  <c r="H85" i="77"/>
  <c r="G22" i="73"/>
  <c r="G85" i="77"/>
  <c r="F22" i="73"/>
  <c r="F85" i="77"/>
  <c r="E22" i="73"/>
  <c r="E85" i="77"/>
  <c r="D22" i="73"/>
  <c r="D85" i="77"/>
  <c r="D119" i="77"/>
  <c r="O21" i="73"/>
  <c r="O84" i="77"/>
  <c r="N21" i="73"/>
  <c r="N84" i="77"/>
  <c r="M21" i="73"/>
  <c r="M84" i="77"/>
  <c r="L21" i="73"/>
  <c r="L84" i="77"/>
  <c r="K21" i="73"/>
  <c r="K84" i="77"/>
  <c r="J21" i="73"/>
  <c r="J84" i="77"/>
  <c r="I21" i="73"/>
  <c r="I84" i="77"/>
  <c r="H21" i="73"/>
  <c r="H84" i="77"/>
  <c r="G21" i="73"/>
  <c r="G84" i="77"/>
  <c r="F21" i="73"/>
  <c r="F84" i="77"/>
  <c r="E21" i="73"/>
  <c r="E84" i="77"/>
  <c r="D21" i="73"/>
  <c r="D84" i="77"/>
  <c r="D118" i="77"/>
  <c r="O20" i="73"/>
  <c r="O83" i="77"/>
  <c r="N20" i="73"/>
  <c r="N83" i="77"/>
  <c r="M20" i="73"/>
  <c r="M83" i="77"/>
  <c r="L20" i="73"/>
  <c r="L83" i="77"/>
  <c r="K20" i="73"/>
  <c r="K83" i="77"/>
  <c r="J20" i="73"/>
  <c r="J83" i="77"/>
  <c r="I20" i="73"/>
  <c r="I83" i="77"/>
  <c r="H20" i="73"/>
  <c r="G20" i="73"/>
  <c r="G83" i="77"/>
  <c r="F20" i="73"/>
  <c r="F83" i="77"/>
  <c r="E20" i="73"/>
  <c r="E83" i="77"/>
  <c r="D20" i="73"/>
  <c r="D83" i="77"/>
  <c r="O19" i="73"/>
  <c r="O82" i="77"/>
  <c r="N19" i="73"/>
  <c r="N82" i="77"/>
  <c r="M19" i="73"/>
  <c r="M82" i="77"/>
  <c r="L19" i="73"/>
  <c r="L82" i="77"/>
  <c r="K19" i="73"/>
  <c r="K82" i="77"/>
  <c r="J19" i="73"/>
  <c r="J82" i="77"/>
  <c r="I19" i="73"/>
  <c r="I82" i="77"/>
  <c r="H19" i="73"/>
  <c r="H82" i="77"/>
  <c r="G19" i="73"/>
  <c r="G82" i="77"/>
  <c r="F19" i="73"/>
  <c r="F82" i="77"/>
  <c r="E19" i="73"/>
  <c r="E82" i="77"/>
  <c r="D19" i="73"/>
  <c r="O18" i="73"/>
  <c r="O81" i="77"/>
  <c r="N18" i="73"/>
  <c r="N81" i="77"/>
  <c r="M18" i="73"/>
  <c r="M81" i="77"/>
  <c r="L18" i="73"/>
  <c r="L81" i="77"/>
  <c r="K18" i="73"/>
  <c r="K81" i="77"/>
  <c r="J18" i="73"/>
  <c r="J81" i="77"/>
  <c r="I18" i="73"/>
  <c r="I81" i="77"/>
  <c r="H18" i="73"/>
  <c r="G18" i="73"/>
  <c r="G81" i="77"/>
  <c r="F18" i="73"/>
  <c r="F81" i="77"/>
  <c r="E18" i="73"/>
  <c r="E81" i="77"/>
  <c r="D18" i="73"/>
  <c r="D81" i="77"/>
  <c r="O17" i="73"/>
  <c r="O80" i="77"/>
  <c r="N17" i="73"/>
  <c r="N80" i="77"/>
  <c r="M17" i="73"/>
  <c r="M80" i="77"/>
  <c r="L17" i="73"/>
  <c r="L80" i="77"/>
  <c r="K17" i="73"/>
  <c r="K80" i="77"/>
  <c r="J17" i="73"/>
  <c r="J80" i="77"/>
  <c r="I17" i="73"/>
  <c r="I80" i="77"/>
  <c r="H17" i="73"/>
  <c r="H80" i="77"/>
  <c r="G17" i="73"/>
  <c r="G80" i="77"/>
  <c r="F17" i="73"/>
  <c r="F80" i="77"/>
  <c r="E17" i="73"/>
  <c r="E80" i="77"/>
  <c r="D17" i="73"/>
  <c r="O16" i="73"/>
  <c r="O79" i="77"/>
  <c r="N16" i="73"/>
  <c r="N79" i="77"/>
  <c r="M16" i="73"/>
  <c r="M79" i="77"/>
  <c r="L16" i="73"/>
  <c r="L79" i="77"/>
  <c r="K16" i="73"/>
  <c r="K79" i="77"/>
  <c r="J16" i="73"/>
  <c r="J79" i="77"/>
  <c r="I16" i="73"/>
  <c r="I79" i="77"/>
  <c r="H16" i="73"/>
  <c r="G16" i="73"/>
  <c r="G79" i="77"/>
  <c r="F16" i="73"/>
  <c r="F79" i="77"/>
  <c r="E16" i="73"/>
  <c r="E79" i="77"/>
  <c r="D16" i="73"/>
  <c r="D79" i="77"/>
  <c r="O15" i="73"/>
  <c r="O78" i="77"/>
  <c r="N15" i="73"/>
  <c r="N78" i="77"/>
  <c r="M15" i="73"/>
  <c r="M78" i="77"/>
  <c r="L15" i="73"/>
  <c r="L78" i="77"/>
  <c r="K15" i="73"/>
  <c r="K78" i="77"/>
  <c r="J15" i="73"/>
  <c r="J78" i="77"/>
  <c r="I15" i="73"/>
  <c r="I78" i="77"/>
  <c r="H15" i="73"/>
  <c r="H78" i="77"/>
  <c r="G15" i="73"/>
  <c r="G78" i="77"/>
  <c r="F15" i="73"/>
  <c r="F78" i="77"/>
  <c r="E15" i="73"/>
  <c r="E78" i="77"/>
  <c r="D15" i="73"/>
  <c r="O14" i="73"/>
  <c r="O77" i="77"/>
  <c r="N14" i="73"/>
  <c r="N77" i="77"/>
  <c r="M14" i="73"/>
  <c r="M77" i="77"/>
  <c r="L14" i="73"/>
  <c r="L77" i="77"/>
  <c r="K14" i="73"/>
  <c r="K77" i="77"/>
  <c r="J14" i="73"/>
  <c r="J77" i="77"/>
  <c r="I14" i="73"/>
  <c r="I77" i="77"/>
  <c r="H14" i="73"/>
  <c r="G14" i="73"/>
  <c r="G77" i="77"/>
  <c r="F14" i="73"/>
  <c r="F77" i="77"/>
  <c r="E14" i="73"/>
  <c r="E77" i="77"/>
  <c r="D14" i="73"/>
  <c r="D77" i="77"/>
  <c r="D111" i="77"/>
  <c r="Q13" i="73"/>
  <c r="O13" i="73"/>
  <c r="O76" i="77"/>
  <c r="N13" i="73"/>
  <c r="N76" i="77"/>
  <c r="M13" i="73"/>
  <c r="M76" i="77"/>
  <c r="L13" i="73"/>
  <c r="L76" i="77"/>
  <c r="K13" i="73"/>
  <c r="K76" i="77"/>
  <c r="J13" i="73"/>
  <c r="J76" i="77"/>
  <c r="I13" i="73"/>
  <c r="I76" i="77"/>
  <c r="H13" i="73"/>
  <c r="H76" i="77"/>
  <c r="G13" i="73"/>
  <c r="G76" i="77"/>
  <c r="F13" i="73"/>
  <c r="F76" i="77"/>
  <c r="E13" i="73"/>
  <c r="E76" i="77"/>
  <c r="D13" i="73"/>
  <c r="D76" i="77"/>
  <c r="A13" i="73"/>
  <c r="A14" i="73"/>
  <c r="A15" i="73"/>
  <c r="R13" i="73"/>
  <c r="R12" i="73"/>
  <c r="Q12" i="73"/>
  <c r="O12" i="73"/>
  <c r="O25" i="73"/>
  <c r="N12" i="73"/>
  <c r="M12" i="73"/>
  <c r="L12" i="73"/>
  <c r="K12" i="73"/>
  <c r="J12" i="73"/>
  <c r="I12" i="73"/>
  <c r="H12" i="73"/>
  <c r="G12" i="73"/>
  <c r="F12" i="73"/>
  <c r="E12" i="73"/>
  <c r="D12" i="73"/>
  <c r="R11" i="73"/>
  <c r="D24" i="72"/>
  <c r="F24" i="72"/>
  <c r="A15" i="72"/>
  <c r="J15" i="72"/>
  <c r="J14" i="72"/>
  <c r="J13" i="72"/>
  <c r="G42" i="71"/>
  <c r="E7" i="71"/>
  <c r="E42" i="71"/>
  <c r="A38" i="71"/>
  <c r="K37" i="71"/>
  <c r="K36" i="71"/>
  <c r="H30" i="71"/>
  <c r="J29" i="71"/>
  <c r="I29" i="71"/>
  <c r="J28" i="71"/>
  <c r="I28" i="71"/>
  <c r="J27" i="71"/>
  <c r="I27" i="71"/>
  <c r="J26" i="71"/>
  <c r="I26" i="71"/>
  <c r="J25" i="71"/>
  <c r="I25" i="71"/>
  <c r="J24" i="71"/>
  <c r="I24" i="71"/>
  <c r="K23" i="71"/>
  <c r="J23" i="71"/>
  <c r="I23" i="71"/>
  <c r="A23" i="71"/>
  <c r="A24" i="71"/>
  <c r="K24" i="71"/>
  <c r="K22" i="71"/>
  <c r="J22" i="71"/>
  <c r="G30" i="71"/>
  <c r="E11" i="71"/>
  <c r="I22" i="71"/>
  <c r="K21" i="71"/>
  <c r="A7" i="71"/>
  <c r="K6" i="71"/>
  <c r="K5" i="71"/>
  <c r="F22" i="70"/>
  <c r="F14" i="70"/>
  <c r="A8" i="70"/>
  <c r="A9" i="70"/>
  <c r="H7" i="70"/>
  <c r="C39" i="69"/>
  <c r="C37" i="69"/>
  <c r="C33" i="69"/>
  <c r="C31" i="69"/>
  <c r="C27" i="69"/>
  <c r="C23" i="69"/>
  <c r="C21" i="69"/>
  <c r="C19" i="69"/>
  <c r="C17" i="69"/>
  <c r="A15" i="69"/>
  <c r="Q15" i="69"/>
  <c r="Q13" i="69"/>
  <c r="C13" i="69"/>
  <c r="Q12" i="69"/>
  <c r="A7" i="68"/>
  <c r="G7" i="68"/>
  <c r="G6" i="68"/>
  <c r="G4" i="68"/>
  <c r="B143" i="5"/>
  <c r="E120" i="5"/>
  <c r="D119" i="5"/>
  <c r="A108" i="5"/>
  <c r="L102" i="5"/>
  <c r="L101" i="5"/>
  <c r="B100" i="5"/>
  <c r="B99" i="5"/>
  <c r="L95" i="5"/>
  <c r="B95" i="5"/>
  <c r="E150" i="1"/>
  <c r="L94" i="5"/>
  <c r="H90" i="5"/>
  <c r="E90" i="5"/>
  <c r="C90" i="5"/>
  <c r="H89" i="5"/>
  <c r="E89" i="5"/>
  <c r="C89" i="5"/>
  <c r="H88" i="5"/>
  <c r="E88" i="5"/>
  <c r="C88" i="5"/>
  <c r="H87" i="5"/>
  <c r="E87" i="5"/>
  <c r="C87" i="5"/>
  <c r="H86" i="5"/>
  <c r="E86" i="5"/>
  <c r="C86" i="5"/>
  <c r="H85" i="5"/>
  <c r="E85" i="5"/>
  <c r="C85" i="5"/>
  <c r="H84" i="5"/>
  <c r="E84" i="5"/>
  <c r="C84" i="5"/>
  <c r="H83" i="5"/>
  <c r="E83" i="5"/>
  <c r="C83" i="5"/>
  <c r="H82" i="5"/>
  <c r="E82" i="5"/>
  <c r="C82" i="5"/>
  <c r="H81" i="5"/>
  <c r="E81" i="5"/>
  <c r="C81" i="5"/>
  <c r="H80" i="5"/>
  <c r="E80" i="5"/>
  <c r="C80" i="5"/>
  <c r="A80" i="5"/>
  <c r="L80" i="5"/>
  <c r="L79" i="5"/>
  <c r="H79" i="5"/>
  <c r="E79" i="5"/>
  <c r="C79" i="5"/>
  <c r="L78" i="5"/>
  <c r="I75" i="5"/>
  <c r="F75" i="5"/>
  <c r="E56" i="5"/>
  <c r="E55" i="5"/>
  <c r="E54" i="5"/>
  <c r="E53" i="5"/>
  <c r="E52" i="5"/>
  <c r="E51" i="5"/>
  <c r="E50" i="5"/>
  <c r="E49" i="5"/>
  <c r="E48" i="5"/>
  <c r="E47" i="5"/>
  <c r="E46" i="5"/>
  <c r="E45" i="5"/>
  <c r="K44" i="5"/>
  <c r="A44" i="5"/>
  <c r="A45" i="5"/>
  <c r="L45" i="5"/>
  <c r="K39" i="5"/>
  <c r="F39" i="5"/>
  <c r="L36" i="5"/>
  <c r="L35" i="5"/>
  <c r="I25" i="5"/>
  <c r="H25" i="5"/>
  <c r="G25" i="5"/>
  <c r="F25" i="5"/>
  <c r="E25" i="5"/>
  <c r="D25" i="5"/>
  <c r="C25" i="5"/>
  <c r="J24" i="5"/>
  <c r="J23" i="5"/>
  <c r="J22" i="5"/>
  <c r="J21" i="5"/>
  <c r="J20" i="5"/>
  <c r="J19" i="5"/>
  <c r="J18" i="5"/>
  <c r="J17" i="5"/>
  <c r="J16" i="5"/>
  <c r="J15" i="5"/>
  <c r="J14" i="5"/>
  <c r="A14" i="5"/>
  <c r="A15" i="5"/>
  <c r="A16" i="5"/>
  <c r="L16" i="5"/>
  <c r="L13" i="5"/>
  <c r="J13" i="5"/>
  <c r="L12" i="5"/>
  <c r="K1" i="5"/>
  <c r="F106" i="47"/>
  <c r="A81" i="47"/>
  <c r="A82" i="47"/>
  <c r="H82" i="47"/>
  <c r="H80" i="47"/>
  <c r="F80" i="47"/>
  <c r="H78" i="47"/>
  <c r="A58" i="47"/>
  <c r="A59" i="47"/>
  <c r="H57" i="47"/>
  <c r="H56" i="47"/>
  <c r="A40" i="47"/>
  <c r="A41" i="47"/>
  <c r="H37" i="47"/>
  <c r="H36" i="47"/>
  <c r="C27" i="47"/>
  <c r="A8" i="47"/>
  <c r="H7" i="47"/>
  <c r="H5" i="47"/>
  <c r="A23" i="2"/>
  <c r="G22" i="2"/>
  <c r="G21" i="2"/>
  <c r="A9" i="2"/>
  <c r="G9" i="2"/>
  <c r="G6" i="2"/>
  <c r="G5" i="2"/>
  <c r="F1" i="2"/>
  <c r="A157" i="1"/>
  <c r="A158" i="1"/>
  <c r="H158" i="1"/>
  <c r="A159" i="1"/>
  <c r="A160" i="1"/>
  <c r="H160" i="1"/>
  <c r="H155" i="1"/>
  <c r="H154" i="1"/>
  <c r="F150" i="1"/>
  <c r="A149" i="1"/>
  <c r="A150" i="1"/>
  <c r="F151" i="1"/>
  <c r="H148" i="1"/>
  <c r="H147" i="1"/>
  <c r="A126" i="1"/>
  <c r="F15" i="1"/>
  <c r="H125" i="1"/>
  <c r="H123" i="1"/>
  <c r="E69" i="47"/>
  <c r="E70" i="47"/>
  <c r="L18" i="102"/>
  <c r="A98" i="1"/>
  <c r="H98" i="1"/>
  <c r="H97" i="1"/>
  <c r="H96" i="1"/>
  <c r="A79" i="1"/>
  <c r="H79" i="1"/>
  <c r="H78" i="1"/>
  <c r="H76" i="1"/>
  <c r="A36" i="1"/>
  <c r="F55" i="1"/>
  <c r="H35" i="1"/>
  <c r="H33" i="1"/>
  <c r="A8" i="1"/>
  <c r="H7" i="1"/>
  <c r="H5" i="1"/>
  <c r="G18" i="72"/>
  <c r="I18" i="72"/>
  <c r="G22" i="72"/>
  <c r="I22" i="72"/>
  <c r="J27" i="76"/>
  <c r="G27" i="76"/>
  <c r="K27" i="76"/>
  <c r="O27" i="76"/>
  <c r="P16" i="76"/>
  <c r="P21" i="76"/>
  <c r="E27" i="76"/>
  <c r="H14" i="86"/>
  <c r="H30" i="86"/>
  <c r="G19" i="72"/>
  <c r="I19" i="72"/>
  <c r="P52" i="76"/>
  <c r="F15" i="89"/>
  <c r="K14" i="89"/>
  <c r="K26" i="83"/>
  <c r="E25" i="83"/>
  <c r="A15" i="77"/>
  <c r="Q15" i="77"/>
  <c r="H149" i="1"/>
  <c r="N133" i="80"/>
  <c r="L15" i="5"/>
  <c r="L44" i="5"/>
  <c r="B31" i="5"/>
  <c r="H157" i="1"/>
  <c r="A109" i="5"/>
  <c r="A110" i="5"/>
  <c r="A111" i="5"/>
  <c r="A17" i="69"/>
  <c r="A19" i="69"/>
  <c r="A151" i="1"/>
  <c r="F157" i="1"/>
  <c r="A39" i="71"/>
  <c r="K38" i="71"/>
  <c r="D115" i="77"/>
  <c r="A65" i="73"/>
  <c r="A66" i="73"/>
  <c r="R64" i="73"/>
  <c r="A102" i="73"/>
  <c r="R102" i="73"/>
  <c r="R101" i="73"/>
  <c r="N87" i="77"/>
  <c r="G21" i="72"/>
  <c r="I21" i="72"/>
  <c r="F30" i="71"/>
  <c r="E10" i="71"/>
  <c r="Q14" i="73"/>
  <c r="F8" i="71"/>
  <c r="A88" i="73"/>
  <c r="R88" i="73"/>
  <c r="R14" i="73"/>
  <c r="D113" i="77"/>
  <c r="D117" i="77"/>
  <c r="C41" i="90"/>
  <c r="D11" i="92"/>
  <c r="I23" i="72"/>
  <c r="A116" i="73"/>
  <c r="R116" i="73"/>
  <c r="R115" i="73"/>
  <c r="R16" i="76"/>
  <c r="A17" i="76"/>
  <c r="A18" i="76"/>
  <c r="A79" i="77"/>
  <c r="Q78" i="77"/>
  <c r="A66" i="76"/>
  <c r="N11" i="80"/>
  <c r="Q15" i="76"/>
  <c r="A131" i="77"/>
  <c r="Q131" i="77"/>
  <c r="Q130" i="77"/>
  <c r="J89" i="75"/>
  <c r="R15" i="76"/>
  <c r="Q77" i="77"/>
  <c r="A112" i="77"/>
  <c r="Q112" i="77"/>
  <c r="P14" i="76"/>
  <c r="F23" i="92"/>
  <c r="A25" i="82"/>
  <c r="F27" i="82"/>
  <c r="Q29" i="78"/>
  <c r="N10" i="80"/>
  <c r="A16" i="79"/>
  <c r="J16" i="79"/>
  <c r="J15" i="79"/>
  <c r="A113" i="80"/>
  <c r="A35" i="80"/>
  <c r="A36" i="80"/>
  <c r="G12" i="82"/>
  <c r="D7" i="81"/>
  <c r="F8" i="81"/>
  <c r="A12" i="81"/>
  <c r="K27" i="83"/>
  <c r="A34" i="83"/>
  <c r="A13" i="84"/>
  <c r="Q12" i="84"/>
  <c r="L27" i="84"/>
  <c r="A31" i="86"/>
  <c r="K31" i="86"/>
  <c r="K30" i="86"/>
  <c r="A45" i="86"/>
  <c r="A46" i="86"/>
  <c r="K44" i="86"/>
  <c r="D7" i="93"/>
  <c r="A7" i="93"/>
  <c r="F7" i="93"/>
  <c r="F6" i="93"/>
  <c r="K48" i="89"/>
  <c r="G29" i="87"/>
  <c r="A50" i="89"/>
  <c r="A51" i="89"/>
  <c r="K49" i="89"/>
  <c r="D13" i="90"/>
  <c r="A8" i="90"/>
  <c r="F8" i="90"/>
  <c r="A13" i="92"/>
  <c r="I13" i="92"/>
  <c r="I12" i="92"/>
  <c r="A30" i="87"/>
  <c r="G30" i="87"/>
  <c r="K15" i="89"/>
  <c r="A17" i="89"/>
  <c r="A22" i="89"/>
  <c r="H48" i="89"/>
  <c r="F7" i="90"/>
  <c r="A10" i="94"/>
  <c r="D10" i="94"/>
  <c r="C17" i="90"/>
  <c r="A36" i="83"/>
  <c r="K34" i="83"/>
  <c r="N12" i="80"/>
  <c r="A32" i="86"/>
  <c r="K32" i="86"/>
  <c r="L109" i="5"/>
  <c r="H49" i="89"/>
  <c r="D20" i="81"/>
  <c r="A13" i="81"/>
  <c r="A14" i="81"/>
  <c r="F14" i="81"/>
  <c r="F12" i="81"/>
  <c r="A113" i="77"/>
  <c r="R66" i="76"/>
  <c r="A67" i="76"/>
  <c r="A68" i="76"/>
  <c r="K39" i="71"/>
  <c r="A40" i="71"/>
  <c r="K40" i="71"/>
  <c r="A31" i="87"/>
  <c r="D32" i="87"/>
  <c r="D31" i="87"/>
  <c r="R65" i="73"/>
  <c r="G14" i="92"/>
  <c r="E28" i="47"/>
  <c r="A41" i="71"/>
  <c r="K41" i="71"/>
  <c r="R67" i="76"/>
  <c r="L110" i="5"/>
  <c r="C29" i="69"/>
  <c r="E46" i="47"/>
  <c r="K13" i="102"/>
  <c r="K12" i="102"/>
  <c r="Q13" i="102"/>
  <c r="AL94" i="103"/>
  <c r="AP94" i="103"/>
  <c r="AL75" i="103"/>
  <c r="AL62" i="103"/>
  <c r="AZ62" i="103"/>
  <c r="AL59" i="103"/>
  <c r="AP59" i="103"/>
  <c r="AL92" i="103"/>
  <c r="AP92" i="103"/>
  <c r="AL60" i="103"/>
  <c r="AL81" i="103"/>
  <c r="AZ81" i="103"/>
  <c r="AP81" i="103"/>
  <c r="AL58" i="103"/>
  <c r="AP58" i="103"/>
  <c r="AL93" i="103"/>
  <c r="AP93" i="103"/>
  <c r="AL86" i="103"/>
  <c r="AL70" i="103"/>
  <c r="AP70" i="103"/>
  <c r="AL61" i="103"/>
  <c r="AP61" i="103"/>
  <c r="AL54" i="103"/>
  <c r="AZ54" i="103"/>
  <c r="AL50" i="103"/>
  <c r="AZ50" i="103"/>
  <c r="R26" i="103"/>
  <c r="R12" i="103"/>
  <c r="X12" i="103"/>
  <c r="X28" i="103"/>
  <c r="AZ58" i="103"/>
  <c r="BD58" i="103"/>
  <c r="BF58" i="103"/>
  <c r="L36" i="84"/>
  <c r="AJ38" i="103"/>
  <c r="AJ27" i="103"/>
  <c r="AP27" i="103"/>
  <c r="AL84" i="103"/>
  <c r="AZ84" i="103"/>
  <c r="X85" i="103"/>
  <c r="AL91" i="103"/>
  <c r="AZ91" i="103"/>
  <c r="AL49" i="103"/>
  <c r="AZ49" i="103"/>
  <c r="AN124" i="103"/>
  <c r="AN20" i="103"/>
  <c r="P77" i="76"/>
  <c r="H27" i="76"/>
  <c r="L27" i="76"/>
  <c r="P15" i="76"/>
  <c r="M27" i="76"/>
  <c r="P17" i="76"/>
  <c r="P19" i="76"/>
  <c r="P20" i="76"/>
  <c r="P25" i="76"/>
  <c r="G20" i="72"/>
  <c r="I20" i="72"/>
  <c r="M25" i="73"/>
  <c r="M87" i="77"/>
  <c r="P50" i="73"/>
  <c r="F11" i="92"/>
  <c r="P84" i="77"/>
  <c r="D108" i="5"/>
  <c r="D109" i="5"/>
  <c r="D111" i="5"/>
  <c r="C77" i="77"/>
  <c r="A69" i="76"/>
  <c r="R68" i="76"/>
  <c r="R18" i="76"/>
  <c r="A19" i="76"/>
  <c r="R66" i="73"/>
  <c r="A67" i="73"/>
  <c r="H9" i="70"/>
  <c r="A10" i="70"/>
  <c r="AZ70" i="103"/>
  <c r="BD70" i="103"/>
  <c r="BF70" i="103"/>
  <c r="F13" i="81"/>
  <c r="A17" i="79"/>
  <c r="A14" i="92"/>
  <c r="R17" i="76"/>
  <c r="C42" i="90"/>
  <c r="K25" i="73"/>
  <c r="G15" i="72"/>
  <c r="I15" i="72"/>
  <c r="G17" i="72"/>
  <c r="I17" i="72"/>
  <c r="A81" i="5"/>
  <c r="D89" i="76"/>
  <c r="A117" i="76"/>
  <c r="R117" i="76"/>
  <c r="A12" i="93"/>
  <c r="F12" i="93"/>
  <c r="AL45" i="103"/>
  <c r="AP45" i="103"/>
  <c r="A42" i="71"/>
  <c r="K50" i="89"/>
  <c r="A9" i="90"/>
  <c r="F87" i="77"/>
  <c r="H8" i="70"/>
  <c r="J87" i="77"/>
  <c r="D113" i="5"/>
  <c r="A16" i="72"/>
  <c r="F27" i="76"/>
  <c r="A41" i="76"/>
  <c r="A126" i="103"/>
  <c r="X128" i="103"/>
  <c r="K17" i="89"/>
  <c r="P23" i="73"/>
  <c r="A25" i="71"/>
  <c r="Q11" i="84"/>
  <c r="K36" i="86"/>
  <c r="I47" i="89"/>
  <c r="X55" i="103"/>
  <c r="X53" i="103"/>
  <c r="X52" i="103"/>
  <c r="AP38" i="103"/>
  <c r="R15" i="73"/>
  <c r="A16" i="73"/>
  <c r="A40" i="73"/>
  <c r="R39" i="73"/>
  <c r="L14" i="5"/>
  <c r="A46" i="5"/>
  <c r="R38" i="73"/>
  <c r="AL129" i="103"/>
  <c r="J30" i="71"/>
  <c r="E6" i="71"/>
  <c r="E8" i="71"/>
  <c r="E14" i="71"/>
  <c r="E32" i="89"/>
  <c r="AX38" i="103"/>
  <c r="BD38" i="103"/>
  <c r="BF38" i="103"/>
  <c r="BB126" i="103"/>
  <c r="Q15" i="73"/>
  <c r="P85" i="77"/>
  <c r="P86" i="77"/>
  <c r="E41" i="92"/>
  <c r="E15" i="89"/>
  <c r="I37" i="92"/>
  <c r="AJ117" i="103"/>
  <c r="AP117" i="103"/>
  <c r="AP116" i="103"/>
  <c r="BD30" i="103"/>
  <c r="BF30" i="103"/>
  <c r="D114" i="5"/>
  <c r="I25" i="73"/>
  <c r="P13" i="73"/>
  <c r="P18" i="76"/>
  <c r="P22" i="76"/>
  <c r="J14" i="79"/>
  <c r="N55" i="80"/>
  <c r="A21" i="86"/>
  <c r="A22" i="86"/>
  <c r="A9" i="89"/>
  <c r="K57" i="83"/>
  <c r="A118" i="103"/>
  <c r="AL89" i="103"/>
  <c r="AP89" i="103"/>
  <c r="X87" i="103"/>
  <c r="X65" i="103"/>
  <c r="AJ35" i="103"/>
  <c r="A28" i="103"/>
  <c r="AP30" i="103"/>
  <c r="AX61" i="103"/>
  <c r="BB34" i="103"/>
  <c r="BB13" i="103"/>
  <c r="AP62" i="103"/>
  <c r="BD121" i="103"/>
  <c r="BF121" i="103"/>
  <c r="AN34" i="103"/>
  <c r="AN13" i="103"/>
  <c r="BD50" i="103"/>
  <c r="BF50" i="103"/>
  <c r="AL63" i="103"/>
  <c r="AP63" i="103"/>
  <c r="AL82" i="103"/>
  <c r="AN110" i="103"/>
  <c r="AL74" i="103"/>
  <c r="AZ74" i="103"/>
  <c r="BD74" i="103"/>
  <c r="BF74" i="103"/>
  <c r="AL83" i="103"/>
  <c r="AZ83" i="103"/>
  <c r="AL90" i="103"/>
  <c r="AZ90" i="103"/>
  <c r="AL66" i="103"/>
  <c r="AZ66" i="103"/>
  <c r="BD66" i="103"/>
  <c r="BF66" i="103"/>
  <c r="AL78" i="103"/>
  <c r="AZ78" i="103"/>
  <c r="AN112" i="103"/>
  <c r="AP112" i="103"/>
  <c r="X48" i="103"/>
  <c r="X125" i="103"/>
  <c r="A11" i="70"/>
  <c r="H10" i="70"/>
  <c r="K22" i="89"/>
  <c r="A23" i="89"/>
  <c r="A17" i="73"/>
  <c r="R16" i="73"/>
  <c r="A18" i="79"/>
  <c r="J17" i="79"/>
  <c r="AZ59" i="103"/>
  <c r="K51" i="89"/>
  <c r="A52" i="89"/>
  <c r="Q113" i="77"/>
  <c r="A114" i="77"/>
  <c r="A14" i="84"/>
  <c r="Q13" i="84"/>
  <c r="A80" i="77"/>
  <c r="Q79" i="77"/>
  <c r="L111" i="5"/>
  <c r="A112" i="5"/>
  <c r="D25" i="73"/>
  <c r="P12" i="73"/>
  <c r="P76" i="77"/>
  <c r="X113" i="103"/>
  <c r="AN113" i="103"/>
  <c r="A33" i="86"/>
  <c r="K33" i="86"/>
  <c r="A16" i="81"/>
  <c r="D13" i="81"/>
  <c r="F10" i="94"/>
  <c r="H50" i="89"/>
  <c r="I50" i="89"/>
  <c r="P22" i="73"/>
  <c r="A9" i="47"/>
  <c r="H8" i="47"/>
  <c r="N25" i="73"/>
  <c r="H77" i="77"/>
  <c r="P77" i="77"/>
  <c r="P14" i="73"/>
  <c r="D78" i="77"/>
  <c r="P15" i="73"/>
  <c r="H79" i="77"/>
  <c r="P79" i="77"/>
  <c r="P16" i="73"/>
  <c r="D80" i="77"/>
  <c r="P17" i="73"/>
  <c r="H81" i="77"/>
  <c r="P81" i="77"/>
  <c r="P18" i="73"/>
  <c r="D82" i="77"/>
  <c r="P19" i="73"/>
  <c r="H83" i="77"/>
  <c r="P83" i="77"/>
  <c r="P20" i="73"/>
  <c r="A26" i="71"/>
  <c r="K25" i="71"/>
  <c r="D41" i="92"/>
  <c r="G25" i="82"/>
  <c r="A11" i="94"/>
  <c r="K36" i="83"/>
  <c r="A37" i="83"/>
  <c r="P21" i="73"/>
  <c r="D110" i="77"/>
  <c r="A17" i="5"/>
  <c r="A10" i="2"/>
  <c r="E11" i="2"/>
  <c r="E25" i="2"/>
  <c r="A25" i="2"/>
  <c r="G23" i="2"/>
  <c r="E111" i="77"/>
  <c r="N94" i="80"/>
  <c r="A95" i="80"/>
  <c r="N95" i="80"/>
  <c r="AL68" i="103"/>
  <c r="AZ68" i="103"/>
  <c r="X68" i="103"/>
  <c r="AX64" i="103"/>
  <c r="L108" i="5"/>
  <c r="F11" i="78"/>
  <c r="G87" i="77"/>
  <c r="G25" i="73"/>
  <c r="A103" i="76"/>
  <c r="R103" i="76"/>
  <c r="R102" i="76"/>
  <c r="AZ104" i="103"/>
  <c r="X73" i="103"/>
  <c r="BB43" i="103"/>
  <c r="BB42" i="103"/>
  <c r="BB14" i="103"/>
  <c r="AN42" i="103"/>
  <c r="AN14" i="103"/>
  <c r="BH35" i="103"/>
  <c r="A36" i="103"/>
  <c r="F13" i="78"/>
  <c r="I87" i="77"/>
  <c r="H18" i="78"/>
  <c r="I10" i="78"/>
  <c r="P26" i="76"/>
  <c r="I49" i="89"/>
  <c r="AJ118" i="103"/>
  <c r="R116" i="103"/>
  <c r="R16" i="103"/>
  <c r="X16" i="103"/>
  <c r="X118" i="103"/>
  <c r="AN109" i="103"/>
  <c r="BB109" i="103"/>
  <c r="AX56" i="103"/>
  <c r="X37" i="103"/>
  <c r="AJ37" i="103"/>
  <c r="A8" i="71"/>
  <c r="K7" i="71"/>
  <c r="D87" i="77"/>
  <c r="D121" i="77"/>
  <c r="F19" i="78"/>
  <c r="H19" i="78"/>
  <c r="O87" i="77"/>
  <c r="G9" i="87"/>
  <c r="G22" i="91"/>
  <c r="A23" i="91"/>
  <c r="G23" i="91"/>
  <c r="AL99" i="103"/>
  <c r="AZ99" i="103"/>
  <c r="BD99" i="103"/>
  <c r="BF99" i="103"/>
  <c r="X99" i="103"/>
  <c r="AL96" i="103"/>
  <c r="AP96" i="103"/>
  <c r="X96" i="103"/>
  <c r="AL88" i="103"/>
  <c r="AZ88" i="103"/>
  <c r="BD88" i="103"/>
  <c r="BF88" i="103"/>
  <c r="X88" i="103"/>
  <c r="I30" i="71"/>
  <c r="J16" i="72"/>
  <c r="A17" i="72"/>
  <c r="R88" i="76"/>
  <c r="A89" i="76"/>
  <c r="R89" i="76"/>
  <c r="M15" i="78"/>
  <c r="A39" i="79"/>
  <c r="J38" i="79"/>
  <c r="D10" i="87"/>
  <c r="A19" i="87"/>
  <c r="A20" i="87"/>
  <c r="G18" i="87"/>
  <c r="D38" i="87"/>
  <c r="G37" i="87"/>
  <c r="A33" i="89"/>
  <c r="F23" i="89"/>
  <c r="A15" i="88"/>
  <c r="F14" i="88"/>
  <c r="A59" i="83"/>
  <c r="K48" i="83"/>
  <c r="AN116" i="103"/>
  <c r="AN16" i="103"/>
  <c r="AX104" i="103"/>
  <c r="AL69" i="103"/>
  <c r="AZ69" i="103"/>
  <c r="BD69" i="103"/>
  <c r="BF69" i="103"/>
  <c r="X69" i="103"/>
  <c r="AL56" i="103"/>
  <c r="AZ56" i="103"/>
  <c r="X56" i="103"/>
  <c r="AX44" i="103"/>
  <c r="AJ42" i="103"/>
  <c r="AJ14" i="103"/>
  <c r="X127" i="103"/>
  <c r="X124" i="103"/>
  <c r="AL127" i="103"/>
  <c r="AP127" i="103"/>
  <c r="AX125" i="103"/>
  <c r="AJ124" i="103"/>
  <c r="AJ20" i="103"/>
  <c r="A8" i="68"/>
  <c r="Q11" i="78"/>
  <c r="A12" i="78"/>
  <c r="A13" i="78"/>
  <c r="Q13" i="78"/>
  <c r="G8" i="87"/>
  <c r="K32" i="89"/>
  <c r="K47" i="89"/>
  <c r="AP120" i="103"/>
  <c r="AZ119" i="103"/>
  <c r="BD119" i="103"/>
  <c r="BF119" i="103"/>
  <c r="AP119" i="103"/>
  <c r="X111" i="103"/>
  <c r="AN111" i="103"/>
  <c r="AX98" i="103"/>
  <c r="BD98" i="103"/>
  <c r="BF98" i="103"/>
  <c r="AX87" i="103"/>
  <c r="AL47" i="103"/>
  <c r="X47" i="103"/>
  <c r="X39" i="103"/>
  <c r="AJ39" i="103"/>
  <c r="K56" i="83"/>
  <c r="AP122" i="103"/>
  <c r="BD120" i="103"/>
  <c r="BF120" i="103"/>
  <c r="AN108" i="103"/>
  <c r="AP108" i="103"/>
  <c r="BH104" i="103"/>
  <c r="A106" i="103"/>
  <c r="AX103" i="103"/>
  <c r="AL98" i="103"/>
  <c r="AZ98" i="103"/>
  <c r="X98" i="103"/>
  <c r="AX55" i="103"/>
  <c r="AP52" i="103"/>
  <c r="AX52" i="103"/>
  <c r="BD52" i="103"/>
  <c r="BF52" i="103"/>
  <c r="BD46" i="103"/>
  <c r="BF46" i="103"/>
  <c r="AP31" i="103"/>
  <c r="AX31" i="103"/>
  <c r="BB27" i="103"/>
  <c r="BB26" i="103"/>
  <c r="BB12" i="103"/>
  <c r="AN26" i="103"/>
  <c r="AN12" i="103"/>
  <c r="A38" i="92"/>
  <c r="X103" i="103"/>
  <c r="AP121" i="103"/>
  <c r="AL80" i="103"/>
  <c r="AP80" i="103"/>
  <c r="X80" i="103"/>
  <c r="X64" i="103"/>
  <c r="AL64" i="103"/>
  <c r="AZ64" i="103"/>
  <c r="BD64" i="103"/>
  <c r="BF64" i="103"/>
  <c r="AL44" i="103"/>
  <c r="AZ44" i="103"/>
  <c r="BD44" i="103"/>
  <c r="BF44" i="103"/>
  <c r="A44" i="103"/>
  <c r="BH43" i="103"/>
  <c r="AL34" i="103"/>
  <c r="AL13" i="103"/>
  <c r="AZ35" i="103"/>
  <c r="AZ34" i="103"/>
  <c r="AZ13" i="103"/>
  <c r="AL126" i="103"/>
  <c r="AP126" i="103"/>
  <c r="T124" i="103"/>
  <c r="T20" i="103"/>
  <c r="G98" i="77"/>
  <c r="G114" i="77"/>
  <c r="K98" i="77"/>
  <c r="K111" i="77"/>
  <c r="O98" i="77"/>
  <c r="O118" i="77"/>
  <c r="M98" i="77"/>
  <c r="M119" i="77"/>
  <c r="N98" i="77"/>
  <c r="N111" i="77"/>
  <c r="H98" i="77"/>
  <c r="H110" i="77"/>
  <c r="L98" i="77"/>
  <c r="L114" i="77"/>
  <c r="F98" i="77"/>
  <c r="F117" i="77"/>
  <c r="I98" i="77"/>
  <c r="I111" i="77"/>
  <c r="J98" i="77"/>
  <c r="J114" i="77"/>
  <c r="N33" i="80"/>
  <c r="X43" i="103"/>
  <c r="AZ26" i="103"/>
  <c r="AZ12" i="103"/>
  <c r="AX126" i="103"/>
  <c r="D97" i="80"/>
  <c r="J90" i="75"/>
  <c r="A91" i="75"/>
  <c r="J16" i="75"/>
  <c r="J17" i="75"/>
  <c r="A18" i="75"/>
  <c r="A54" i="75"/>
  <c r="E89" i="75"/>
  <c r="E90" i="75"/>
  <c r="E91" i="75"/>
  <c r="E92" i="75"/>
  <c r="E93" i="75"/>
  <c r="E94" i="75"/>
  <c r="E95" i="75"/>
  <c r="E96" i="75"/>
  <c r="E97" i="75"/>
  <c r="E98" i="75"/>
  <c r="E99" i="75"/>
  <c r="Q30" i="78"/>
  <c r="Q12" i="78"/>
  <c r="E115" i="77"/>
  <c r="F68" i="47"/>
  <c r="H59" i="47"/>
  <c r="F59" i="47"/>
  <c r="H81" i="47"/>
  <c r="F15" i="47"/>
  <c r="H58" i="47"/>
  <c r="E12" i="71"/>
  <c r="C64" i="73"/>
  <c r="N10" i="69"/>
  <c r="H150" i="1"/>
  <c r="C47" i="79"/>
  <c r="C14" i="73"/>
  <c r="C98" i="75"/>
  <c r="H36" i="1"/>
  <c r="C112" i="77"/>
  <c r="H126" i="1"/>
  <c r="F37" i="1"/>
  <c r="F81" i="47"/>
  <c r="A52" i="82"/>
  <c r="G52" i="82"/>
  <c r="G50" i="82"/>
  <c r="F52" i="82"/>
  <c r="E113" i="77"/>
  <c r="E118" i="77"/>
  <c r="E117" i="77"/>
  <c r="E112" i="77"/>
  <c r="Q19" i="69"/>
  <c r="A21" i="69"/>
  <c r="Q17" i="69"/>
  <c r="A9" i="1"/>
  <c r="A10" i="1"/>
  <c r="H8" i="1"/>
  <c r="E82" i="47"/>
  <c r="A127" i="1"/>
  <c r="F82" i="47"/>
  <c r="A27" i="82"/>
  <c r="G27" i="82"/>
  <c r="A13" i="82"/>
  <c r="G24" i="82"/>
  <c r="N35" i="80"/>
  <c r="A135" i="80"/>
  <c r="A37" i="80"/>
  <c r="N36" i="80"/>
  <c r="A114" i="80"/>
  <c r="N113" i="80"/>
  <c r="E13" i="80"/>
  <c r="A13" i="80"/>
  <c r="A57" i="80"/>
  <c r="N56" i="80"/>
  <c r="N111" i="80"/>
  <c r="A78" i="80"/>
  <c r="H9" i="47"/>
  <c r="A10" i="47"/>
  <c r="F10" i="47"/>
  <c r="H41" i="47"/>
  <c r="A42" i="47"/>
  <c r="F45" i="47"/>
  <c r="A61" i="47"/>
  <c r="H40" i="47"/>
  <c r="A83" i="47"/>
  <c r="E116" i="77"/>
  <c r="E119" i="77"/>
  <c r="E120" i="77"/>
  <c r="E110" i="77"/>
  <c r="E114" i="77"/>
  <c r="A8" i="85"/>
  <c r="A9" i="85"/>
  <c r="N7" i="85"/>
  <c r="N50" i="85"/>
  <c r="A52" i="85"/>
  <c r="N51" i="85"/>
  <c r="N28" i="85"/>
  <c r="N27" i="85"/>
  <c r="E65" i="85"/>
  <c r="K12" i="85"/>
  <c r="AX117" i="103"/>
  <c r="AX116" i="103"/>
  <c r="AX16" i="103"/>
  <c r="A14" i="78"/>
  <c r="N117" i="77"/>
  <c r="K42" i="71"/>
  <c r="F7" i="71"/>
  <c r="A82" i="5"/>
  <c r="L81" i="5"/>
  <c r="A20" i="76"/>
  <c r="R19" i="76"/>
  <c r="Q16" i="76"/>
  <c r="A42" i="76"/>
  <c r="R41" i="76"/>
  <c r="A10" i="90"/>
  <c r="F9" i="90"/>
  <c r="A68" i="73"/>
  <c r="R67" i="73"/>
  <c r="I14" i="92"/>
  <c r="A17" i="92"/>
  <c r="A70" i="76"/>
  <c r="R69" i="76"/>
  <c r="N8" i="85"/>
  <c r="BH118" i="103"/>
  <c r="A119" i="103"/>
  <c r="F22" i="89"/>
  <c r="K9" i="89"/>
  <c r="AP35" i="103"/>
  <c r="L46" i="5"/>
  <c r="A47" i="5"/>
  <c r="R40" i="73"/>
  <c r="A41" i="73"/>
  <c r="BH28" i="103"/>
  <c r="A29" i="103"/>
  <c r="BD56" i="103"/>
  <c r="BF56" i="103"/>
  <c r="BB112" i="103"/>
  <c r="AP98" i="103"/>
  <c r="AP78" i="103"/>
  <c r="AZ82" i="103"/>
  <c r="BD82" i="103"/>
  <c r="BF82" i="103"/>
  <c r="AP82" i="103"/>
  <c r="H13" i="78"/>
  <c r="M13" i="78"/>
  <c r="H11" i="78"/>
  <c r="M11" i="78"/>
  <c r="A26" i="2"/>
  <c r="G25" i="2"/>
  <c r="A18" i="5"/>
  <c r="L17" i="5"/>
  <c r="K37" i="83"/>
  <c r="A38" i="83"/>
  <c r="A27" i="71"/>
  <c r="K26" i="71"/>
  <c r="A81" i="77"/>
  <c r="Q80" i="77"/>
  <c r="A53" i="89"/>
  <c r="K52" i="89"/>
  <c r="A18" i="73"/>
  <c r="R17" i="73"/>
  <c r="AX39" i="103"/>
  <c r="BD39" i="103"/>
  <c r="BF39" i="103"/>
  <c r="AP39" i="103"/>
  <c r="A9" i="68"/>
  <c r="G8" i="68"/>
  <c r="F34" i="89"/>
  <c r="A34" i="89"/>
  <c r="K33" i="89"/>
  <c r="G19" i="87"/>
  <c r="BH36" i="103"/>
  <c r="A37" i="103"/>
  <c r="AP113" i="103"/>
  <c r="BB113" i="103"/>
  <c r="K23" i="89"/>
  <c r="A24" i="89"/>
  <c r="AX102" i="103"/>
  <c r="AX15" i="103"/>
  <c r="K8" i="71"/>
  <c r="F23" i="82"/>
  <c r="A10" i="71"/>
  <c r="A39" i="92"/>
  <c r="I38" i="92"/>
  <c r="A107" i="103"/>
  <c r="BH106" i="103"/>
  <c r="A16" i="88"/>
  <c r="F16" i="88"/>
  <c r="F15" i="88"/>
  <c r="A18" i="72"/>
  <c r="J17" i="72"/>
  <c r="AP118" i="103"/>
  <c r="AX118" i="103"/>
  <c r="AJ116" i="103"/>
  <c r="AJ16" i="103"/>
  <c r="AP16" i="103"/>
  <c r="F11" i="94"/>
  <c r="A12" i="94"/>
  <c r="P82" i="77"/>
  <c r="D116" i="77"/>
  <c r="P80" i="77"/>
  <c r="D114" i="77"/>
  <c r="P78" i="77"/>
  <c r="D112" i="77"/>
  <c r="A17" i="81"/>
  <c r="F16" i="81"/>
  <c r="D12" i="94"/>
  <c r="A15" i="84"/>
  <c r="Q14" i="84"/>
  <c r="Q114" i="77"/>
  <c r="A115" i="77"/>
  <c r="BH44" i="103"/>
  <c r="A45" i="103"/>
  <c r="BB111" i="103"/>
  <c r="BD111" i="103"/>
  <c r="BF111" i="103"/>
  <c r="AP111" i="103"/>
  <c r="K59" i="83"/>
  <c r="A60" i="83"/>
  <c r="A40" i="79"/>
  <c r="J39" i="79"/>
  <c r="A97" i="80"/>
  <c r="N97" i="80"/>
  <c r="AL124" i="103"/>
  <c r="AL20" i="103"/>
  <c r="AP20" i="103"/>
  <c r="AP56" i="103"/>
  <c r="D10" i="2"/>
  <c r="P27" i="76"/>
  <c r="E19" i="47"/>
  <c r="A11" i="2"/>
  <c r="G10" i="2"/>
  <c r="H51" i="89"/>
  <c r="I51" i="89"/>
  <c r="A113" i="5"/>
  <c r="L112" i="5"/>
  <c r="J18" i="79"/>
  <c r="A19" i="79"/>
  <c r="H11" i="70"/>
  <c r="A12" i="70"/>
  <c r="A92" i="75"/>
  <c r="J91" i="75"/>
  <c r="A19" i="75"/>
  <c r="J18" i="75"/>
  <c r="J54" i="75"/>
  <c r="A55" i="75"/>
  <c r="H116" i="77"/>
  <c r="L118" i="77"/>
  <c r="L115" i="77"/>
  <c r="L111" i="77"/>
  <c r="L119" i="77"/>
  <c r="L116" i="77"/>
  <c r="H120" i="77"/>
  <c r="H114" i="77"/>
  <c r="H118" i="77"/>
  <c r="H112" i="77"/>
  <c r="H119" i="77"/>
  <c r="H113" i="77"/>
  <c r="O119" i="77"/>
  <c r="Q31" i="78"/>
  <c r="L120" i="77"/>
  <c r="M111" i="77"/>
  <c r="M116" i="77"/>
  <c r="J119" i="77"/>
  <c r="J121" i="77"/>
  <c r="J115" i="77"/>
  <c r="J118" i="77"/>
  <c r="J112" i="77"/>
  <c r="Q14" i="78"/>
  <c r="A15" i="78"/>
  <c r="J113" i="77"/>
  <c r="G121" i="77"/>
  <c r="I115" i="77"/>
  <c r="J117" i="77"/>
  <c r="J120" i="77"/>
  <c r="L117" i="77"/>
  <c r="L110" i="77"/>
  <c r="G120" i="77"/>
  <c r="J116" i="77"/>
  <c r="J111" i="77"/>
  <c r="H115" i="77"/>
  <c r="H111" i="77"/>
  <c r="H58" i="83"/>
  <c r="Q21" i="69"/>
  <c r="A23" i="69"/>
  <c r="F10" i="1"/>
  <c r="L12" i="102"/>
  <c r="L13" i="102"/>
  <c r="A14" i="82"/>
  <c r="F15" i="82"/>
  <c r="G13" i="82"/>
  <c r="A38" i="80"/>
  <c r="N37" i="80"/>
  <c r="A17" i="80"/>
  <c r="N13" i="80"/>
  <c r="A79" i="80"/>
  <c r="N78" i="80"/>
  <c r="N135" i="80"/>
  <c r="A136" i="80"/>
  <c r="H112" i="80"/>
  <c r="K133" i="80"/>
  <c r="K150" i="80"/>
  <c r="N57" i="80"/>
  <c r="A58" i="80"/>
  <c r="A115" i="80"/>
  <c r="N114" i="80"/>
  <c r="A84" i="47"/>
  <c r="H83" i="47"/>
  <c r="A63" i="47"/>
  <c r="F87" i="47"/>
  <c r="H61" i="47"/>
  <c r="H10" i="47"/>
  <c r="A13" i="47"/>
  <c r="H42" i="47"/>
  <c r="A43" i="47"/>
  <c r="F43" i="47"/>
  <c r="A10" i="85"/>
  <c r="N9" i="85"/>
  <c r="N29" i="85"/>
  <c r="N52" i="85"/>
  <c r="A53" i="85"/>
  <c r="A69" i="73"/>
  <c r="R68" i="73"/>
  <c r="A43" i="76"/>
  <c r="R42" i="76"/>
  <c r="Q17" i="76"/>
  <c r="R20" i="76"/>
  <c r="A21" i="76"/>
  <c r="A83" i="5"/>
  <c r="L82" i="5"/>
  <c r="R70" i="76"/>
  <c r="A71" i="76"/>
  <c r="F10" i="90"/>
  <c r="A12" i="90"/>
  <c r="I17" i="92"/>
  <c r="A18" i="92"/>
  <c r="BH29" i="103"/>
  <c r="A30" i="103"/>
  <c r="L47" i="5"/>
  <c r="A48" i="5"/>
  <c r="BH119" i="103"/>
  <c r="A120" i="103"/>
  <c r="Q16" i="73"/>
  <c r="R41" i="73"/>
  <c r="A42" i="73"/>
  <c r="Q15" i="84"/>
  <c r="A16" i="84"/>
  <c r="A18" i="81"/>
  <c r="F17" i="81"/>
  <c r="BD118" i="103"/>
  <c r="BF118" i="103"/>
  <c r="BH107" i="103"/>
  <c r="A108" i="103"/>
  <c r="BH108" i="103"/>
  <c r="I39" i="92"/>
  <c r="A40" i="92"/>
  <c r="A11" i="71"/>
  <c r="K10" i="71"/>
  <c r="A27" i="2"/>
  <c r="G26" i="2"/>
  <c r="A14" i="2"/>
  <c r="G11" i="2"/>
  <c r="A46" i="103"/>
  <c r="A47" i="103"/>
  <c r="BH45" i="103"/>
  <c r="Q115" i="77"/>
  <c r="A116" i="77"/>
  <c r="D11" i="93"/>
  <c r="D6" i="93"/>
  <c r="F12" i="94"/>
  <c r="A10" i="68"/>
  <c r="G9" i="68"/>
  <c r="A28" i="71"/>
  <c r="K27" i="71"/>
  <c r="L18" i="5"/>
  <c r="A19" i="5"/>
  <c r="J19" i="79"/>
  <c r="A20" i="79"/>
  <c r="E102" i="80"/>
  <c r="A98" i="80"/>
  <c r="A13" i="70"/>
  <c r="G14" i="70"/>
  <c r="H12" i="70"/>
  <c r="H52" i="89"/>
  <c r="I52" i="89"/>
  <c r="J40" i="79"/>
  <c r="A41" i="79"/>
  <c r="J18" i="72"/>
  <c r="A19" i="72"/>
  <c r="A25" i="89"/>
  <c r="K24" i="89"/>
  <c r="F36" i="89"/>
  <c r="K34" i="89"/>
  <c r="A36" i="89"/>
  <c r="A82" i="77"/>
  <c r="Q81" i="77"/>
  <c r="K38" i="83"/>
  <c r="A39" i="83"/>
  <c r="K39" i="83"/>
  <c r="L113" i="5"/>
  <c r="A114" i="5"/>
  <c r="A61" i="83"/>
  <c r="K60" i="83"/>
  <c r="BH37" i="103"/>
  <c r="A38" i="103"/>
  <c r="A19" i="73"/>
  <c r="R18" i="73"/>
  <c r="A54" i="89"/>
  <c r="K53" i="89"/>
  <c r="A93" i="75"/>
  <c r="J92" i="75"/>
  <c r="J55" i="75"/>
  <c r="A56" i="75"/>
  <c r="A20" i="75"/>
  <c r="J19" i="75"/>
  <c r="Q32" i="78"/>
  <c r="A16" i="78"/>
  <c r="Q15" i="78"/>
  <c r="H59" i="83"/>
  <c r="N12" i="102"/>
  <c r="Q23" i="69"/>
  <c r="A25" i="69"/>
  <c r="N13" i="102"/>
  <c r="E13" i="92"/>
  <c r="G14" i="82"/>
  <c r="A15" i="82"/>
  <c r="N17" i="80"/>
  <c r="A21" i="80"/>
  <c r="A116" i="80"/>
  <c r="N115" i="80"/>
  <c r="H113" i="80"/>
  <c r="K134" i="80"/>
  <c r="K151" i="80"/>
  <c r="A81" i="80"/>
  <c r="N79" i="80"/>
  <c r="A39" i="80"/>
  <c r="N38" i="80"/>
  <c r="A59" i="80"/>
  <c r="N58" i="80"/>
  <c r="N136" i="80"/>
  <c r="A137" i="80"/>
  <c r="A45" i="47"/>
  <c r="H43" i="47"/>
  <c r="H63" i="47"/>
  <c r="A66" i="47"/>
  <c r="F61" i="47"/>
  <c r="A14" i="47"/>
  <c r="H13" i="47"/>
  <c r="A85" i="47"/>
  <c r="H84" i="47"/>
  <c r="N53" i="85"/>
  <c r="A54" i="85"/>
  <c r="A11" i="85"/>
  <c r="N10" i="85"/>
  <c r="R71" i="76"/>
  <c r="A72" i="76"/>
  <c r="R21" i="76"/>
  <c r="A22" i="76"/>
  <c r="R43" i="76"/>
  <c r="Q18" i="76"/>
  <c r="A44" i="76"/>
  <c r="N98" i="80"/>
  <c r="A84" i="5"/>
  <c r="L83" i="5"/>
  <c r="A19" i="92"/>
  <c r="I18" i="92"/>
  <c r="A13" i="90"/>
  <c r="F12" i="90"/>
  <c r="R69" i="73"/>
  <c r="A70" i="73"/>
  <c r="A121" i="103"/>
  <c r="BH121" i="103"/>
  <c r="BH120" i="103"/>
  <c r="BH30" i="103"/>
  <c r="A31" i="103"/>
  <c r="BH31" i="103"/>
  <c r="R42" i="73"/>
  <c r="Q17" i="73"/>
  <c r="A43" i="73"/>
  <c r="L48" i="5"/>
  <c r="A49" i="5"/>
  <c r="A28" i="2"/>
  <c r="G27" i="2"/>
  <c r="E28" i="2"/>
  <c r="K11" i="71"/>
  <c r="A12" i="71"/>
  <c r="A99" i="80"/>
  <c r="N21" i="80"/>
  <c r="A22" i="80"/>
  <c r="A55" i="89"/>
  <c r="K54" i="89"/>
  <c r="BH38" i="103"/>
  <c r="A39" i="103"/>
  <c r="BH39" i="103"/>
  <c r="L114" i="5"/>
  <c r="A115" i="5"/>
  <c r="A20" i="72"/>
  <c r="J19" i="72"/>
  <c r="L19" i="5"/>
  <c r="A20" i="5"/>
  <c r="BH46" i="103"/>
  <c r="A15" i="2"/>
  <c r="G14" i="2"/>
  <c r="A41" i="92"/>
  <c r="I40" i="92"/>
  <c r="D17" i="81"/>
  <c r="A20" i="81"/>
  <c r="F20" i="81"/>
  <c r="F18" i="81"/>
  <c r="K28" i="71"/>
  <c r="A29" i="71"/>
  <c r="A62" i="83"/>
  <c r="K61" i="83"/>
  <c r="J41" i="79"/>
  <c r="A42" i="79"/>
  <c r="Q116" i="77"/>
  <c r="A117" i="77"/>
  <c r="Q16" i="84"/>
  <c r="A17" i="84"/>
  <c r="A21" i="79"/>
  <c r="J20" i="79"/>
  <c r="A11" i="68"/>
  <c r="G10" i="68"/>
  <c r="R19" i="73"/>
  <c r="A20" i="73"/>
  <c r="Q82" i="77"/>
  <c r="A83" i="77"/>
  <c r="K36" i="89"/>
  <c r="A38" i="89"/>
  <c r="K38" i="89"/>
  <c r="F38" i="89"/>
  <c r="A26" i="89"/>
  <c r="K26" i="89"/>
  <c r="K25" i="89"/>
  <c r="H53" i="89"/>
  <c r="I53" i="89"/>
  <c r="H13" i="70"/>
  <c r="A14" i="70"/>
  <c r="F12" i="71"/>
  <c r="J93" i="75"/>
  <c r="A94" i="75"/>
  <c r="J20" i="75"/>
  <c r="A21" i="75"/>
  <c r="J56" i="75"/>
  <c r="A57" i="75"/>
  <c r="Q33" i="78"/>
  <c r="Q16" i="78"/>
  <c r="A17" i="78"/>
  <c r="H60" i="83"/>
  <c r="Q25" i="69"/>
  <c r="A27" i="69"/>
  <c r="G15" i="82"/>
  <c r="F18" i="82"/>
  <c r="A18" i="82"/>
  <c r="G18" i="82"/>
  <c r="H114" i="80"/>
  <c r="A102" i="80"/>
  <c r="N102" i="80"/>
  <c r="E12" i="80"/>
  <c r="N99" i="80"/>
  <c r="A60" i="80"/>
  <c r="N59" i="80"/>
  <c r="A40" i="80"/>
  <c r="N39" i="80"/>
  <c r="A138" i="80"/>
  <c r="N137" i="80"/>
  <c r="A82" i="80"/>
  <c r="I83" i="80"/>
  <c r="N81" i="80"/>
  <c r="E86" i="80"/>
  <c r="A117" i="80"/>
  <c r="N116" i="80"/>
  <c r="A86" i="47"/>
  <c r="H85" i="47"/>
  <c r="A46" i="47"/>
  <c r="H45" i="47"/>
  <c r="F67" i="47"/>
  <c r="H14" i="47"/>
  <c r="A15" i="47"/>
  <c r="H66" i="47"/>
  <c r="A67" i="47"/>
  <c r="A55" i="85"/>
  <c r="N54" i="85"/>
  <c r="N11" i="85"/>
  <c r="A12" i="85"/>
  <c r="L84" i="5"/>
  <c r="A85" i="5"/>
  <c r="A71" i="73"/>
  <c r="R70" i="73"/>
  <c r="R22" i="76"/>
  <c r="A23" i="76"/>
  <c r="R72" i="76"/>
  <c r="A73" i="76"/>
  <c r="F13" i="90"/>
  <c r="A14" i="90"/>
  <c r="A20" i="92"/>
  <c r="I19" i="92"/>
  <c r="G20" i="92"/>
  <c r="A45" i="76"/>
  <c r="Q19" i="76"/>
  <c r="R44" i="76"/>
  <c r="L49" i="5"/>
  <c r="A50" i="5"/>
  <c r="R43" i="73"/>
  <c r="Q18" i="73"/>
  <c r="A44" i="73"/>
  <c r="A12" i="68"/>
  <c r="G11" i="68"/>
  <c r="K62" i="83"/>
  <c r="A63" i="83"/>
  <c r="BH47" i="103"/>
  <c r="A48" i="103"/>
  <c r="L20" i="5"/>
  <c r="A21" i="5"/>
  <c r="K55" i="89"/>
  <c r="A56" i="89"/>
  <c r="A17" i="70"/>
  <c r="H14" i="70"/>
  <c r="Q83" i="77"/>
  <c r="A84" i="77"/>
  <c r="A21" i="73"/>
  <c r="R20" i="73"/>
  <c r="J42" i="79"/>
  <c r="A43" i="79"/>
  <c r="A22" i="79"/>
  <c r="J21" i="79"/>
  <c r="A30" i="71"/>
  <c r="K29" i="71"/>
  <c r="A42" i="92"/>
  <c r="I41" i="92"/>
  <c r="A16" i="2"/>
  <c r="G15" i="2"/>
  <c r="A116" i="5"/>
  <c r="L115" i="5"/>
  <c r="H54" i="89"/>
  <c r="I54" i="89"/>
  <c r="A18" i="84"/>
  <c r="Q17" i="84"/>
  <c r="Q117" i="77"/>
  <c r="A118" i="77"/>
  <c r="A21" i="72"/>
  <c r="J20" i="72"/>
  <c r="N22" i="80"/>
  <c r="A23" i="80"/>
  <c r="N23" i="80"/>
  <c r="K12" i="71"/>
  <c r="A14" i="71"/>
  <c r="K14" i="71"/>
  <c r="F14" i="71"/>
  <c r="G28" i="2"/>
  <c r="A30" i="2"/>
  <c r="J94" i="75"/>
  <c r="A95" i="75"/>
  <c r="A22" i="75"/>
  <c r="J21" i="75"/>
  <c r="A58" i="75"/>
  <c r="J57" i="75"/>
  <c r="Q34" i="78"/>
  <c r="A18" i="78"/>
  <c r="Q17" i="78"/>
  <c r="H61" i="83"/>
  <c r="Q27" i="69"/>
  <c r="A29" i="69"/>
  <c r="A62" i="80"/>
  <c r="N60" i="80"/>
  <c r="A118" i="80"/>
  <c r="N117" i="80"/>
  <c r="N82" i="80"/>
  <c r="A83" i="80"/>
  <c r="A41" i="80"/>
  <c r="N40" i="80"/>
  <c r="K135" i="80"/>
  <c r="A139" i="80"/>
  <c r="N138" i="80"/>
  <c r="H115" i="80"/>
  <c r="H15" i="47"/>
  <c r="A16" i="47"/>
  <c r="F16" i="47"/>
  <c r="A48" i="47"/>
  <c r="F49" i="47"/>
  <c r="H67" i="47"/>
  <c r="A68" i="47"/>
  <c r="A87" i="47"/>
  <c r="H86" i="47"/>
  <c r="N30" i="85"/>
  <c r="G32" i="85"/>
  <c r="N12" i="85"/>
  <c r="A13" i="85"/>
  <c r="A56" i="85"/>
  <c r="N55" i="85"/>
  <c r="A72" i="73"/>
  <c r="R71" i="73"/>
  <c r="A23" i="92"/>
  <c r="I20" i="92"/>
  <c r="A74" i="76"/>
  <c r="R73" i="76"/>
  <c r="A24" i="76"/>
  <c r="R23" i="76"/>
  <c r="R45" i="76"/>
  <c r="Q20" i="76"/>
  <c r="A46" i="76"/>
  <c r="A86" i="5"/>
  <c r="L85" i="5"/>
  <c r="A15" i="90"/>
  <c r="D15" i="90"/>
  <c r="F14" i="90"/>
  <c r="Q19" i="73"/>
  <c r="A45" i="73"/>
  <c r="R44" i="73"/>
  <c r="A51" i="5"/>
  <c r="L50" i="5"/>
  <c r="F6" i="71"/>
  <c r="K30" i="71"/>
  <c r="F11" i="71"/>
  <c r="F10" i="71"/>
  <c r="R21" i="73"/>
  <c r="A22" i="73"/>
  <c r="G30" i="2"/>
  <c r="A31" i="2"/>
  <c r="A19" i="84"/>
  <c r="Q18" i="84"/>
  <c r="A44" i="79"/>
  <c r="J43" i="79"/>
  <c r="J22" i="79"/>
  <c r="A23" i="79"/>
  <c r="A49" i="103"/>
  <c r="A50" i="103"/>
  <c r="BH48" i="103"/>
  <c r="Q118" i="77"/>
  <c r="A119" i="77"/>
  <c r="A117" i="5"/>
  <c r="L116" i="5"/>
  <c r="I42" i="92"/>
  <c r="A43" i="92"/>
  <c r="H17" i="70"/>
  <c r="A18" i="70"/>
  <c r="K56" i="89"/>
  <c r="A57" i="89"/>
  <c r="A22" i="5"/>
  <c r="L21" i="5"/>
  <c r="G16" i="2"/>
  <c r="A17" i="2"/>
  <c r="E17" i="2"/>
  <c r="K63" i="83"/>
  <c r="A64" i="83"/>
  <c r="J21" i="72"/>
  <c r="A22" i="72"/>
  <c r="H55" i="89"/>
  <c r="A85" i="77"/>
  <c r="Q84" i="77"/>
  <c r="A13" i="68"/>
  <c r="G12" i="68"/>
  <c r="A96" i="75"/>
  <c r="J95" i="75"/>
  <c r="J58" i="75"/>
  <c r="A59" i="75"/>
  <c r="J22" i="75"/>
  <c r="A23" i="75"/>
  <c r="Q35" i="78"/>
  <c r="A19" i="78"/>
  <c r="Q18" i="78"/>
  <c r="H62" i="83"/>
  <c r="A31" i="69"/>
  <c r="Q29" i="69"/>
  <c r="A43" i="80"/>
  <c r="N41" i="80"/>
  <c r="K136" i="80"/>
  <c r="N83" i="80"/>
  <c r="E11" i="80"/>
  <c r="A86" i="80"/>
  <c r="N86" i="80"/>
  <c r="A140" i="80"/>
  <c r="N139" i="80"/>
  <c r="A119" i="80"/>
  <c r="N118" i="80"/>
  <c r="H116" i="80"/>
  <c r="K152" i="80"/>
  <c r="A63" i="80"/>
  <c r="N62" i="80"/>
  <c r="E69" i="80"/>
  <c r="H87" i="47"/>
  <c r="A88" i="47"/>
  <c r="H48" i="47"/>
  <c r="A49" i="47"/>
  <c r="F50" i="47"/>
  <c r="H68" i="47"/>
  <c r="A69" i="47"/>
  <c r="H16" i="47"/>
  <c r="A19" i="47"/>
  <c r="N56" i="85"/>
  <c r="A57" i="85"/>
  <c r="N31" i="85"/>
  <c r="A14" i="85"/>
  <c r="N13" i="85"/>
  <c r="A87" i="5"/>
  <c r="L86" i="5"/>
  <c r="A24" i="92"/>
  <c r="I23" i="92"/>
  <c r="Q21" i="76"/>
  <c r="R46" i="76"/>
  <c r="A47" i="76"/>
  <c r="F15" i="90"/>
  <c r="D17" i="90"/>
  <c r="D20" i="90"/>
  <c r="A17" i="90"/>
  <c r="R24" i="76"/>
  <c r="A25" i="76"/>
  <c r="A75" i="76"/>
  <c r="R74" i="76"/>
  <c r="R72" i="73"/>
  <c r="A73" i="73"/>
  <c r="R45" i="73"/>
  <c r="A46" i="73"/>
  <c r="Q20" i="73"/>
  <c r="L51" i="5"/>
  <c r="A52" i="5"/>
  <c r="A65" i="83"/>
  <c r="K64" i="83"/>
  <c r="I43" i="92"/>
  <c r="A44" i="92"/>
  <c r="Q119" i="77"/>
  <c r="A120" i="77"/>
  <c r="BH49" i="103"/>
  <c r="A23" i="73"/>
  <c r="R22" i="73"/>
  <c r="L117" i="5"/>
  <c r="A118" i="5"/>
  <c r="A14" i="68"/>
  <c r="G13" i="68"/>
  <c r="H56" i="89"/>
  <c r="J22" i="72"/>
  <c r="A23" i="72"/>
  <c r="E18" i="2"/>
  <c r="A18" i="2"/>
  <c r="G17" i="2"/>
  <c r="A24" i="79"/>
  <c r="J23" i="79"/>
  <c r="Q85" i="77"/>
  <c r="A86" i="77"/>
  <c r="A58" i="89"/>
  <c r="K57" i="89"/>
  <c r="G31" i="2"/>
  <c r="A32" i="2"/>
  <c r="E32" i="2"/>
  <c r="A23" i="5"/>
  <c r="L22" i="5"/>
  <c r="H18" i="70"/>
  <c r="A19" i="70"/>
  <c r="J44" i="79"/>
  <c r="A45" i="79"/>
  <c r="A20" i="84"/>
  <c r="Q19" i="84"/>
  <c r="A97" i="75"/>
  <c r="J96" i="75"/>
  <c r="J59" i="75"/>
  <c r="A60" i="75"/>
  <c r="A24" i="75"/>
  <c r="J23" i="75"/>
  <c r="Q36" i="78"/>
  <c r="Q19" i="78"/>
  <c r="A21" i="78"/>
  <c r="Q21" i="78"/>
  <c r="H63" i="83"/>
  <c r="Q31" i="69"/>
  <c r="A33" i="69"/>
  <c r="K137" i="80"/>
  <c r="H117" i="80"/>
  <c r="A64" i="80"/>
  <c r="N63" i="80"/>
  <c r="N140" i="80"/>
  <c r="A141" i="80"/>
  <c r="N43" i="80"/>
  <c r="E48" i="80"/>
  <c r="A44" i="80"/>
  <c r="I45" i="80"/>
  <c r="A120" i="80"/>
  <c r="N119" i="80"/>
  <c r="K153" i="80"/>
  <c r="A89" i="47"/>
  <c r="H88" i="47"/>
  <c r="A70" i="47"/>
  <c r="H69" i="47"/>
  <c r="A20" i="47"/>
  <c r="H19" i="47"/>
  <c r="F71" i="47"/>
  <c r="A50" i="47"/>
  <c r="F85" i="47"/>
  <c r="G34" i="85"/>
  <c r="N32" i="85"/>
  <c r="N57" i="85"/>
  <c r="A58" i="85"/>
  <c r="A15" i="85"/>
  <c r="N14" i="85"/>
  <c r="F17" i="90"/>
  <c r="A20" i="90"/>
  <c r="Q22" i="76"/>
  <c r="R47" i="76"/>
  <c r="A48" i="76"/>
  <c r="A25" i="92"/>
  <c r="I24" i="92"/>
  <c r="A76" i="76"/>
  <c r="R75" i="76"/>
  <c r="R73" i="73"/>
  <c r="A74" i="73"/>
  <c r="R25" i="76"/>
  <c r="A26" i="76"/>
  <c r="G25" i="92"/>
  <c r="L87" i="5"/>
  <c r="A88" i="5"/>
  <c r="L52" i="5"/>
  <c r="A53" i="5"/>
  <c r="A47" i="73"/>
  <c r="R46" i="73"/>
  <c r="Q21" i="73"/>
  <c r="A34" i="2"/>
  <c r="G32" i="2"/>
  <c r="E34" i="2"/>
  <c r="A87" i="77"/>
  <c r="Q87" i="77"/>
  <c r="Q98" i="77"/>
  <c r="Q86" i="77"/>
  <c r="G14" i="68"/>
  <c r="A15" i="68"/>
  <c r="A121" i="77"/>
  <c r="Q120" i="77"/>
  <c r="A46" i="79"/>
  <c r="J45" i="79"/>
  <c r="J24" i="79"/>
  <c r="A25" i="79"/>
  <c r="A24" i="72"/>
  <c r="J24" i="72"/>
  <c r="J23" i="72"/>
  <c r="A119" i="5"/>
  <c r="L118" i="5"/>
  <c r="A66" i="83"/>
  <c r="K65" i="83"/>
  <c r="A21" i="84"/>
  <c r="Q20" i="84"/>
  <c r="A24" i="5"/>
  <c r="L23" i="5"/>
  <c r="K58" i="89"/>
  <c r="A59" i="89"/>
  <c r="R23" i="73"/>
  <c r="A24" i="73"/>
  <c r="A45" i="92"/>
  <c r="I44" i="92"/>
  <c r="A20" i="70"/>
  <c r="H19" i="70"/>
  <c r="G18" i="2"/>
  <c r="E23" i="2"/>
  <c r="H57" i="89"/>
  <c r="I57" i="89"/>
  <c r="H58" i="89"/>
  <c r="I58" i="89"/>
  <c r="A98" i="75"/>
  <c r="J97" i="75"/>
  <c r="A25" i="75"/>
  <c r="J24" i="75"/>
  <c r="A61" i="75"/>
  <c r="J60" i="75"/>
  <c r="Q37" i="78"/>
  <c r="H64" i="83"/>
  <c r="A35" i="69"/>
  <c r="Q33" i="69"/>
  <c r="A142" i="80"/>
  <c r="N141" i="80"/>
  <c r="E10" i="80"/>
  <c r="A67" i="80"/>
  <c r="N64" i="80"/>
  <c r="A121" i="80"/>
  <c r="N120" i="80"/>
  <c r="A45" i="80"/>
  <c r="N44" i="80"/>
  <c r="H118" i="80"/>
  <c r="K154" i="80"/>
  <c r="K138" i="80"/>
  <c r="A21" i="47"/>
  <c r="H20" i="47"/>
  <c r="H70" i="47"/>
  <c r="A71" i="47"/>
  <c r="F21" i="47"/>
  <c r="H89" i="47"/>
  <c r="A90" i="47"/>
  <c r="N15" i="85"/>
  <c r="A16" i="85"/>
  <c r="A59" i="85"/>
  <c r="N58" i="85"/>
  <c r="N33" i="85"/>
  <c r="I25" i="92"/>
  <c r="A27" i="92"/>
  <c r="R26" i="76"/>
  <c r="A27" i="76"/>
  <c r="R27" i="76"/>
  <c r="Q23" i="76"/>
  <c r="R48" i="76"/>
  <c r="A49" i="76"/>
  <c r="A89" i="5"/>
  <c r="L88" i="5"/>
  <c r="A77" i="76"/>
  <c r="R77" i="76"/>
  <c r="R76" i="76"/>
  <c r="F20" i="90"/>
  <c r="A21" i="90"/>
  <c r="A75" i="73"/>
  <c r="R75" i="73"/>
  <c r="R74" i="73"/>
  <c r="A54" i="5"/>
  <c r="L53" i="5"/>
  <c r="A48" i="73"/>
  <c r="R47" i="73"/>
  <c r="Q22" i="73"/>
  <c r="J25" i="79"/>
  <c r="A26" i="79"/>
  <c r="J26" i="79"/>
  <c r="G34" i="2"/>
  <c r="F149" i="1"/>
  <c r="A25" i="5"/>
  <c r="B135" i="5"/>
  <c r="L24" i="5"/>
  <c r="H20" i="70"/>
  <c r="A21" i="70"/>
  <c r="I45" i="92"/>
  <c r="A46" i="92"/>
  <c r="Q21" i="84"/>
  <c r="A22" i="84"/>
  <c r="A120" i="5"/>
  <c r="L120" i="5"/>
  <c r="L119" i="5"/>
  <c r="B134" i="5"/>
  <c r="A122" i="77"/>
  <c r="Q122" i="77"/>
  <c r="Q121" i="77"/>
  <c r="K66" i="83"/>
  <c r="A67" i="83"/>
  <c r="A47" i="79"/>
  <c r="J46" i="79"/>
  <c r="A25" i="73"/>
  <c r="R25" i="73"/>
  <c r="R24" i="73"/>
  <c r="A60" i="89"/>
  <c r="K59" i="89"/>
  <c r="A16" i="68"/>
  <c r="G15" i="68"/>
  <c r="J98" i="75"/>
  <c r="A99" i="75"/>
  <c r="A62" i="75"/>
  <c r="J61" i="75"/>
  <c r="J25" i="75"/>
  <c r="A26" i="75"/>
  <c r="Q38" i="78"/>
  <c r="H65" i="83"/>
  <c r="A37" i="69"/>
  <c r="Q35" i="69"/>
  <c r="K155" i="80"/>
  <c r="K139" i="80"/>
  <c r="A122" i="80"/>
  <c r="N121" i="80"/>
  <c r="A143" i="80"/>
  <c r="N142" i="80"/>
  <c r="H119" i="80"/>
  <c r="A48" i="80"/>
  <c r="N48" i="80"/>
  <c r="N45" i="80"/>
  <c r="E9" i="80"/>
  <c r="N67" i="80"/>
  <c r="A68" i="80"/>
  <c r="A91" i="47"/>
  <c r="H90" i="47"/>
  <c r="F91" i="47"/>
  <c r="A23" i="47"/>
  <c r="H21" i="47"/>
  <c r="A60" i="85"/>
  <c r="N59" i="85"/>
  <c r="N16" i="85"/>
  <c r="A17" i="85"/>
  <c r="N34" i="85"/>
  <c r="R49" i="76"/>
  <c r="Q24" i="76"/>
  <c r="A50" i="76"/>
  <c r="L89" i="5"/>
  <c r="A90" i="5"/>
  <c r="I27" i="92"/>
  <c r="A28" i="92"/>
  <c r="A23" i="90"/>
  <c r="D23" i="90"/>
  <c r="F21" i="90"/>
  <c r="D24" i="90"/>
  <c r="Q23" i="73"/>
  <c r="R48" i="73"/>
  <c r="A49" i="73"/>
  <c r="L54" i="5"/>
  <c r="A55" i="5"/>
  <c r="A48" i="79"/>
  <c r="J47" i="79"/>
  <c r="K67" i="83"/>
  <c r="A68" i="83"/>
  <c r="A27" i="5"/>
  <c r="L25" i="5"/>
  <c r="H21" i="70"/>
  <c r="A22" i="70"/>
  <c r="G22" i="70"/>
  <c r="F9" i="89"/>
  <c r="K60" i="89"/>
  <c r="A23" i="84"/>
  <c r="Q22" i="84"/>
  <c r="I46" i="92"/>
  <c r="A47" i="92"/>
  <c r="A19" i="68"/>
  <c r="G16" i="68"/>
  <c r="A100" i="75"/>
  <c r="J99" i="75"/>
  <c r="A63" i="75"/>
  <c r="J62" i="75"/>
  <c r="A27" i="75"/>
  <c r="J26" i="75"/>
  <c r="Q39" i="78"/>
  <c r="H67" i="83"/>
  <c r="H66" i="83"/>
  <c r="A39" i="69"/>
  <c r="Q39" i="69"/>
  <c r="Q37" i="69"/>
  <c r="H120" i="80"/>
  <c r="N122" i="80"/>
  <c r="A123" i="80"/>
  <c r="N68" i="80"/>
  <c r="A69" i="80"/>
  <c r="N69" i="80"/>
  <c r="N143" i="80"/>
  <c r="A144" i="80"/>
  <c r="K140" i="80"/>
  <c r="K156" i="80"/>
  <c r="F25" i="47"/>
  <c r="H23" i="47"/>
  <c r="A26" i="47"/>
  <c r="A94" i="47"/>
  <c r="H91" i="47"/>
  <c r="A18" i="85"/>
  <c r="N17" i="85"/>
  <c r="N35" i="85"/>
  <c r="N60" i="85"/>
  <c r="A61" i="85"/>
  <c r="I28" i="92"/>
  <c r="A29" i="92"/>
  <c r="L90" i="5"/>
  <c r="A91" i="5"/>
  <c r="A51" i="76"/>
  <c r="Q25" i="76"/>
  <c r="R50" i="76"/>
  <c r="A24" i="90"/>
  <c r="F23" i="90"/>
  <c r="R49" i="73"/>
  <c r="Q24" i="73"/>
  <c r="A50" i="73"/>
  <c r="R50" i="73"/>
  <c r="A56" i="5"/>
  <c r="L55" i="5"/>
  <c r="A24" i="70"/>
  <c r="H24" i="70"/>
  <c r="H22" i="70"/>
  <c r="G24" i="70"/>
  <c r="A69" i="83"/>
  <c r="K69" i="83"/>
  <c r="K68" i="83"/>
  <c r="A48" i="92"/>
  <c r="I47" i="92"/>
  <c r="G48" i="92"/>
  <c r="L27" i="5"/>
  <c r="B7" i="5"/>
  <c r="A20" i="68"/>
  <c r="G19" i="68"/>
  <c r="Q23" i="84"/>
  <c r="A24" i="84"/>
  <c r="A49" i="79"/>
  <c r="J48" i="79"/>
  <c r="J100" i="75"/>
  <c r="A101" i="75"/>
  <c r="A28" i="75"/>
  <c r="J27" i="75"/>
  <c r="J63" i="75"/>
  <c r="A64" i="75"/>
  <c r="Q40" i="78"/>
  <c r="K157" i="80"/>
  <c r="A124" i="80"/>
  <c r="N123" i="80"/>
  <c r="H121" i="80"/>
  <c r="H122" i="80"/>
  <c r="K141" i="80"/>
  <c r="N144" i="80"/>
  <c r="A146" i="80"/>
  <c r="H94" i="47"/>
  <c r="A95" i="47"/>
  <c r="H26" i="47"/>
  <c r="A27" i="47"/>
  <c r="N36" i="85"/>
  <c r="N61" i="85"/>
  <c r="A62" i="85"/>
  <c r="A19" i="85"/>
  <c r="N18" i="85"/>
  <c r="I29" i="92"/>
  <c r="A30" i="92"/>
  <c r="A52" i="76"/>
  <c r="R52" i="76"/>
  <c r="R51" i="76"/>
  <c r="Q26" i="76"/>
  <c r="A27" i="90"/>
  <c r="F24" i="90"/>
  <c r="F14" i="82"/>
  <c r="F49" i="82"/>
  <c r="C95" i="5"/>
  <c r="B72" i="5"/>
  <c r="L91" i="5"/>
  <c r="A57" i="5"/>
  <c r="L56" i="5"/>
  <c r="C59" i="79"/>
  <c r="A54" i="79"/>
  <c r="J49" i="79"/>
  <c r="C56" i="79"/>
  <c r="A21" i="68"/>
  <c r="G20" i="68"/>
  <c r="A25" i="84"/>
  <c r="Q24" i="84"/>
  <c r="A50" i="92"/>
  <c r="I48" i="92"/>
  <c r="J101" i="75"/>
  <c r="A102" i="75"/>
  <c r="J28" i="75"/>
  <c r="A29" i="75"/>
  <c r="A65" i="75"/>
  <c r="J64" i="75"/>
  <c r="Q41" i="78"/>
  <c r="A149" i="80"/>
  <c r="N146" i="80"/>
  <c r="K142" i="80"/>
  <c r="K143" i="80"/>
  <c r="K158" i="80"/>
  <c r="N124" i="80"/>
  <c r="E21" i="80"/>
  <c r="A96" i="47"/>
  <c r="H95" i="47"/>
  <c r="A28" i="47"/>
  <c r="H27" i="47"/>
  <c r="F96" i="47"/>
  <c r="A63" i="85"/>
  <c r="N62" i="85"/>
  <c r="N37" i="85"/>
  <c r="N19" i="85"/>
  <c r="A20" i="85"/>
  <c r="A28" i="90"/>
  <c r="F27" i="90"/>
  <c r="I30" i="92"/>
  <c r="A32" i="92"/>
  <c r="I32" i="92"/>
  <c r="G32" i="92"/>
  <c r="L57" i="5"/>
  <c r="A58" i="5"/>
  <c r="A52" i="92"/>
  <c r="I50" i="92"/>
  <c r="Q25" i="84"/>
  <c r="A26" i="84"/>
  <c r="J54" i="79"/>
  <c r="A56" i="79"/>
  <c r="C57" i="79"/>
  <c r="A22" i="68"/>
  <c r="G21" i="68"/>
  <c r="J102" i="75"/>
  <c r="A103" i="75"/>
  <c r="A30" i="75"/>
  <c r="J29" i="75"/>
  <c r="J65" i="75"/>
  <c r="A66" i="75"/>
  <c r="Q42" i="78"/>
  <c r="K160" i="80"/>
  <c r="N149" i="80"/>
  <c r="A150" i="80"/>
  <c r="K159" i="80"/>
  <c r="H28" i="47"/>
  <c r="A30" i="47"/>
  <c r="F30" i="47"/>
  <c r="A98" i="47"/>
  <c r="H96" i="47"/>
  <c r="F98" i="47"/>
  <c r="N38" i="85"/>
  <c r="N20" i="85"/>
  <c r="A21" i="85"/>
  <c r="A64" i="85"/>
  <c r="N63" i="85"/>
  <c r="D29" i="90"/>
  <c r="F28" i="90"/>
  <c r="A29" i="90"/>
  <c r="L58" i="5"/>
  <c r="A59" i="5"/>
  <c r="I52" i="92"/>
  <c r="A53" i="92"/>
  <c r="G22" i="68"/>
  <c r="A25" i="68"/>
  <c r="J56" i="79"/>
  <c r="A57" i="79"/>
  <c r="A27" i="84"/>
  <c r="Q26" i="84"/>
  <c r="A104" i="75"/>
  <c r="J103" i="75"/>
  <c r="A31" i="75"/>
  <c r="J30" i="75"/>
  <c r="J66" i="75"/>
  <c r="A67" i="75"/>
  <c r="Q43" i="78"/>
  <c r="N150" i="80"/>
  <c r="A151" i="80"/>
  <c r="F66" i="47"/>
  <c r="H30" i="47"/>
  <c r="F48" i="47"/>
  <c r="H98" i="47"/>
  <c r="A101" i="47"/>
  <c r="F103" i="47"/>
  <c r="A22" i="85"/>
  <c r="N21" i="85"/>
  <c r="N64" i="85"/>
  <c r="A65" i="85"/>
  <c r="N65" i="85"/>
  <c r="N39" i="85"/>
  <c r="F24" i="82"/>
  <c r="A31" i="90"/>
  <c r="D56" i="90"/>
  <c r="F29" i="90"/>
  <c r="A60" i="5"/>
  <c r="L59" i="5"/>
  <c r="A59" i="79"/>
  <c r="J57" i="79"/>
  <c r="A26" i="68"/>
  <c r="G25" i="68"/>
  <c r="A28" i="84"/>
  <c r="Q27" i="84"/>
  <c r="I53" i="92"/>
  <c r="A55" i="92"/>
  <c r="G55" i="92"/>
  <c r="A105" i="75"/>
  <c r="J104" i="75"/>
  <c r="A32" i="75"/>
  <c r="J31" i="75"/>
  <c r="J67" i="75"/>
  <c r="A68" i="75"/>
  <c r="Q44" i="78"/>
  <c r="A152" i="80"/>
  <c r="N151" i="80"/>
  <c r="C75" i="47"/>
  <c r="H101" i="47"/>
  <c r="A103" i="47"/>
  <c r="N40" i="85"/>
  <c r="A23" i="85"/>
  <c r="N23" i="85"/>
  <c r="N22" i="85"/>
  <c r="F31" i="90"/>
  <c r="A32" i="90"/>
  <c r="A61" i="5"/>
  <c r="L60" i="5"/>
  <c r="A56" i="92"/>
  <c r="I55" i="92"/>
  <c r="A29" i="84"/>
  <c r="Q28" i="84"/>
  <c r="A27" i="68"/>
  <c r="G26" i="68"/>
  <c r="A60" i="79"/>
  <c r="J60" i="79"/>
  <c r="J59" i="79"/>
  <c r="C60" i="79"/>
  <c r="A106" i="75"/>
  <c r="J105" i="75"/>
  <c r="A69" i="75"/>
  <c r="J68" i="75"/>
  <c r="A33" i="75"/>
  <c r="J32" i="75"/>
  <c r="Q45" i="78"/>
  <c r="N152" i="80"/>
  <c r="A153" i="80"/>
  <c r="A106" i="47"/>
  <c r="H103" i="47"/>
  <c r="N41" i="85"/>
  <c r="D33" i="90"/>
  <c r="F32" i="90"/>
  <c r="A33" i="90"/>
  <c r="L61" i="5"/>
  <c r="A62" i="5"/>
  <c r="G27" i="68"/>
  <c r="A28" i="68"/>
  <c r="A57" i="92"/>
  <c r="I56" i="92"/>
  <c r="Q29" i="84"/>
  <c r="A30" i="84"/>
  <c r="A107" i="75"/>
  <c r="J106" i="75"/>
  <c r="A70" i="75"/>
  <c r="J69" i="75"/>
  <c r="J33" i="75"/>
  <c r="A34" i="75"/>
  <c r="Q46" i="78"/>
  <c r="N153" i="80"/>
  <c r="A154" i="80"/>
  <c r="H106" i="47"/>
  <c r="A107" i="47"/>
  <c r="F107" i="47"/>
  <c r="N42" i="85"/>
  <c r="D57" i="90"/>
  <c r="A35" i="90"/>
  <c r="F33" i="90"/>
  <c r="L62" i="5"/>
  <c r="A63" i="5"/>
  <c r="A59" i="92"/>
  <c r="I59" i="92"/>
  <c r="I57" i="92"/>
  <c r="G59" i="92"/>
  <c r="A31" i="84"/>
  <c r="Q30" i="84"/>
  <c r="A29" i="68"/>
  <c r="G28" i="68"/>
  <c r="J107" i="75"/>
  <c r="A108" i="75"/>
  <c r="A71" i="75"/>
  <c r="J70" i="75"/>
  <c r="J34" i="75"/>
  <c r="A35" i="75"/>
  <c r="Q47" i="78"/>
  <c r="A155" i="80"/>
  <c r="N154" i="80"/>
  <c r="A108" i="47"/>
  <c r="F110" i="47"/>
  <c r="H107" i="47"/>
  <c r="N43" i="85"/>
  <c r="A36" i="90"/>
  <c r="F35" i="90"/>
  <c r="A64" i="5"/>
  <c r="L63" i="5"/>
  <c r="A30" i="68"/>
  <c r="G30" i="68"/>
  <c r="G29" i="68"/>
  <c r="Q31" i="84"/>
  <c r="A32" i="84"/>
  <c r="A109" i="75"/>
  <c r="J108" i="75"/>
  <c r="A36" i="75"/>
  <c r="J35" i="75"/>
  <c r="J71" i="75"/>
  <c r="A72" i="75"/>
  <c r="Q48" i="78"/>
  <c r="N155" i="80"/>
  <c r="A156" i="80"/>
  <c r="H108" i="47"/>
  <c r="A110" i="47"/>
  <c r="N44" i="85"/>
  <c r="A45" i="85"/>
  <c r="A37" i="90"/>
  <c r="D37" i="90"/>
  <c r="F36" i="90"/>
  <c r="A65" i="5"/>
  <c r="L64" i="5"/>
  <c r="A33" i="84"/>
  <c r="Q32" i="84"/>
  <c r="J109" i="75"/>
  <c r="A110" i="75"/>
  <c r="A37" i="75"/>
  <c r="J36" i="75"/>
  <c r="J72" i="75"/>
  <c r="A73" i="75"/>
  <c r="Q49" i="78"/>
  <c r="N156" i="80"/>
  <c r="A157" i="80"/>
  <c r="H110" i="47"/>
  <c r="C36" i="5"/>
  <c r="A46" i="85"/>
  <c r="N46" i="85"/>
  <c r="N45" i="85"/>
  <c r="A40" i="90"/>
  <c r="F37" i="90"/>
  <c r="A66" i="5"/>
  <c r="L65" i="5"/>
  <c r="A34" i="84"/>
  <c r="Q33" i="84"/>
  <c r="J110" i="75"/>
  <c r="A111" i="75"/>
  <c r="J73" i="75"/>
  <c r="A74" i="75"/>
  <c r="J37" i="75"/>
  <c r="A38" i="75"/>
  <c r="Q50" i="78"/>
  <c r="N157" i="80"/>
  <c r="A158" i="80"/>
  <c r="F40" i="90"/>
  <c r="A41" i="90"/>
  <c r="L66" i="5"/>
  <c r="A67" i="5"/>
  <c r="A35" i="84"/>
  <c r="Q34" i="84"/>
  <c r="J111" i="75"/>
  <c r="A112" i="75"/>
  <c r="J112" i="75"/>
  <c r="J38" i="75"/>
  <c r="A39" i="75"/>
  <c r="J39" i="75"/>
  <c r="J74" i="75"/>
  <c r="A75" i="75"/>
  <c r="Q51" i="78"/>
  <c r="N158" i="80"/>
  <c r="A159" i="80"/>
  <c r="D43" i="90"/>
  <c r="A42" i="90"/>
  <c r="F41" i="90"/>
  <c r="L67" i="5"/>
  <c r="A68" i="5"/>
  <c r="A36" i="84"/>
  <c r="Q35" i="84"/>
  <c r="J75" i="75"/>
  <c r="A76" i="75"/>
  <c r="J76" i="75"/>
  <c r="Q52" i="78"/>
  <c r="N159" i="80"/>
  <c r="A160" i="80"/>
  <c r="D44" i="90"/>
  <c r="A43" i="90"/>
  <c r="F42" i="90"/>
  <c r="B145" i="5"/>
  <c r="L68" i="5"/>
  <c r="B142" i="5"/>
  <c r="Q36" i="84"/>
  <c r="A37" i="84"/>
  <c r="Q37" i="84"/>
  <c r="Q53" i="78"/>
  <c r="N160" i="80"/>
  <c r="A161" i="80"/>
  <c r="A44" i="90"/>
  <c r="F43" i="90"/>
  <c r="Q54" i="78"/>
  <c r="A163" i="80"/>
  <c r="N161" i="80"/>
  <c r="F44" i="90"/>
  <c r="A47" i="90"/>
  <c r="Q55" i="78"/>
  <c r="A164" i="80"/>
  <c r="N163" i="80"/>
  <c r="F47" i="90"/>
  <c r="A48" i="90"/>
  <c r="D49" i="90"/>
  <c r="Q56" i="78"/>
  <c r="A168" i="80"/>
  <c r="N164" i="80"/>
  <c r="E27" i="2"/>
  <c r="A49" i="90"/>
  <c r="F48" i="90"/>
  <c r="D50" i="90"/>
  <c r="Q57" i="78"/>
  <c r="N168" i="80"/>
  <c r="A169" i="80"/>
  <c r="F49" i="90"/>
  <c r="A50" i="90"/>
  <c r="Q58" i="78"/>
  <c r="N169" i="80"/>
  <c r="A170" i="80"/>
  <c r="D51" i="90"/>
  <c r="F50" i="90"/>
  <c r="A51" i="90"/>
  <c r="Q59" i="78"/>
  <c r="N170" i="80"/>
  <c r="A171" i="80"/>
  <c r="D53" i="90"/>
  <c r="A52" i="90"/>
  <c r="F51" i="90"/>
  <c r="D52" i="90"/>
  <c r="Q60" i="78"/>
  <c r="N171" i="80"/>
  <c r="A172" i="80"/>
  <c r="F52" i="90"/>
  <c r="A53" i="90"/>
  <c r="Q61" i="78"/>
  <c r="N172" i="80"/>
  <c r="A173" i="80"/>
  <c r="F53" i="90"/>
  <c r="A56" i="90"/>
  <c r="Q62" i="78"/>
  <c r="A174" i="80"/>
  <c r="N173" i="80"/>
  <c r="F56" i="90"/>
  <c r="F40" i="82"/>
  <c r="A57" i="90"/>
  <c r="Q63" i="78"/>
  <c r="N174" i="80"/>
  <c r="A175" i="80"/>
  <c r="F57" i="90"/>
  <c r="A60" i="90"/>
  <c r="Q64" i="78"/>
  <c r="N175" i="80"/>
  <c r="A176" i="80"/>
  <c r="F60" i="90"/>
  <c r="A61" i="90"/>
  <c r="Q65" i="78"/>
  <c r="N176" i="80"/>
  <c r="A177" i="80"/>
  <c r="F61" i="90"/>
  <c r="A62" i="90"/>
  <c r="Q66" i="78"/>
  <c r="N177" i="80"/>
  <c r="A178" i="80"/>
  <c r="F62" i="90"/>
  <c r="A63" i="90"/>
  <c r="Q67" i="78"/>
  <c r="A179" i="80"/>
  <c r="N178" i="80"/>
  <c r="A64" i="90"/>
  <c r="F64" i="90"/>
  <c r="F63" i="90"/>
  <c r="Q68" i="78"/>
  <c r="A180" i="80"/>
  <c r="N179" i="80"/>
  <c r="Q69" i="78"/>
  <c r="A181" i="80"/>
  <c r="N180" i="80"/>
  <c r="Q70" i="78"/>
  <c r="N181" i="80"/>
  <c r="A182" i="80"/>
  <c r="Q71" i="78"/>
  <c r="N182" i="80"/>
  <c r="A183" i="80"/>
  <c r="N183" i="80"/>
  <c r="Q72" i="78"/>
  <c r="Q74" i="78"/>
  <c r="Q73" i="78"/>
  <c r="E1" i="90"/>
  <c r="J10" i="69"/>
  <c r="C43" i="76"/>
  <c r="C44" i="73"/>
  <c r="C49" i="76"/>
  <c r="BG1" i="103"/>
  <c r="C127" i="73"/>
  <c r="C61" i="75"/>
  <c r="F1" i="81"/>
  <c r="C20" i="75"/>
  <c r="C26" i="76"/>
  <c r="C48" i="73"/>
  <c r="I1" i="75"/>
  <c r="F99" i="1"/>
  <c r="K10" i="69"/>
  <c r="F2" i="2"/>
  <c r="C19" i="76"/>
  <c r="C128" i="76"/>
  <c r="C25" i="79"/>
  <c r="C114" i="73"/>
  <c r="B119" i="80"/>
  <c r="C22" i="75"/>
  <c r="C101" i="73"/>
  <c r="C68" i="73"/>
  <c r="A99" i="1"/>
  <c r="C51" i="5"/>
  <c r="C114" i="5"/>
  <c r="C23" i="75"/>
  <c r="C18" i="76"/>
  <c r="C54" i="89"/>
  <c r="C101" i="76"/>
  <c r="I1" i="72"/>
  <c r="P1" i="73"/>
  <c r="C60" i="75"/>
  <c r="C15" i="73"/>
  <c r="L10" i="69"/>
  <c r="C42" i="76"/>
  <c r="C22" i="73"/>
  <c r="C92" i="75"/>
  <c r="C42" i="73"/>
  <c r="C93" i="75"/>
  <c r="C18" i="75"/>
  <c r="B118" i="80"/>
  <c r="C40" i="76"/>
  <c r="C49" i="89"/>
  <c r="C85" i="77"/>
  <c r="C37" i="79"/>
  <c r="C38" i="73"/>
  <c r="C76" i="76"/>
  <c r="B111" i="80"/>
  <c r="F1" i="87"/>
  <c r="C25" i="75"/>
  <c r="C21" i="73"/>
  <c r="C16" i="76"/>
  <c r="B59" i="83"/>
  <c r="C80" i="77"/>
  <c r="C45" i="79"/>
  <c r="C12" i="73"/>
  <c r="P1" i="77"/>
  <c r="B114" i="80"/>
  <c r="C14" i="76"/>
  <c r="C128" i="73"/>
  <c r="C15" i="75"/>
  <c r="C86" i="73"/>
  <c r="E33" i="89"/>
  <c r="D33" i="89"/>
  <c r="B65" i="83"/>
  <c r="I1" i="79"/>
  <c r="C58" i="75"/>
  <c r="C71" i="76"/>
  <c r="B38" i="77"/>
  <c r="C45" i="73"/>
  <c r="C56" i="89"/>
  <c r="C47" i="5"/>
  <c r="C110" i="5"/>
  <c r="C121" i="77"/>
  <c r="C55" i="75"/>
  <c r="C88" i="75"/>
  <c r="G1" i="47"/>
  <c r="C62" i="73"/>
  <c r="K2" i="5"/>
  <c r="P1" i="76"/>
  <c r="C91" i="75"/>
  <c r="P1" i="102"/>
  <c r="C15" i="76"/>
  <c r="C24" i="79"/>
  <c r="C55" i="5"/>
  <c r="C118" i="5"/>
  <c r="B61" i="83"/>
  <c r="C15" i="79"/>
  <c r="C73" i="76"/>
  <c r="C24" i="75"/>
  <c r="J1" i="89"/>
  <c r="C127" i="76"/>
  <c r="C54" i="5"/>
  <c r="C117" i="5"/>
  <c r="J1" i="83"/>
  <c r="C115" i="76"/>
  <c r="C52" i="5"/>
  <c r="C115" i="5"/>
  <c r="O10" i="69"/>
  <c r="G1" i="70"/>
  <c r="C63" i="73"/>
  <c r="C25" i="76"/>
  <c r="C74" i="73"/>
  <c r="C44" i="79"/>
  <c r="C50" i="76"/>
  <c r="C66" i="76"/>
  <c r="C24" i="76"/>
  <c r="C39" i="73"/>
  <c r="B64" i="83"/>
  <c r="C70" i="73"/>
  <c r="C116" i="77"/>
  <c r="C17" i="75"/>
  <c r="C87" i="73"/>
  <c r="C13" i="73"/>
  <c r="H10" i="69"/>
  <c r="C50" i="5"/>
  <c r="C113" i="5"/>
  <c r="C87" i="76"/>
  <c r="C95" i="75"/>
  <c r="C21" i="75"/>
  <c r="B51" i="77"/>
  <c r="C46" i="79"/>
  <c r="C67" i="73"/>
  <c r="B66" i="83"/>
  <c r="C16" i="79"/>
  <c r="C21" i="76"/>
  <c r="C41" i="73"/>
  <c r="C14" i="79"/>
  <c r="C69" i="76"/>
  <c r="C47" i="73"/>
  <c r="C48" i="79"/>
  <c r="C67" i="76"/>
  <c r="C46" i="73"/>
  <c r="I10" i="69"/>
  <c r="C19" i="79"/>
  <c r="C47" i="76"/>
  <c r="H127" i="1"/>
  <c r="B113" i="80"/>
  <c r="C38" i="79"/>
  <c r="C44" i="76"/>
  <c r="C17" i="76"/>
  <c r="C26" i="75"/>
  <c r="C16" i="73"/>
  <c r="B56" i="83"/>
  <c r="J1" i="86"/>
  <c r="C110" i="77"/>
  <c r="C100" i="73"/>
  <c r="C84" i="77"/>
  <c r="C56" i="5"/>
  <c r="C69" i="73"/>
  <c r="F10" i="69"/>
  <c r="B25" i="77"/>
  <c r="C99" i="75"/>
  <c r="C59" i="75"/>
  <c r="C111" i="77"/>
  <c r="C22" i="79"/>
  <c r="C16" i="75"/>
  <c r="B67" i="83"/>
  <c r="C41" i="79"/>
  <c r="C90" i="75"/>
  <c r="E10" i="69"/>
  <c r="C17" i="79"/>
  <c r="C97" i="75"/>
  <c r="C37" i="73"/>
  <c r="M1" i="80"/>
  <c r="C96" i="75"/>
  <c r="C20" i="73"/>
  <c r="C46" i="5"/>
  <c r="C109" i="5"/>
  <c r="F160" i="1"/>
  <c r="C40" i="79"/>
  <c r="A128" i="1"/>
  <c r="A129" i="1"/>
  <c r="F80" i="1"/>
  <c r="B116" i="80"/>
  <c r="C49" i="79"/>
  <c r="C39" i="76"/>
  <c r="C94" i="75"/>
  <c r="C18" i="73"/>
  <c r="F1" i="68"/>
  <c r="B57" i="83"/>
  <c r="F1" i="82"/>
  <c r="C23" i="76"/>
  <c r="C75" i="76"/>
  <c r="C79" i="77"/>
  <c r="C48" i="5"/>
  <c r="C111" i="5"/>
  <c r="M10" i="69"/>
  <c r="J1" i="71"/>
  <c r="C78" i="77"/>
  <c r="C64" i="76"/>
  <c r="C22" i="76"/>
  <c r="C115" i="77"/>
  <c r="C23" i="79"/>
  <c r="C65" i="73"/>
  <c r="C47" i="89"/>
  <c r="H151" i="1"/>
  <c r="C113" i="77"/>
  <c r="C87" i="77"/>
  <c r="D10" i="69"/>
  <c r="C120" i="77"/>
  <c r="C56" i="75"/>
  <c r="C57" i="89"/>
  <c r="C118" i="77"/>
  <c r="C52" i="75"/>
  <c r="C71" i="73"/>
  <c r="C45" i="5"/>
  <c r="C44" i="5"/>
  <c r="C114" i="77"/>
  <c r="F159" i="1"/>
  <c r="B117" i="80"/>
  <c r="B60" i="83"/>
  <c r="C50" i="89"/>
  <c r="P10" i="69"/>
  <c r="C20" i="79"/>
  <c r="C63" i="75"/>
  <c r="C89" i="75"/>
  <c r="P1" i="69"/>
  <c r="C73" i="73"/>
  <c r="B122" i="80"/>
  <c r="C18" i="79"/>
  <c r="C54" i="75"/>
  <c r="C70" i="76"/>
  <c r="C116" i="76"/>
  <c r="C49" i="73"/>
  <c r="C24" i="73"/>
  <c r="C53" i="75"/>
  <c r="C82" i="77"/>
  <c r="C68" i="76"/>
  <c r="C41" i="76"/>
  <c r="C119" i="77"/>
  <c r="P1" i="84"/>
  <c r="C53" i="5"/>
  <c r="C116" i="5"/>
  <c r="C52" i="89"/>
  <c r="B63" i="83"/>
  <c r="C62" i="75"/>
  <c r="C76" i="77"/>
  <c r="C53" i="89"/>
  <c r="C21" i="79"/>
  <c r="C83" i="77"/>
  <c r="B58" i="83"/>
  <c r="C13" i="79"/>
  <c r="C81" i="77"/>
  <c r="C23" i="73"/>
  <c r="C72" i="73"/>
  <c r="C74" i="76"/>
  <c r="C48" i="89"/>
  <c r="C66" i="73"/>
  <c r="C117" i="77"/>
  <c r="C19" i="75"/>
  <c r="C115" i="73"/>
  <c r="C17" i="73"/>
  <c r="C19" i="73"/>
  <c r="B115" i="80"/>
  <c r="C42" i="79"/>
  <c r="C48" i="76"/>
  <c r="C65" i="76"/>
  <c r="C20" i="76"/>
  <c r="C43" i="73"/>
  <c r="C40" i="73"/>
  <c r="G10" i="69"/>
  <c r="C86" i="77"/>
  <c r="C72" i="76"/>
  <c r="C45" i="76"/>
  <c r="C39" i="79"/>
  <c r="F1" i="91"/>
  <c r="B112" i="80"/>
  <c r="C58" i="89"/>
  <c r="B120" i="80"/>
  <c r="C46" i="76"/>
  <c r="C57" i="75"/>
  <c r="B62" i="83"/>
  <c r="B61" i="77"/>
  <c r="C102" i="76"/>
  <c r="B121" i="80"/>
  <c r="C51" i="76"/>
  <c r="C88" i="76"/>
  <c r="C43" i="79"/>
  <c r="E1" i="88"/>
  <c r="C51" i="89"/>
  <c r="H159" i="1"/>
  <c r="C49" i="5"/>
  <c r="C112" i="5"/>
  <c r="A13" i="1"/>
  <c r="H10" i="1"/>
  <c r="C55" i="89"/>
  <c r="H9" i="1"/>
  <c r="A37" i="1"/>
  <c r="A80" i="1"/>
  <c r="E15" i="75"/>
  <c r="I144" i="80"/>
  <c r="F10" i="84"/>
  <c r="L16" i="84"/>
  <c r="L17" i="84"/>
  <c r="L22" i="84"/>
  <c r="L29" i="84"/>
  <c r="L15" i="84"/>
  <c r="L13" i="84"/>
  <c r="L11" i="84"/>
  <c r="L19" i="84"/>
  <c r="L31" i="84"/>
  <c r="K10" i="84"/>
  <c r="L25" i="84"/>
  <c r="L34" i="84"/>
  <c r="L20" i="84"/>
  <c r="L23" i="84"/>
  <c r="L33" i="84"/>
  <c r="I10" i="84"/>
  <c r="L24" i="84"/>
  <c r="A39" i="87"/>
  <c r="G39" i="87"/>
  <c r="G38" i="87"/>
  <c r="A21" i="87"/>
  <c r="G20" i="87"/>
  <c r="D36" i="87"/>
  <c r="G31" i="87"/>
  <c r="A32" i="87"/>
  <c r="F18" i="87"/>
  <c r="F17" i="87"/>
  <c r="C28" i="87"/>
  <c r="E17" i="87"/>
  <c r="F19" i="87"/>
  <c r="J25" i="5"/>
  <c r="H44" i="86"/>
  <c r="K22" i="86"/>
  <c r="A23" i="86"/>
  <c r="K46" i="86"/>
  <c r="A47" i="86"/>
  <c r="K15" i="86"/>
  <c r="A16" i="86"/>
  <c r="A38" i="86"/>
  <c r="K37" i="86"/>
  <c r="K45" i="86"/>
  <c r="K14" i="86"/>
  <c r="G10" i="86"/>
  <c r="E45" i="92"/>
  <c r="H36" i="86"/>
  <c r="K21" i="86"/>
  <c r="H20" i="86"/>
  <c r="F10" i="86"/>
  <c r="D45" i="92"/>
  <c r="F45" i="92"/>
  <c r="I55" i="89"/>
  <c r="I48" i="89"/>
  <c r="I56" i="89"/>
  <c r="AT23" i="103"/>
  <c r="AP109" i="103"/>
  <c r="AZ96" i="103"/>
  <c r="BD96" i="103"/>
  <c r="BF96" i="103"/>
  <c r="AZ93" i="103"/>
  <c r="BD93" i="103"/>
  <c r="BF93" i="103"/>
  <c r="AP69" i="103"/>
  <c r="AP84" i="103"/>
  <c r="AP66" i="103"/>
  <c r="AZ89" i="103"/>
  <c r="BD89" i="103"/>
  <c r="BF89" i="103"/>
  <c r="AZ61" i="103"/>
  <c r="BD61" i="103"/>
  <c r="BF61" i="103"/>
  <c r="AX27" i="103"/>
  <c r="BD27" i="103"/>
  <c r="BF27" i="103"/>
  <c r="AZ127" i="103"/>
  <c r="BD127" i="103"/>
  <c r="AZ126" i="103"/>
  <c r="BD126" i="103"/>
  <c r="BB104" i="103"/>
  <c r="BD104" i="103"/>
  <c r="BF104" i="103"/>
  <c r="AP104" i="103"/>
  <c r="BB108" i="103"/>
  <c r="BD108" i="103"/>
  <c r="BF108" i="103"/>
  <c r="BD109" i="103"/>
  <c r="BF109" i="103"/>
  <c r="X104" i="103"/>
  <c r="V102" i="103"/>
  <c r="V15" i="103"/>
  <c r="V17" i="103"/>
  <c r="V23" i="103"/>
  <c r="AZ76" i="103"/>
  <c r="BD76" i="103"/>
  <c r="BF76" i="103"/>
  <c r="AP76" i="103"/>
  <c r="AZ87" i="103"/>
  <c r="AP87" i="103"/>
  <c r="AP79" i="103"/>
  <c r="AZ79" i="103"/>
  <c r="BD79" i="103"/>
  <c r="BF79" i="103"/>
  <c r="AZ57" i="103"/>
  <c r="BD57" i="103"/>
  <c r="BF57" i="103"/>
  <c r="AP57" i="103"/>
  <c r="AZ73" i="103"/>
  <c r="BD73" i="103"/>
  <c r="BF73" i="103"/>
  <c r="AP73" i="103"/>
  <c r="AP48" i="103"/>
  <c r="AZ48" i="103"/>
  <c r="BD48" i="103"/>
  <c r="BF48" i="103"/>
  <c r="AL97" i="103"/>
  <c r="X79" i="103"/>
  <c r="X76" i="103"/>
  <c r="AL71" i="103"/>
  <c r="J17" i="103"/>
  <c r="J23" i="103"/>
  <c r="AP88" i="103"/>
  <c r="AZ63" i="103"/>
  <c r="BD63" i="103"/>
  <c r="BF63" i="103"/>
  <c r="BD87" i="103"/>
  <c r="BF87" i="103"/>
  <c r="AZ45" i="103"/>
  <c r="BD45" i="103"/>
  <c r="BF45" i="103"/>
  <c r="AZ92" i="103"/>
  <c r="BD90" i="103"/>
  <c r="BF90" i="103"/>
  <c r="AP44" i="103"/>
  <c r="AP90" i="103"/>
  <c r="AP68" i="103"/>
  <c r="AL95" i="103"/>
  <c r="T42" i="103"/>
  <c r="T14" i="103"/>
  <c r="X14" i="103"/>
  <c r="AP83" i="103"/>
  <c r="X57" i="103"/>
  <c r="AP54" i="103"/>
  <c r="AP65" i="103"/>
  <c r="AL51" i="103"/>
  <c r="AP74" i="103"/>
  <c r="AZ94" i="103"/>
  <c r="BD94" i="103"/>
  <c r="BF94" i="103"/>
  <c r="AP91" i="103"/>
  <c r="AZ80" i="103"/>
  <c r="BD80" i="103"/>
  <c r="BF80" i="103"/>
  <c r="AP49" i="103"/>
  <c r="AP50" i="103"/>
  <c r="AL67" i="103"/>
  <c r="AZ67" i="103"/>
  <c r="BD91" i="103"/>
  <c r="BF91" i="103"/>
  <c r="BD83" i="103"/>
  <c r="BF83" i="103"/>
  <c r="AP85" i="103"/>
  <c r="BD81" i="103"/>
  <c r="BF81" i="103"/>
  <c r="BD65" i="103"/>
  <c r="BF65" i="103"/>
  <c r="AJ36" i="103"/>
  <c r="X36" i="103"/>
  <c r="X34" i="103"/>
  <c r="AP28" i="103"/>
  <c r="AX28" i="103"/>
  <c r="BD28" i="103"/>
  <c r="BF28" i="103"/>
  <c r="R17" i="103"/>
  <c r="R23" i="103"/>
  <c r="AD17" i="103"/>
  <c r="AD23" i="103"/>
  <c r="AB17" i="103"/>
  <c r="AB23" i="103"/>
  <c r="A51" i="103"/>
  <c r="BH50" i="103"/>
  <c r="A109" i="103"/>
  <c r="AP64" i="103"/>
  <c r="BD59" i="103"/>
  <c r="BF59" i="103"/>
  <c r="AZ86" i="103"/>
  <c r="BD86" i="103"/>
  <c r="BF86" i="103"/>
  <c r="AP86" i="103"/>
  <c r="BD92" i="103"/>
  <c r="BF92" i="103"/>
  <c r="BD84" i="103"/>
  <c r="BF84" i="103"/>
  <c r="BD68" i="103"/>
  <c r="BF68" i="103"/>
  <c r="AP37" i="103"/>
  <c r="AX37" i="103"/>
  <c r="BD37" i="103"/>
  <c r="BF37" i="103"/>
  <c r="BD112" i="103"/>
  <c r="T17" i="103"/>
  <c r="T23" i="103"/>
  <c r="AP99" i="103"/>
  <c r="AZ129" i="103"/>
  <c r="AP129" i="103"/>
  <c r="AZ75" i="103"/>
  <c r="BD75" i="103"/>
  <c r="BF75" i="103"/>
  <c r="AP75" i="103"/>
  <c r="X20" i="103"/>
  <c r="BD78" i="103"/>
  <c r="BF78" i="103"/>
  <c r="AX35" i="103"/>
  <c r="AJ34" i="103"/>
  <c r="AJ13" i="103"/>
  <c r="AP13" i="103"/>
  <c r="BH126" i="103"/>
  <c r="A127" i="103"/>
  <c r="X116" i="103"/>
  <c r="AZ72" i="103"/>
  <c r="BD72" i="103"/>
  <c r="BF72" i="103"/>
  <c r="AP72" i="103"/>
  <c r="AP47" i="103"/>
  <c r="AZ47" i="103"/>
  <c r="BD47" i="103"/>
  <c r="BF47" i="103"/>
  <c r="AP60" i="103"/>
  <c r="AZ60" i="103"/>
  <c r="BD60" i="103"/>
  <c r="BF60" i="103"/>
  <c r="AP55" i="103"/>
  <c r="AZ55" i="103"/>
  <c r="AZ53" i="103"/>
  <c r="BD53" i="103"/>
  <c r="BF53" i="103"/>
  <c r="AP53" i="103"/>
  <c r="A16" i="103"/>
  <c r="BH15" i="103"/>
  <c r="BB110" i="103"/>
  <c r="BD110" i="103"/>
  <c r="BF110" i="103"/>
  <c r="AP110" i="103"/>
  <c r="X15" i="103"/>
  <c r="BD129" i="103"/>
  <c r="AX124" i="103"/>
  <c r="AX20" i="103"/>
  <c r="AZ77" i="103"/>
  <c r="BD77" i="103"/>
  <c r="BF77" i="103"/>
  <c r="N17" i="103"/>
  <c r="N23" i="103"/>
  <c r="AP128" i="103"/>
  <c r="AZ128" i="103"/>
  <c r="BD128" i="103"/>
  <c r="AZ125" i="103"/>
  <c r="AP125" i="103"/>
  <c r="AP124" i="103"/>
  <c r="BD55" i="103"/>
  <c r="BF55" i="103"/>
  <c r="BD49" i="103"/>
  <c r="BF49" i="103"/>
  <c r="AP107" i="103"/>
  <c r="BD62" i="103"/>
  <c r="BF62" i="103"/>
  <c r="BD54" i="103"/>
  <c r="BF54" i="103"/>
  <c r="X26" i="103"/>
  <c r="AR17" i="103"/>
  <c r="AR23" i="103"/>
  <c r="L17" i="103"/>
  <c r="L23" i="103"/>
  <c r="X107" i="103"/>
  <c r="AN103" i="103"/>
  <c r="AX85" i="103"/>
  <c r="BD85" i="103"/>
  <c r="BF85" i="103"/>
  <c r="X77" i="103"/>
  <c r="X72" i="103"/>
  <c r="AX67" i="103"/>
  <c r="BD67" i="103"/>
  <c r="BF67" i="103"/>
  <c r="AL43" i="103"/>
  <c r="AZ117" i="103"/>
  <c r="AN106" i="103"/>
  <c r="BB106" i="103"/>
  <c r="BD106" i="103"/>
  <c r="BF106" i="103"/>
  <c r="BH14" i="103"/>
  <c r="AZ107" i="103"/>
  <c r="AZ102" i="103"/>
  <c r="AZ15" i="103"/>
  <c r="AJ29" i="103"/>
  <c r="AJ102" i="103"/>
  <c r="AJ15" i="103"/>
  <c r="AL102" i="103"/>
  <c r="AL15" i="103"/>
  <c r="AP46" i="103"/>
  <c r="BB125" i="103"/>
  <c r="BB124" i="103"/>
  <c r="BB20" i="103"/>
  <c r="E40" i="47"/>
  <c r="E40" i="1"/>
  <c r="E42" i="1"/>
  <c r="D26" i="68"/>
  <c r="D30" i="68"/>
  <c r="E45" i="1"/>
  <c r="E100" i="75"/>
  <c r="E101" i="75"/>
  <c r="E102" i="75"/>
  <c r="E103" i="75"/>
  <c r="E104" i="75"/>
  <c r="E105" i="75"/>
  <c r="E106" i="75"/>
  <c r="E107" i="75"/>
  <c r="E108" i="75"/>
  <c r="E109" i="75"/>
  <c r="E110" i="75"/>
  <c r="E111" i="75"/>
  <c r="C48" i="90"/>
  <c r="C50" i="90"/>
  <c r="D144" i="80"/>
  <c r="F133" i="80"/>
  <c r="F144" i="80"/>
  <c r="E54" i="75"/>
  <c r="E16" i="75"/>
  <c r="F149" i="80"/>
  <c r="F161" i="80"/>
  <c r="D161" i="80"/>
  <c r="D27" i="76"/>
  <c r="I27" i="76"/>
  <c r="P75" i="73"/>
  <c r="D122" i="77"/>
  <c r="J25" i="73"/>
  <c r="N119" i="77"/>
  <c r="I13" i="78"/>
  <c r="I21" i="78"/>
  <c r="J13" i="78"/>
  <c r="N115" i="77"/>
  <c r="N114" i="77"/>
  <c r="N27" i="76"/>
  <c r="N113" i="77"/>
  <c r="J19" i="78"/>
  <c r="J18" i="78"/>
  <c r="J17" i="78"/>
  <c r="O110" i="77"/>
  <c r="O116" i="77"/>
  <c r="O114" i="77"/>
  <c r="O120" i="77"/>
  <c r="O115" i="77"/>
  <c r="O121" i="77"/>
  <c r="H12" i="78"/>
  <c r="J12" i="78"/>
  <c r="M12" i="78"/>
  <c r="F115" i="77"/>
  <c r="G16" i="72"/>
  <c r="I16" i="72"/>
  <c r="M19" i="78"/>
  <c r="F121" i="77"/>
  <c r="H25" i="73"/>
  <c r="H87" i="77"/>
  <c r="H121" i="77"/>
  <c r="P24" i="73"/>
  <c r="P25" i="73"/>
  <c r="E7" i="47"/>
  <c r="F113" i="77"/>
  <c r="M16" i="78"/>
  <c r="H16" i="78"/>
  <c r="J16" i="78"/>
  <c r="D9" i="2"/>
  <c r="D11" i="2"/>
  <c r="C40" i="90"/>
  <c r="E121" i="77"/>
  <c r="H10" i="78"/>
  <c r="J10" i="78"/>
  <c r="M10" i="78"/>
  <c r="I118" i="77"/>
  <c r="K115" i="77"/>
  <c r="I116" i="77"/>
  <c r="G112" i="77"/>
  <c r="F120" i="77"/>
  <c r="F14" i="78"/>
  <c r="F21" i="78"/>
  <c r="K116" i="77"/>
  <c r="K121" i="77"/>
  <c r="F112" i="77"/>
  <c r="K114" i="77"/>
  <c r="G118" i="77"/>
  <c r="F116" i="77"/>
  <c r="K110" i="77"/>
  <c r="K120" i="77"/>
  <c r="I113" i="77"/>
  <c r="N116" i="77"/>
  <c r="N110" i="77"/>
  <c r="I121" i="77"/>
  <c r="K113" i="77"/>
  <c r="K112" i="77"/>
  <c r="G117" i="77"/>
  <c r="G111" i="77"/>
  <c r="I119" i="77"/>
  <c r="J110" i="77"/>
  <c r="J122" i="77"/>
  <c r="L113" i="77"/>
  <c r="O111" i="77"/>
  <c r="O117" i="77"/>
  <c r="L112" i="77"/>
  <c r="N112" i="77"/>
  <c r="N120" i="77"/>
  <c r="N121" i="77"/>
  <c r="I112" i="77"/>
  <c r="O112" i="77"/>
  <c r="F25" i="73"/>
  <c r="L87" i="77"/>
  <c r="L121" i="77"/>
  <c r="K118" i="77"/>
  <c r="K117" i="77"/>
  <c r="G110" i="77"/>
  <c r="I114" i="77"/>
  <c r="G115" i="77"/>
  <c r="F119" i="77"/>
  <c r="F110" i="77"/>
  <c r="F111" i="77"/>
  <c r="M17" i="78"/>
  <c r="E25" i="73"/>
  <c r="K119" i="77"/>
  <c r="G119" i="77"/>
  <c r="I117" i="77"/>
  <c r="O113" i="77"/>
  <c r="H117" i="77"/>
  <c r="N118" i="77"/>
  <c r="F114" i="77"/>
  <c r="I120" i="77"/>
  <c r="E122" i="77"/>
  <c r="L25" i="73"/>
  <c r="G113" i="77"/>
  <c r="I110" i="77"/>
  <c r="G116" i="77"/>
  <c r="F118" i="77"/>
  <c r="G14" i="72"/>
  <c r="O15" i="77"/>
  <c r="F130" i="77"/>
  <c r="C36" i="90"/>
  <c r="D88" i="73"/>
  <c r="L12" i="84"/>
  <c r="L21" i="84"/>
  <c r="L14" i="84"/>
  <c r="J10" i="84"/>
  <c r="L18" i="84"/>
  <c r="O24" i="84"/>
  <c r="P24" i="84"/>
  <c r="L26" i="84"/>
  <c r="L30" i="84"/>
  <c r="L35" i="84"/>
  <c r="A18" i="102"/>
  <c r="Q18" i="102"/>
  <c r="Q17" i="102"/>
  <c r="Q14" i="102"/>
  <c r="D110" i="5"/>
  <c r="D118" i="5"/>
  <c r="D115" i="5"/>
  <c r="D112" i="5"/>
  <c r="D117" i="5"/>
  <c r="D116" i="5"/>
  <c r="K23" i="85"/>
  <c r="F27" i="85"/>
  <c r="F30" i="85"/>
  <c r="F32" i="85"/>
  <c r="I23" i="85"/>
  <c r="J46" i="89"/>
  <c r="J47" i="89"/>
  <c r="J48" i="89"/>
  <c r="J49" i="89"/>
  <c r="J50" i="89"/>
  <c r="J51" i="89"/>
  <c r="J52" i="89"/>
  <c r="J53" i="89"/>
  <c r="J54" i="89"/>
  <c r="J55" i="89"/>
  <c r="J56" i="89"/>
  <c r="J57" i="89"/>
  <c r="J58" i="89"/>
  <c r="J60" i="89"/>
  <c r="E9" i="89"/>
  <c r="F56" i="79"/>
  <c r="D24" i="89"/>
  <c r="E24" i="89"/>
  <c r="D32" i="89"/>
  <c r="E67" i="47"/>
  <c r="N18" i="102"/>
  <c r="M18" i="102"/>
  <c r="D14" i="68"/>
  <c r="D15" i="68"/>
  <c r="D16" i="68"/>
  <c r="E35" i="1"/>
  <c r="L17" i="102"/>
  <c r="E90" i="47"/>
  <c r="I161" i="80"/>
  <c r="L54" i="106"/>
  <c r="A24" i="106"/>
  <c r="N22" i="106"/>
  <c r="A23" i="105"/>
  <c r="N21" i="105"/>
  <c r="M112" i="77"/>
  <c r="M121" i="77"/>
  <c r="M113" i="77"/>
  <c r="M118" i="77"/>
  <c r="M114" i="77"/>
  <c r="M110" i="77"/>
  <c r="M120" i="77"/>
  <c r="M115" i="77"/>
  <c r="M117" i="77"/>
  <c r="P111" i="77"/>
  <c r="P118" i="77"/>
  <c r="J11" i="78"/>
  <c r="BF21" i="104"/>
  <c r="BF22" i="104"/>
  <c r="BD123" i="104"/>
  <c r="AR123" i="104"/>
  <c r="BF73" i="104"/>
  <c r="BH73" i="104"/>
  <c r="BF89" i="104"/>
  <c r="BH89" i="104"/>
  <c r="AR50" i="104"/>
  <c r="AR39" i="104"/>
  <c r="AL34" i="104"/>
  <c r="AL13" i="104"/>
  <c r="Z42" i="104"/>
  <c r="AR58" i="104"/>
  <c r="AR92" i="104"/>
  <c r="AR87" i="104"/>
  <c r="BF77" i="104"/>
  <c r="BH77" i="104"/>
  <c r="BF69" i="104"/>
  <c r="BH69" i="104"/>
  <c r="AR54" i="104"/>
  <c r="AR89" i="104"/>
  <c r="AR34" i="104"/>
  <c r="BH43" i="104"/>
  <c r="AZ119" i="104"/>
  <c r="BF119" i="104"/>
  <c r="BH119" i="104"/>
  <c r="AR119" i="104"/>
  <c r="AR104" i="104"/>
  <c r="AP102" i="104"/>
  <c r="AP15" i="104"/>
  <c r="AR83" i="104"/>
  <c r="AR75" i="104"/>
  <c r="A17" i="104"/>
  <c r="BJ16" i="104"/>
  <c r="Z15" i="104"/>
  <c r="BJ38" i="104"/>
  <c r="A39" i="104"/>
  <c r="BJ39" i="104"/>
  <c r="AR12" i="104"/>
  <c r="BJ29" i="104"/>
  <c r="A30" i="104"/>
  <c r="BF20" i="104"/>
  <c r="AR115" i="104"/>
  <c r="AR111" i="104"/>
  <c r="BH124" i="104"/>
  <c r="BF123" i="104"/>
  <c r="AR110" i="104"/>
  <c r="BD110" i="104"/>
  <c r="BF110" i="104"/>
  <c r="BH110" i="104"/>
  <c r="BF79" i="104"/>
  <c r="BH79" i="104"/>
  <c r="BF71" i="104"/>
  <c r="BH71" i="104"/>
  <c r="AP17" i="104"/>
  <c r="AP23" i="104"/>
  <c r="Z12" i="104"/>
  <c r="Z17" i="104"/>
  <c r="Z23" i="104"/>
  <c r="T17" i="104"/>
  <c r="T23" i="104"/>
  <c r="AR81" i="104"/>
  <c r="AR73" i="104"/>
  <c r="AZ34" i="104"/>
  <c r="AZ13" i="104"/>
  <c r="BF13" i="104"/>
  <c r="V17" i="104"/>
  <c r="V23" i="104"/>
  <c r="AR26" i="104"/>
  <c r="AR96" i="104"/>
  <c r="AR108" i="104"/>
  <c r="AR112" i="104"/>
  <c r="AR106" i="104"/>
  <c r="BD106" i="104"/>
  <c r="BF106" i="104"/>
  <c r="BH106" i="104"/>
  <c r="BH103" i="104"/>
  <c r="AL115" i="104"/>
  <c r="AL16" i="104"/>
  <c r="AR16" i="104"/>
  <c r="AR79" i="104"/>
  <c r="AR71" i="104"/>
  <c r="BJ45" i="104"/>
  <c r="A46" i="104"/>
  <c r="BH35" i="104"/>
  <c r="BH34" i="104"/>
  <c r="BH13" i="104"/>
  <c r="BF34" i="104"/>
  <c r="BF26" i="104"/>
  <c r="BH27" i="104"/>
  <c r="BH26" i="104"/>
  <c r="BH12" i="104"/>
  <c r="Z115" i="104"/>
  <c r="AR107" i="104"/>
  <c r="BJ126" i="104"/>
  <c r="A127" i="104"/>
  <c r="AR15" i="104"/>
  <c r="BF116" i="104"/>
  <c r="AZ115" i="104"/>
  <c r="AZ16" i="104"/>
  <c r="BF16" i="104"/>
  <c r="A119" i="104"/>
  <c r="BJ118" i="104"/>
  <c r="BF75" i="104"/>
  <c r="BH75" i="104"/>
  <c r="BB42" i="104"/>
  <c r="BB14" i="104"/>
  <c r="BB17" i="104"/>
  <c r="BB23" i="104"/>
  <c r="A106" i="104"/>
  <c r="BJ105" i="104"/>
  <c r="AR77" i="104"/>
  <c r="AR69" i="104"/>
  <c r="AR42" i="104"/>
  <c r="AR13" i="104"/>
  <c r="AZ42" i="104"/>
  <c r="AZ14" i="104"/>
  <c r="AN42" i="104"/>
  <c r="AN14" i="104"/>
  <c r="AN17" i="104"/>
  <c r="AN23" i="104"/>
  <c r="AR20" i="104"/>
  <c r="AZ26" i="104"/>
  <c r="AZ12" i="104"/>
  <c r="BF124" i="103"/>
  <c r="BF20" i="103"/>
  <c r="J14" i="102"/>
  <c r="E84" i="47"/>
  <c r="F41" i="92"/>
  <c r="K14" i="102"/>
  <c r="L14" i="102"/>
  <c r="N14" i="102"/>
  <c r="E9" i="47"/>
  <c r="E49" i="47"/>
  <c r="D13" i="92"/>
  <c r="F13" i="92"/>
  <c r="C108" i="5"/>
  <c r="F117" i="1"/>
  <c r="H99" i="1"/>
  <c r="A102" i="1"/>
  <c r="D29" i="87"/>
  <c r="C119" i="5"/>
  <c r="C57" i="5"/>
  <c r="F83" i="47"/>
  <c r="H128" i="1"/>
  <c r="H80" i="1"/>
  <c r="A83" i="1"/>
  <c r="A130" i="1"/>
  <c r="E15" i="2"/>
  <c r="H129" i="1"/>
  <c r="A40" i="1"/>
  <c r="H37" i="1"/>
  <c r="E31" i="89"/>
  <c r="E34" i="89"/>
  <c r="E36" i="89"/>
  <c r="H13" i="1"/>
  <c r="A14" i="1"/>
  <c r="L10" i="84"/>
  <c r="D39" i="87"/>
  <c r="G32" i="87"/>
  <c r="G21" i="87"/>
  <c r="A22" i="87"/>
  <c r="G22" i="87"/>
  <c r="D31" i="89"/>
  <c r="D34" i="89"/>
  <c r="D36" i="89"/>
  <c r="K47" i="86"/>
  <c r="A48" i="86"/>
  <c r="A39" i="86"/>
  <c r="K38" i="86"/>
  <c r="H10" i="86"/>
  <c r="E88" i="47"/>
  <c r="K16" i="86"/>
  <c r="A17" i="86"/>
  <c r="K17" i="86"/>
  <c r="K23" i="86"/>
  <c r="A24" i="86"/>
  <c r="AP67" i="103"/>
  <c r="X102" i="103"/>
  <c r="AP71" i="103"/>
  <c r="AZ71" i="103"/>
  <c r="BD71" i="103"/>
  <c r="BF71" i="103"/>
  <c r="AP97" i="103"/>
  <c r="AZ97" i="103"/>
  <c r="BD97" i="103"/>
  <c r="BF97" i="103"/>
  <c r="X42" i="103"/>
  <c r="AZ95" i="103"/>
  <c r="BD95" i="103"/>
  <c r="BF95" i="103"/>
  <c r="AP95" i="103"/>
  <c r="AZ51" i="103"/>
  <c r="BD51" i="103"/>
  <c r="BF51" i="103"/>
  <c r="AP51" i="103"/>
  <c r="AX36" i="103"/>
  <c r="BD36" i="103"/>
  <c r="BF36" i="103"/>
  <c r="AP36" i="103"/>
  <c r="AP34" i="103"/>
  <c r="X17" i="103"/>
  <c r="X23" i="103"/>
  <c r="BH109" i="103"/>
  <c r="A110" i="103"/>
  <c r="AP106" i="103"/>
  <c r="BB103" i="103"/>
  <c r="AN102" i="103"/>
  <c r="AN15" i="103"/>
  <c r="AN17" i="103"/>
  <c r="AN23" i="103"/>
  <c r="AP103" i="103"/>
  <c r="BD107" i="103"/>
  <c r="BF107" i="103"/>
  <c r="AZ116" i="103"/>
  <c r="AZ16" i="103"/>
  <c r="BD16" i="103"/>
  <c r="BD117" i="103"/>
  <c r="A128" i="103"/>
  <c r="BH127" i="103"/>
  <c r="AZ43" i="103"/>
  <c r="AL42" i="103"/>
  <c r="AL14" i="103"/>
  <c r="AP43" i="103"/>
  <c r="BH16" i="103"/>
  <c r="A17" i="103"/>
  <c r="AZ124" i="103"/>
  <c r="AZ20" i="103"/>
  <c r="BD20" i="103"/>
  <c r="BD125" i="103"/>
  <c r="BD124" i="103"/>
  <c r="AX34" i="103"/>
  <c r="AX13" i="103"/>
  <c r="BD13" i="103"/>
  <c r="BD35" i="103"/>
  <c r="A52" i="103"/>
  <c r="BH51" i="103"/>
  <c r="AJ26" i="103"/>
  <c r="AJ12" i="103"/>
  <c r="AX29" i="103"/>
  <c r="AP29" i="103"/>
  <c r="AP26" i="103"/>
  <c r="AX42" i="103"/>
  <c r="AX14" i="103"/>
  <c r="E43" i="47"/>
  <c r="E112" i="75"/>
  <c r="E55" i="75"/>
  <c r="E17" i="75"/>
  <c r="F163" i="80"/>
  <c r="D163" i="80"/>
  <c r="G151" i="80"/>
  <c r="G154" i="80"/>
  <c r="G160" i="80"/>
  <c r="G157" i="80"/>
  <c r="G152" i="80"/>
  <c r="G158" i="80"/>
  <c r="G155" i="80"/>
  <c r="G150" i="80"/>
  <c r="G153" i="80"/>
  <c r="G156" i="80"/>
  <c r="G149" i="80"/>
  <c r="G159" i="80"/>
  <c r="L122" i="77"/>
  <c r="H122" i="77"/>
  <c r="O122" i="77"/>
  <c r="I122" i="77"/>
  <c r="N122" i="77"/>
  <c r="P112" i="77"/>
  <c r="C35" i="90"/>
  <c r="C37" i="90"/>
  <c r="P117" i="77"/>
  <c r="P120" i="77"/>
  <c r="F122" i="77"/>
  <c r="P115" i="77"/>
  <c r="K122" i="77"/>
  <c r="G122" i="77"/>
  <c r="P121" i="77"/>
  <c r="P116" i="77"/>
  <c r="P114" i="77"/>
  <c r="P113" i="77"/>
  <c r="C43" i="90"/>
  <c r="C44" i="90"/>
  <c r="I14" i="72"/>
  <c r="I24" i="72"/>
  <c r="G24" i="72"/>
  <c r="H14" i="78"/>
  <c r="H21" i="78"/>
  <c r="M14" i="78"/>
  <c r="M21" i="78"/>
  <c r="N21" i="78"/>
  <c r="F90" i="75"/>
  <c r="P119" i="77"/>
  <c r="P87" i="77"/>
  <c r="D120" i="5"/>
  <c r="E22" i="89"/>
  <c r="C36" i="87"/>
  <c r="E23" i="89"/>
  <c r="E17" i="89"/>
  <c r="D23" i="89"/>
  <c r="D17" i="89"/>
  <c r="M17" i="102"/>
  <c r="H13" i="102"/>
  <c r="H12" i="102"/>
  <c r="N17" i="102"/>
  <c r="E47" i="1"/>
  <c r="E37" i="1"/>
  <c r="N24" i="106"/>
  <c r="A26" i="106"/>
  <c r="N23" i="105"/>
  <c r="A25" i="105"/>
  <c r="M122" i="77"/>
  <c r="E141" i="80"/>
  <c r="L141" i="80"/>
  <c r="E140" i="80"/>
  <c r="L140" i="80"/>
  <c r="E137" i="80"/>
  <c r="L137" i="80"/>
  <c r="E142" i="80"/>
  <c r="L142" i="80"/>
  <c r="E153" i="80"/>
  <c r="E155" i="80"/>
  <c r="F91" i="75"/>
  <c r="F93" i="75"/>
  <c r="F105" i="75"/>
  <c r="F106" i="75"/>
  <c r="P21" i="78"/>
  <c r="E134" i="80"/>
  <c r="L134" i="80"/>
  <c r="E139" i="80"/>
  <c r="L139" i="80"/>
  <c r="E151" i="80"/>
  <c r="E158" i="80"/>
  <c r="E149" i="80"/>
  <c r="E150" i="80"/>
  <c r="E160" i="80"/>
  <c r="F52" i="75"/>
  <c r="F98" i="75"/>
  <c r="F100" i="75"/>
  <c r="E143" i="80"/>
  <c r="L143" i="80"/>
  <c r="E136" i="80"/>
  <c r="L136" i="80"/>
  <c r="E156" i="80"/>
  <c r="E154" i="80"/>
  <c r="E159" i="80"/>
  <c r="F88" i="75"/>
  <c r="H88" i="75"/>
  <c r="F54" i="75"/>
  <c r="E135" i="80"/>
  <c r="L135" i="80"/>
  <c r="F97" i="75"/>
  <c r="F101" i="75"/>
  <c r="F108" i="75"/>
  <c r="E132" i="80"/>
  <c r="F55" i="75"/>
  <c r="F109" i="75"/>
  <c r="F94" i="75"/>
  <c r="F95" i="75"/>
  <c r="F102" i="75"/>
  <c r="F107" i="75"/>
  <c r="F110" i="75"/>
  <c r="F111" i="75"/>
  <c r="E138" i="80"/>
  <c r="L138" i="80"/>
  <c r="F92" i="75"/>
  <c r="F96" i="75"/>
  <c r="F103" i="75"/>
  <c r="F104" i="75"/>
  <c r="E157" i="80"/>
  <c r="E152" i="80"/>
  <c r="P110" i="77"/>
  <c r="AR102" i="104"/>
  <c r="BF12" i="104"/>
  <c r="AZ17" i="104"/>
  <c r="AZ23" i="104"/>
  <c r="BJ106" i="104"/>
  <c r="A107" i="104"/>
  <c r="BJ119" i="104"/>
  <c r="A120" i="104"/>
  <c r="BJ120" i="104"/>
  <c r="BJ127" i="104"/>
  <c r="A128" i="104"/>
  <c r="BJ128" i="104"/>
  <c r="A47" i="104"/>
  <c r="BJ46" i="104"/>
  <c r="BD102" i="104"/>
  <c r="BD15" i="104"/>
  <c r="BJ30" i="104"/>
  <c r="A31" i="104"/>
  <c r="BJ31" i="104"/>
  <c r="BJ17" i="104"/>
  <c r="A19" i="104"/>
  <c r="BH42" i="104"/>
  <c r="BH14" i="104"/>
  <c r="BH116" i="104"/>
  <c r="BH115" i="104"/>
  <c r="BH16" i="104"/>
  <c r="BF115" i="104"/>
  <c r="AR14" i="104"/>
  <c r="AR17" i="104"/>
  <c r="AR23" i="104"/>
  <c r="BF102" i="104"/>
  <c r="BF42" i="104"/>
  <c r="BF14" i="104"/>
  <c r="BH102" i="104"/>
  <c r="BH15" i="104"/>
  <c r="BH123" i="104"/>
  <c r="BH20" i="104"/>
  <c r="AL17" i="104"/>
  <c r="AL23" i="104"/>
  <c r="E71" i="47"/>
  <c r="F103" i="1"/>
  <c r="H102" i="1"/>
  <c r="A103" i="1"/>
  <c r="D38" i="89"/>
  <c r="E158" i="1"/>
  <c r="C65" i="5"/>
  <c r="C63" i="5"/>
  <c r="C64" i="5"/>
  <c r="C60" i="5"/>
  <c r="C68" i="5"/>
  <c r="C66" i="5"/>
  <c r="C67" i="5"/>
  <c r="C62" i="5"/>
  <c r="C58" i="5"/>
  <c r="C59" i="5"/>
  <c r="C61" i="5"/>
  <c r="H83" i="1"/>
  <c r="A84" i="1"/>
  <c r="A131" i="1"/>
  <c r="H130" i="1"/>
  <c r="A41" i="1"/>
  <c r="F42" i="1"/>
  <c r="H40" i="1"/>
  <c r="H14" i="1"/>
  <c r="A15" i="1"/>
  <c r="A25" i="86"/>
  <c r="K24" i="86"/>
  <c r="A40" i="86"/>
  <c r="K39" i="86"/>
  <c r="K48" i="86"/>
  <c r="A49" i="86"/>
  <c r="E38" i="89"/>
  <c r="E108" i="47"/>
  <c r="AP102" i="103"/>
  <c r="AP42" i="103"/>
  <c r="BD43" i="103"/>
  <c r="AZ42" i="103"/>
  <c r="AZ14" i="103"/>
  <c r="AZ17" i="103"/>
  <c r="AZ23" i="103"/>
  <c r="AP14" i="103"/>
  <c r="AL17" i="103"/>
  <c r="AL23" i="103"/>
  <c r="BD14" i="103"/>
  <c r="BH128" i="103"/>
  <c r="A129" i="103"/>
  <c r="BH129" i="103"/>
  <c r="AX26" i="103"/>
  <c r="AX12" i="103"/>
  <c r="BD29" i="103"/>
  <c r="AP15" i="103"/>
  <c r="AJ17" i="103"/>
  <c r="AJ23" i="103"/>
  <c r="AP12" i="103"/>
  <c r="AP17" i="103"/>
  <c r="AP23" i="103"/>
  <c r="C46" i="83"/>
  <c r="BH17" i="103"/>
  <c r="A19" i="103"/>
  <c r="BF117" i="103"/>
  <c r="BF116" i="103"/>
  <c r="BF16" i="103"/>
  <c r="BD116" i="103"/>
  <c r="BH110" i="103"/>
  <c r="A113" i="103"/>
  <c r="BH113" i="103"/>
  <c r="A111" i="103"/>
  <c r="BF35" i="103"/>
  <c r="BF34" i="103"/>
  <c r="BF13" i="103"/>
  <c r="BD34" i="103"/>
  <c r="BB102" i="103"/>
  <c r="BB15" i="103"/>
  <c r="BD103" i="103"/>
  <c r="A53" i="103"/>
  <c r="BH52" i="103"/>
  <c r="G161" i="80"/>
  <c r="G163" i="80"/>
  <c r="E18" i="75"/>
  <c r="E56" i="75"/>
  <c r="F63" i="80"/>
  <c r="F64" i="80"/>
  <c r="F98" i="80"/>
  <c r="F99" i="80"/>
  <c r="M21" i="84"/>
  <c r="M32" i="84"/>
  <c r="M37" i="84"/>
  <c r="M13" i="84"/>
  <c r="M34" i="84"/>
  <c r="O34" i="84"/>
  <c r="M33" i="84"/>
  <c r="M11" i="84"/>
  <c r="M36" i="84"/>
  <c r="M17" i="84"/>
  <c r="N17" i="84"/>
  <c r="M35" i="84"/>
  <c r="M18" i="84"/>
  <c r="M31" i="84"/>
  <c r="M15" i="84"/>
  <c r="M28" i="84"/>
  <c r="M23" i="84"/>
  <c r="N23" i="84"/>
  <c r="M19" i="84"/>
  <c r="M14" i="84"/>
  <c r="M26" i="84"/>
  <c r="M22" i="84"/>
  <c r="M30" i="84"/>
  <c r="M20" i="84"/>
  <c r="O20" i="84"/>
  <c r="M16" i="84"/>
  <c r="O16" i="84"/>
  <c r="M12" i="84"/>
  <c r="O12" i="84"/>
  <c r="M25" i="84"/>
  <c r="N25" i="84"/>
  <c r="M29" i="84"/>
  <c r="M27" i="84"/>
  <c r="F17" i="75"/>
  <c r="F89" i="75"/>
  <c r="E133" i="80"/>
  <c r="L133" i="80"/>
  <c r="F99" i="75"/>
  <c r="F53" i="75"/>
  <c r="P122" i="77"/>
  <c r="F129" i="77"/>
  <c r="F131" i="77"/>
  <c r="J14" i="78"/>
  <c r="J21" i="78"/>
  <c r="G15" i="79"/>
  <c r="G24" i="79"/>
  <c r="G25" i="79"/>
  <c r="E17" i="92"/>
  <c r="G20" i="79"/>
  <c r="G22" i="79"/>
  <c r="G23" i="79"/>
  <c r="G18" i="79"/>
  <c r="G17" i="79"/>
  <c r="G19" i="79"/>
  <c r="G21" i="79"/>
  <c r="G13" i="79"/>
  <c r="G16" i="79"/>
  <c r="G14" i="79"/>
  <c r="F20" i="79"/>
  <c r="F13" i="79"/>
  <c r="F16" i="79"/>
  <c r="F15" i="79"/>
  <c r="F17" i="79"/>
  <c r="F23" i="79"/>
  <c r="F24" i="79"/>
  <c r="F25" i="79"/>
  <c r="D17" i="92"/>
  <c r="F18" i="79"/>
  <c r="F14" i="79"/>
  <c r="F19" i="79"/>
  <c r="F22" i="79"/>
  <c r="F21" i="79"/>
  <c r="E13" i="102"/>
  <c r="H14" i="102"/>
  <c r="E12" i="102"/>
  <c r="D12" i="102"/>
  <c r="D13" i="102"/>
  <c r="E89" i="47"/>
  <c r="C37" i="87"/>
  <c r="C38" i="87"/>
  <c r="A27" i="105"/>
  <c r="N25" i="105"/>
  <c r="A28" i="106"/>
  <c r="N26" i="106"/>
  <c r="I88" i="75"/>
  <c r="H89" i="75"/>
  <c r="E161" i="80"/>
  <c r="H52" i="75"/>
  <c r="F15" i="75"/>
  <c r="E144" i="80"/>
  <c r="F18" i="75"/>
  <c r="BH17" i="104"/>
  <c r="BH23" i="104"/>
  <c r="BJ19" i="104"/>
  <c r="A20" i="104"/>
  <c r="BD17" i="104"/>
  <c r="BD23" i="104"/>
  <c r="BF15" i="104"/>
  <c r="BF17" i="104"/>
  <c r="BF23" i="104"/>
  <c r="A108" i="104"/>
  <c r="BJ107" i="104"/>
  <c r="A48" i="104"/>
  <c r="BJ47" i="104"/>
  <c r="H103" i="1"/>
  <c r="F119" i="1"/>
  <c r="F70" i="47"/>
  <c r="A106" i="1"/>
  <c r="A16" i="1"/>
  <c r="H15" i="1"/>
  <c r="F16" i="1"/>
  <c r="H131" i="1"/>
  <c r="A132" i="1"/>
  <c r="A85" i="1"/>
  <c r="H84" i="1"/>
  <c r="A42" i="1"/>
  <c r="F56" i="1"/>
  <c r="H41" i="1"/>
  <c r="F16" i="75"/>
  <c r="O17" i="84"/>
  <c r="P17" i="84"/>
  <c r="N34" i="84"/>
  <c r="P34" i="84"/>
  <c r="O25" i="84"/>
  <c r="P25" i="84"/>
  <c r="O23" i="84"/>
  <c r="P23" i="84"/>
  <c r="N12" i="84"/>
  <c r="P12" i="84"/>
  <c r="A41" i="86"/>
  <c r="K41" i="86"/>
  <c r="K40" i="86"/>
  <c r="K49" i="86"/>
  <c r="A50" i="86"/>
  <c r="A26" i="86"/>
  <c r="K25" i="86"/>
  <c r="BH53" i="103"/>
  <c r="A54" i="103"/>
  <c r="BD12" i="103"/>
  <c r="AX17" i="103"/>
  <c r="AX23" i="103"/>
  <c r="BF103" i="103"/>
  <c r="BF102" i="103"/>
  <c r="BF15" i="103"/>
  <c r="BD102" i="103"/>
  <c r="BB17" i="103"/>
  <c r="BB23" i="103"/>
  <c r="BD15" i="103"/>
  <c r="BH19" i="103"/>
  <c r="A20" i="103"/>
  <c r="E55" i="83"/>
  <c r="BH111" i="103"/>
  <c r="A112" i="103"/>
  <c r="BH112" i="103"/>
  <c r="BF29" i="103"/>
  <c r="BF26" i="103"/>
  <c r="BF12" i="103"/>
  <c r="BD26" i="103"/>
  <c r="BF43" i="103"/>
  <c r="BF42" i="103"/>
  <c r="BF14" i="103"/>
  <c r="BD42" i="103"/>
  <c r="E57" i="75"/>
  <c r="E19" i="75"/>
  <c r="F56" i="75"/>
  <c r="F19" i="75"/>
  <c r="O28" i="84"/>
  <c r="N28" i="84"/>
  <c r="O33" i="84"/>
  <c r="N33" i="84"/>
  <c r="P33" i="84"/>
  <c r="O15" i="84"/>
  <c r="N15" i="84"/>
  <c r="O30" i="84"/>
  <c r="N30" i="84"/>
  <c r="N31" i="84"/>
  <c r="O31" i="84"/>
  <c r="O13" i="84"/>
  <c r="N13" i="84"/>
  <c r="P13" i="84"/>
  <c r="N22" i="84"/>
  <c r="O22" i="84"/>
  <c r="O18" i="84"/>
  <c r="N18" i="84"/>
  <c r="N37" i="84"/>
  <c r="O37" i="84"/>
  <c r="O27" i="84"/>
  <c r="N27" i="84"/>
  <c r="P27" i="84"/>
  <c r="O26" i="84"/>
  <c r="N26" i="84"/>
  <c r="N35" i="84"/>
  <c r="O35" i="84"/>
  <c r="N32" i="84"/>
  <c r="O32" i="84"/>
  <c r="N16" i="84"/>
  <c r="P16" i="84"/>
  <c r="O29" i="84"/>
  <c r="N29" i="84"/>
  <c r="P29" i="84"/>
  <c r="O14" i="84"/>
  <c r="N14" i="84"/>
  <c r="P14" i="84"/>
  <c r="O21" i="84"/>
  <c r="N21" i="84"/>
  <c r="O19" i="84"/>
  <c r="N19" i="84"/>
  <c r="O36" i="84"/>
  <c r="N36" i="84"/>
  <c r="N20" i="84"/>
  <c r="P20" i="84"/>
  <c r="O11" i="84"/>
  <c r="N11" i="84"/>
  <c r="P11" i="84"/>
  <c r="G26" i="79"/>
  <c r="E163" i="80"/>
  <c r="F26" i="79"/>
  <c r="F17" i="92"/>
  <c r="E14" i="102"/>
  <c r="A30" i="106"/>
  <c r="N28" i="106"/>
  <c r="N27" i="105"/>
  <c r="A29" i="105"/>
  <c r="H161" i="80"/>
  <c r="H90" i="75"/>
  <c r="I89" i="75"/>
  <c r="H144" i="80"/>
  <c r="H15" i="75"/>
  <c r="H53" i="75"/>
  <c r="I52" i="75"/>
  <c r="I15" i="75"/>
  <c r="A49" i="104"/>
  <c r="BJ48" i="104"/>
  <c r="A21" i="104"/>
  <c r="BJ20" i="104"/>
  <c r="A109" i="104"/>
  <c r="BJ108" i="104"/>
  <c r="A107" i="1"/>
  <c r="H106" i="1"/>
  <c r="F86" i="47"/>
  <c r="A133" i="1"/>
  <c r="H132" i="1"/>
  <c r="A19" i="1"/>
  <c r="H16" i="1"/>
  <c r="H42" i="1"/>
  <c r="A45" i="1"/>
  <c r="A86" i="1"/>
  <c r="H85" i="1"/>
  <c r="P37" i="84"/>
  <c r="P28" i="84"/>
  <c r="P19" i="84"/>
  <c r="P21" i="84"/>
  <c r="A51" i="86"/>
  <c r="K50" i="86"/>
  <c r="K26" i="86"/>
  <c r="A27" i="86"/>
  <c r="K27" i="86"/>
  <c r="BF17" i="103"/>
  <c r="BF23" i="103"/>
  <c r="J55" i="83"/>
  <c r="BD17" i="103"/>
  <c r="BD23" i="103"/>
  <c r="C47" i="83"/>
  <c r="BH20" i="103"/>
  <c r="A21" i="103"/>
  <c r="A55" i="103"/>
  <c r="BH54" i="103"/>
  <c r="E58" i="75"/>
  <c r="E20" i="75"/>
  <c r="F57" i="75"/>
  <c r="F20" i="75"/>
  <c r="P35" i="84"/>
  <c r="P22" i="84"/>
  <c r="P36" i="84"/>
  <c r="P26" i="84"/>
  <c r="P15" i="84"/>
  <c r="N10" i="84"/>
  <c r="C21" i="90"/>
  <c r="P32" i="84"/>
  <c r="P31" i="84"/>
  <c r="O10" i="84"/>
  <c r="P18" i="84"/>
  <c r="P30" i="84"/>
  <c r="A31" i="105"/>
  <c r="N29" i="105"/>
  <c r="A32" i="106"/>
  <c r="N30" i="106"/>
  <c r="H54" i="75"/>
  <c r="H16" i="75"/>
  <c r="I53" i="75"/>
  <c r="I16" i="75"/>
  <c r="I90" i="75"/>
  <c r="H91" i="75"/>
  <c r="L132" i="80"/>
  <c r="M132" i="80"/>
  <c r="M133" i="80"/>
  <c r="M134" i="80"/>
  <c r="M135" i="80"/>
  <c r="M136" i="80"/>
  <c r="M137" i="80"/>
  <c r="M138" i="80"/>
  <c r="M139" i="80"/>
  <c r="M140" i="80"/>
  <c r="M141" i="80"/>
  <c r="M142" i="80"/>
  <c r="M143" i="80"/>
  <c r="J161" i="80"/>
  <c r="H146" i="80"/>
  <c r="H163" i="80"/>
  <c r="BJ21" i="104"/>
  <c r="A22" i="104"/>
  <c r="A110" i="104"/>
  <c r="BJ109" i="104"/>
  <c r="A112" i="104"/>
  <c r="BJ112" i="104"/>
  <c r="BJ49" i="104"/>
  <c r="A50" i="104"/>
  <c r="H107" i="1"/>
  <c r="A108" i="1"/>
  <c r="F108" i="1"/>
  <c r="A47" i="1"/>
  <c r="H45" i="1"/>
  <c r="F47" i="1"/>
  <c r="A20" i="1"/>
  <c r="F21" i="1"/>
  <c r="H19" i="1"/>
  <c r="A134" i="1"/>
  <c r="H133" i="1"/>
  <c r="H86" i="1"/>
  <c r="A87" i="1"/>
  <c r="A52" i="86"/>
  <c r="K51" i="86"/>
  <c r="BH21" i="103"/>
  <c r="A22" i="103"/>
  <c r="BH55" i="103"/>
  <c r="A56" i="103"/>
  <c r="E68" i="83"/>
  <c r="D59" i="83"/>
  <c r="I59" i="83"/>
  <c r="D58" i="83"/>
  <c r="I58" i="83"/>
  <c r="D62" i="83"/>
  <c r="I62" i="83"/>
  <c r="D67" i="83"/>
  <c r="I67" i="83"/>
  <c r="D60" i="83"/>
  <c r="I60" i="83"/>
  <c r="D56" i="83"/>
  <c r="D57" i="83"/>
  <c r="I57" i="83"/>
  <c r="D66" i="83"/>
  <c r="I66" i="83"/>
  <c r="D65" i="83"/>
  <c r="I65" i="83"/>
  <c r="D64" i="83"/>
  <c r="I64" i="83"/>
  <c r="D61" i="83"/>
  <c r="I61" i="83"/>
  <c r="D63" i="83"/>
  <c r="I63" i="83"/>
  <c r="E21" i="75"/>
  <c r="E59" i="75"/>
  <c r="F58" i="75"/>
  <c r="F21" i="75"/>
  <c r="P10" i="84"/>
  <c r="F4" i="84"/>
  <c r="C24" i="90"/>
  <c r="C23" i="90"/>
  <c r="A34" i="106"/>
  <c r="N32" i="106"/>
  <c r="A33" i="105"/>
  <c r="N31" i="105"/>
  <c r="H92" i="75"/>
  <c r="I91" i="75"/>
  <c r="H17" i="75"/>
  <c r="I54" i="75"/>
  <c r="I17" i="75"/>
  <c r="H55" i="75"/>
  <c r="A51" i="104"/>
  <c r="BJ50" i="104"/>
  <c r="BJ110" i="104"/>
  <c r="A111" i="104"/>
  <c r="BJ111" i="104"/>
  <c r="A23" i="104"/>
  <c r="BJ23" i="104"/>
  <c r="BJ22" i="104"/>
  <c r="H108" i="1"/>
  <c r="F69" i="47"/>
  <c r="F118" i="1"/>
  <c r="A110" i="1"/>
  <c r="A21" i="1"/>
  <c r="H20" i="1"/>
  <c r="F88" i="47"/>
  <c r="H134" i="1"/>
  <c r="A135" i="1"/>
  <c r="A88" i="1"/>
  <c r="H87" i="1"/>
  <c r="F88" i="1"/>
  <c r="H47" i="1"/>
  <c r="A50" i="1"/>
  <c r="E80" i="47"/>
  <c r="K52" i="86"/>
  <c r="A53" i="86"/>
  <c r="A57" i="103"/>
  <c r="BH56" i="103"/>
  <c r="BH22" i="103"/>
  <c r="A23" i="103"/>
  <c r="BH23" i="103"/>
  <c r="I56" i="83"/>
  <c r="J56" i="83"/>
  <c r="J57" i="83"/>
  <c r="J58" i="83"/>
  <c r="J59" i="83"/>
  <c r="J60" i="83"/>
  <c r="J61" i="83"/>
  <c r="J62" i="83"/>
  <c r="J63" i="83"/>
  <c r="J64" i="83"/>
  <c r="J65" i="83"/>
  <c r="J66" i="83"/>
  <c r="J67" i="83"/>
  <c r="J69" i="83"/>
  <c r="C48" i="83"/>
  <c r="E24" i="47"/>
  <c r="E56" i="83"/>
  <c r="E57" i="83"/>
  <c r="E58" i="83"/>
  <c r="E59" i="83"/>
  <c r="E60" i="83"/>
  <c r="E61" i="83"/>
  <c r="E62" i="83"/>
  <c r="E63" i="83"/>
  <c r="E64" i="83"/>
  <c r="E65" i="83"/>
  <c r="E66" i="83"/>
  <c r="E67" i="83"/>
  <c r="E60" i="75"/>
  <c r="E22" i="75"/>
  <c r="F59" i="75"/>
  <c r="F22" i="75"/>
  <c r="E115" i="76"/>
  <c r="F115" i="76"/>
  <c r="E114" i="73"/>
  <c r="F114" i="73"/>
  <c r="F33" i="85"/>
  <c r="F34" i="85"/>
  <c r="H44" i="80"/>
  <c r="H45" i="80"/>
  <c r="E115" i="73"/>
  <c r="F115" i="73"/>
  <c r="D51" i="77"/>
  <c r="E51" i="77"/>
  <c r="E116" i="76"/>
  <c r="F116" i="76"/>
  <c r="H98" i="80"/>
  <c r="H99" i="80"/>
  <c r="E101" i="76"/>
  <c r="F101" i="76"/>
  <c r="H82" i="80"/>
  <c r="H83" i="80"/>
  <c r="E101" i="73"/>
  <c r="F101" i="73"/>
  <c r="D38" i="77"/>
  <c r="E38" i="77"/>
  <c r="I54" i="79"/>
  <c r="E49" i="82"/>
  <c r="E50" i="82"/>
  <c r="E102" i="76"/>
  <c r="F102" i="76"/>
  <c r="D49" i="82"/>
  <c r="D50" i="82"/>
  <c r="E100" i="73"/>
  <c r="F100" i="73"/>
  <c r="D14" i="82"/>
  <c r="D15" i="82"/>
  <c r="H63" i="80"/>
  <c r="H64" i="80"/>
  <c r="E14" i="82"/>
  <c r="E15" i="82"/>
  <c r="A35" i="105"/>
  <c r="N33" i="105"/>
  <c r="A36" i="106"/>
  <c r="N34" i="106"/>
  <c r="I55" i="75"/>
  <c r="I18" i="75"/>
  <c r="H18" i="75"/>
  <c r="H56" i="75"/>
  <c r="H93" i="75"/>
  <c r="I92" i="75"/>
  <c r="A52" i="104"/>
  <c r="BJ51" i="104"/>
  <c r="A112" i="1"/>
  <c r="H110" i="1"/>
  <c r="F133" i="1"/>
  <c r="A136" i="1"/>
  <c r="H135" i="1"/>
  <c r="F89" i="47"/>
  <c r="H50" i="1"/>
  <c r="A51" i="1"/>
  <c r="A23" i="1"/>
  <c r="H21" i="1"/>
  <c r="H88" i="1"/>
  <c r="A90" i="1"/>
  <c r="A54" i="86"/>
  <c r="K53" i="86"/>
  <c r="A58" i="103"/>
  <c r="BH57" i="103"/>
  <c r="E23" i="75"/>
  <c r="E61" i="75"/>
  <c r="F60" i="75"/>
  <c r="F23" i="75"/>
  <c r="E18" i="82"/>
  <c r="E52" i="82"/>
  <c r="D128" i="76"/>
  <c r="H102" i="76"/>
  <c r="G102" i="76"/>
  <c r="G116" i="76"/>
  <c r="H116" i="76"/>
  <c r="G51" i="77"/>
  <c r="F51" i="77"/>
  <c r="I60" i="79"/>
  <c r="I57" i="79"/>
  <c r="H115" i="73"/>
  <c r="G115" i="73"/>
  <c r="C61" i="77"/>
  <c r="G38" i="77"/>
  <c r="F38" i="77"/>
  <c r="G101" i="73"/>
  <c r="H101" i="73"/>
  <c r="D128" i="73"/>
  <c r="H114" i="73"/>
  <c r="H116" i="73"/>
  <c r="F116" i="73"/>
  <c r="G114" i="73"/>
  <c r="H100" i="73"/>
  <c r="D127" i="73"/>
  <c r="G100" i="73"/>
  <c r="F102" i="73"/>
  <c r="G101" i="76"/>
  <c r="D127" i="76"/>
  <c r="F103" i="76"/>
  <c r="H101" i="76"/>
  <c r="F117" i="76"/>
  <c r="H115" i="76"/>
  <c r="H117" i="76"/>
  <c r="G115" i="76"/>
  <c r="G117" i="76"/>
  <c r="A38" i="106"/>
  <c r="N36" i="106"/>
  <c r="A37" i="105"/>
  <c r="N35" i="105"/>
  <c r="H57" i="75"/>
  <c r="H19" i="75"/>
  <c r="I56" i="75"/>
  <c r="I19" i="75"/>
  <c r="H94" i="75"/>
  <c r="I93" i="75"/>
  <c r="A53" i="104"/>
  <c r="BJ52" i="104"/>
  <c r="H112" i="1"/>
  <c r="A115" i="1"/>
  <c r="F110" i="1"/>
  <c r="H51" i="1"/>
  <c r="A52" i="1"/>
  <c r="F91" i="1"/>
  <c r="H90" i="1"/>
  <c r="A91" i="1"/>
  <c r="H23" i="1"/>
  <c r="F25" i="1"/>
  <c r="A26" i="1"/>
  <c r="F137" i="1"/>
  <c r="A137" i="1"/>
  <c r="F90" i="47"/>
  <c r="H136" i="1"/>
  <c r="G116" i="73"/>
  <c r="E128" i="73"/>
  <c r="D12" i="92"/>
  <c r="D14" i="92"/>
  <c r="D129" i="73"/>
  <c r="E8" i="47"/>
  <c r="E10" i="47"/>
  <c r="D129" i="76"/>
  <c r="E20" i="47"/>
  <c r="E21" i="47"/>
  <c r="D61" i="77"/>
  <c r="D39" i="92"/>
  <c r="A55" i="86"/>
  <c r="K54" i="86"/>
  <c r="A59" i="103"/>
  <c r="BH58" i="103"/>
  <c r="E24" i="75"/>
  <c r="E62" i="75"/>
  <c r="F61" i="75"/>
  <c r="F24" i="75"/>
  <c r="F128" i="73"/>
  <c r="E12" i="92"/>
  <c r="E14" i="92"/>
  <c r="E128" i="76"/>
  <c r="D24" i="92"/>
  <c r="H102" i="73"/>
  <c r="F127" i="73"/>
  <c r="E61" i="77"/>
  <c r="E39" i="92"/>
  <c r="F127" i="76"/>
  <c r="H103" i="76"/>
  <c r="E83" i="47"/>
  <c r="E127" i="73"/>
  <c r="E129" i="73"/>
  <c r="G102" i="73"/>
  <c r="F128" i="76"/>
  <c r="E24" i="92"/>
  <c r="E25" i="92"/>
  <c r="G103" i="76"/>
  <c r="E127" i="76"/>
  <c r="C27" i="90"/>
  <c r="C29" i="90"/>
  <c r="C31" i="90"/>
  <c r="C60" i="90"/>
  <c r="A39" i="105"/>
  <c r="N37" i="105"/>
  <c r="N38" i="106"/>
  <c r="A40" i="106"/>
  <c r="I94" i="75"/>
  <c r="H95" i="75"/>
  <c r="H58" i="75"/>
  <c r="H20" i="75"/>
  <c r="I57" i="75"/>
  <c r="I20" i="75"/>
  <c r="BJ53" i="104"/>
  <c r="A54" i="104"/>
  <c r="H115" i="1"/>
  <c r="A116" i="1"/>
  <c r="H91" i="1"/>
  <c r="A93" i="1"/>
  <c r="F93" i="1"/>
  <c r="H137" i="1"/>
  <c r="E14" i="2"/>
  <c r="A140" i="1"/>
  <c r="H26" i="1"/>
  <c r="A27" i="1"/>
  <c r="H52" i="1"/>
  <c r="F42" i="47"/>
  <c r="A55" i="1"/>
  <c r="F39" i="92"/>
  <c r="F129" i="73"/>
  <c r="A56" i="86"/>
  <c r="K55" i="86"/>
  <c r="BH59" i="103"/>
  <c r="A60" i="103"/>
  <c r="E25" i="75"/>
  <c r="E63" i="75"/>
  <c r="F62" i="75"/>
  <c r="F25" i="75"/>
  <c r="F24" i="92"/>
  <c r="F25" i="92"/>
  <c r="F129" i="76"/>
  <c r="F12" i="92"/>
  <c r="F14" i="92"/>
  <c r="D25" i="92"/>
  <c r="E129" i="76"/>
  <c r="G82" i="80"/>
  <c r="G83" i="80"/>
  <c r="D83" i="80"/>
  <c r="D11" i="80"/>
  <c r="G63" i="80"/>
  <c r="G64" i="80"/>
  <c r="D64" i="80"/>
  <c r="D10" i="80"/>
  <c r="G54" i="79"/>
  <c r="C56" i="90"/>
  <c r="E24" i="82"/>
  <c r="G98" i="80"/>
  <c r="G99" i="80"/>
  <c r="D99" i="80"/>
  <c r="D12" i="80"/>
  <c r="C62" i="90"/>
  <c r="C64" i="90"/>
  <c r="C33" i="90"/>
  <c r="F36" i="85"/>
  <c r="F38" i="85"/>
  <c r="A42" i="106"/>
  <c r="N40" i="106"/>
  <c r="A41" i="105"/>
  <c r="N39" i="105"/>
  <c r="H21" i="75"/>
  <c r="H59" i="75"/>
  <c r="I58" i="75"/>
  <c r="I21" i="75"/>
  <c r="I95" i="75"/>
  <c r="H96" i="75"/>
  <c r="A55" i="104"/>
  <c r="BJ54" i="104"/>
  <c r="A117" i="1"/>
  <c r="H116" i="1"/>
  <c r="H140" i="1"/>
  <c r="A141" i="1"/>
  <c r="E30" i="2"/>
  <c r="F94" i="47"/>
  <c r="A28" i="1"/>
  <c r="H27" i="1"/>
  <c r="F132" i="1"/>
  <c r="H93" i="1"/>
  <c r="A56" i="1"/>
  <c r="H55" i="1"/>
  <c r="F63" i="1"/>
  <c r="D24" i="82"/>
  <c r="D25" i="82"/>
  <c r="A57" i="86"/>
  <c r="K56" i="86"/>
  <c r="BH60" i="103"/>
  <c r="A61" i="103"/>
  <c r="E26" i="75"/>
  <c r="E64" i="75"/>
  <c r="F63" i="75"/>
  <c r="F26" i="75"/>
  <c r="E86" i="47"/>
  <c r="E40" i="82"/>
  <c r="E41" i="82"/>
  <c r="H54" i="79"/>
  <c r="D40" i="82"/>
  <c r="D41" i="82"/>
  <c r="G60" i="79"/>
  <c r="G57" i="79"/>
  <c r="C57" i="90"/>
  <c r="F41" i="85"/>
  <c r="F42" i="85"/>
  <c r="F44" i="85"/>
  <c r="F46" i="85"/>
  <c r="G44" i="80"/>
  <c r="G45" i="80"/>
  <c r="D45" i="80"/>
  <c r="D9" i="80"/>
  <c r="D13" i="80"/>
  <c r="A43" i="105"/>
  <c r="N41" i="105"/>
  <c r="N42" i="106"/>
  <c r="A45" i="106"/>
  <c r="H60" i="75"/>
  <c r="H22" i="75"/>
  <c r="I59" i="75"/>
  <c r="I22" i="75"/>
  <c r="I96" i="75"/>
  <c r="H97" i="75"/>
  <c r="A56" i="104"/>
  <c r="BJ55" i="104"/>
  <c r="A118" i="1"/>
  <c r="H117" i="1"/>
  <c r="A30" i="1"/>
  <c r="H28" i="1"/>
  <c r="F30" i="1"/>
  <c r="E31" i="2"/>
  <c r="A142" i="1"/>
  <c r="H141" i="1"/>
  <c r="F95" i="47"/>
  <c r="F142" i="1"/>
  <c r="H56" i="1"/>
  <c r="A58" i="1"/>
  <c r="F64" i="1"/>
  <c r="E43" i="82"/>
  <c r="E27" i="82"/>
  <c r="E5" i="82"/>
  <c r="E27" i="47"/>
  <c r="A58" i="86"/>
  <c r="K57" i="86"/>
  <c r="BH61" i="103"/>
  <c r="A62" i="103"/>
  <c r="E27" i="75"/>
  <c r="E65" i="75"/>
  <c r="F64" i="75"/>
  <c r="F27" i="75"/>
  <c r="E81" i="47"/>
  <c r="H57" i="79"/>
  <c r="F57" i="79"/>
  <c r="E14" i="47"/>
  <c r="H60" i="79"/>
  <c r="F60" i="79"/>
  <c r="D115" i="80"/>
  <c r="I115" i="80"/>
  <c r="D118" i="80"/>
  <c r="I118" i="80"/>
  <c r="D116" i="80"/>
  <c r="I116" i="80"/>
  <c r="D122" i="80"/>
  <c r="I122" i="80"/>
  <c r="D113" i="80"/>
  <c r="I113" i="80"/>
  <c r="D114" i="80"/>
  <c r="I114" i="80"/>
  <c r="D121" i="80"/>
  <c r="I121" i="80"/>
  <c r="D120" i="80"/>
  <c r="I120" i="80"/>
  <c r="D117" i="80"/>
  <c r="I117" i="80"/>
  <c r="D119" i="80"/>
  <c r="I119" i="80"/>
  <c r="D112" i="80"/>
  <c r="I112" i="80"/>
  <c r="E123" i="80"/>
  <c r="D111" i="80"/>
  <c r="N45" i="106"/>
  <c r="A47" i="106"/>
  <c r="A45" i="105"/>
  <c r="N43" i="105"/>
  <c r="I97" i="75"/>
  <c r="H98" i="75"/>
  <c r="H23" i="75"/>
  <c r="H61" i="75"/>
  <c r="I60" i="75"/>
  <c r="I23" i="75"/>
  <c r="A57" i="104"/>
  <c r="BJ56" i="104"/>
  <c r="H118" i="1"/>
  <c r="A119" i="1"/>
  <c r="H142" i="1"/>
  <c r="A144" i="1"/>
  <c r="F144" i="1"/>
  <c r="A59" i="1"/>
  <c r="H58" i="1"/>
  <c r="F65" i="1"/>
  <c r="F115" i="1"/>
  <c r="H30" i="1"/>
  <c r="A59" i="86"/>
  <c r="K58" i="86"/>
  <c r="A63" i="103"/>
  <c r="BH62" i="103"/>
  <c r="E28" i="75"/>
  <c r="E66" i="75"/>
  <c r="F65" i="75"/>
  <c r="F28" i="75"/>
  <c r="E111" i="80"/>
  <c r="E112" i="80"/>
  <c r="E113" i="80"/>
  <c r="E114" i="80"/>
  <c r="E115" i="80"/>
  <c r="E116" i="80"/>
  <c r="E117" i="80"/>
  <c r="E118" i="80"/>
  <c r="E119" i="80"/>
  <c r="E120" i="80"/>
  <c r="E121" i="80"/>
  <c r="E122" i="80"/>
  <c r="I111" i="80"/>
  <c r="J111" i="80"/>
  <c r="J112" i="80"/>
  <c r="J113" i="80"/>
  <c r="J114" i="80"/>
  <c r="J115" i="80"/>
  <c r="J116" i="80"/>
  <c r="J117" i="80"/>
  <c r="J118" i="80"/>
  <c r="J119" i="80"/>
  <c r="J120" i="80"/>
  <c r="J121" i="80"/>
  <c r="J122" i="80"/>
  <c r="J124" i="80"/>
  <c r="D21" i="80"/>
  <c r="D23" i="80"/>
  <c r="E23" i="47"/>
  <c r="E25" i="47"/>
  <c r="E15" i="47"/>
  <c r="E16" i="47"/>
  <c r="N45" i="105"/>
  <c r="A47" i="105"/>
  <c r="A49" i="106"/>
  <c r="N47" i="106"/>
  <c r="I61" i="75"/>
  <c r="I24" i="75"/>
  <c r="H62" i="75"/>
  <c r="H24" i="75"/>
  <c r="H99" i="75"/>
  <c r="I98" i="75"/>
  <c r="BJ57" i="104"/>
  <c r="A58" i="104"/>
  <c r="A120" i="1"/>
  <c r="H120" i="1"/>
  <c r="H119" i="1"/>
  <c r="F148" i="1"/>
  <c r="H144" i="1"/>
  <c r="H59" i="1"/>
  <c r="A60" i="1"/>
  <c r="K59" i="86"/>
  <c r="A60" i="86"/>
  <c r="BH63" i="103"/>
  <c r="A64" i="103"/>
  <c r="E29" i="75"/>
  <c r="E67" i="75"/>
  <c r="F66" i="75"/>
  <c r="F29" i="75"/>
  <c r="E30" i="47"/>
  <c r="E48" i="47"/>
  <c r="E50" i="47"/>
  <c r="E85" i="47"/>
  <c r="A51" i="106"/>
  <c r="N49" i="106"/>
  <c r="A49" i="105"/>
  <c r="N49" i="105"/>
  <c r="N47" i="105"/>
  <c r="H100" i="75"/>
  <c r="I99" i="75"/>
  <c r="H63" i="75"/>
  <c r="H25" i="75"/>
  <c r="I62" i="75"/>
  <c r="I25" i="75"/>
  <c r="A59" i="104"/>
  <c r="BJ58" i="104"/>
  <c r="A63" i="1"/>
  <c r="H60" i="1"/>
  <c r="F69" i="1"/>
  <c r="K60" i="86"/>
  <c r="A61" i="86"/>
  <c r="A65" i="103"/>
  <c r="BH64" i="103"/>
  <c r="E68" i="75"/>
  <c r="E30" i="75"/>
  <c r="F67" i="75"/>
  <c r="F30" i="75"/>
  <c r="E66" i="47"/>
  <c r="E61" i="47"/>
  <c r="E87" i="47"/>
  <c r="E91" i="47"/>
  <c r="E96" i="47"/>
  <c r="E98" i="47"/>
  <c r="E103" i="47"/>
  <c r="E107" i="47"/>
  <c r="E110" i="47"/>
  <c r="N51" i="106"/>
  <c r="A54" i="106"/>
  <c r="H26" i="75"/>
  <c r="I63" i="75"/>
  <c r="H64" i="75"/>
  <c r="I100" i="75"/>
  <c r="H101" i="75"/>
  <c r="A60" i="104"/>
  <c r="BJ59" i="104"/>
  <c r="A64" i="1"/>
  <c r="H63" i="1"/>
  <c r="B36" i="5"/>
  <c r="D45" i="5"/>
  <c r="F45" i="5"/>
  <c r="I45" i="5"/>
  <c r="J45" i="5"/>
  <c r="A62" i="86"/>
  <c r="K61" i="86"/>
  <c r="BH65" i="103"/>
  <c r="A66" i="103"/>
  <c r="E142" i="1"/>
  <c r="E144" i="1"/>
  <c r="E148" i="1"/>
  <c r="E31" i="75"/>
  <c r="E69" i="75"/>
  <c r="F68" i="75"/>
  <c r="F31" i="75"/>
  <c r="A56" i="106"/>
  <c r="N56" i="106"/>
  <c r="N54" i="106"/>
  <c r="I26" i="75"/>
  <c r="H27" i="75"/>
  <c r="H65" i="75"/>
  <c r="I64" i="75"/>
  <c r="I27" i="75"/>
  <c r="H102" i="75"/>
  <c r="I101" i="75"/>
  <c r="A61" i="104"/>
  <c r="BJ60" i="104"/>
  <c r="F41" i="47"/>
  <c r="H64" i="1"/>
  <c r="A65" i="1"/>
  <c r="D47" i="5"/>
  <c r="F47" i="5"/>
  <c r="D54" i="5"/>
  <c r="F54" i="5"/>
  <c r="D51" i="5"/>
  <c r="F51" i="5"/>
  <c r="D46" i="5"/>
  <c r="F46" i="5"/>
  <c r="D56" i="5"/>
  <c r="F56" i="5"/>
  <c r="D55" i="5"/>
  <c r="F55" i="5"/>
  <c r="D49" i="5"/>
  <c r="F49" i="5"/>
  <c r="D52" i="5"/>
  <c r="F52" i="5"/>
  <c r="D53" i="5"/>
  <c r="F53" i="5"/>
  <c r="D50" i="5"/>
  <c r="F50" i="5"/>
  <c r="D48" i="5"/>
  <c r="F48" i="5"/>
  <c r="A63" i="86"/>
  <c r="K63" i="86"/>
  <c r="K62" i="86"/>
  <c r="A67" i="103"/>
  <c r="BH66" i="103"/>
  <c r="G45" i="5"/>
  <c r="E32" i="75"/>
  <c r="E70" i="75"/>
  <c r="F69" i="75"/>
  <c r="F32" i="75"/>
  <c r="I65" i="75"/>
  <c r="H28" i="75"/>
  <c r="H66" i="75"/>
  <c r="I102" i="75"/>
  <c r="H103" i="75"/>
  <c r="BJ61" i="104"/>
  <c r="A62" i="104"/>
  <c r="A66" i="1"/>
  <c r="H65" i="1"/>
  <c r="F66" i="1"/>
  <c r="F68" i="1"/>
  <c r="G46" i="5"/>
  <c r="G47" i="5"/>
  <c r="G48" i="5"/>
  <c r="BH67" i="103"/>
  <c r="A68" i="103"/>
  <c r="K45" i="5"/>
  <c r="I46" i="5"/>
  <c r="J46" i="5"/>
  <c r="E71" i="75"/>
  <c r="E33" i="75"/>
  <c r="F70" i="75"/>
  <c r="F33" i="75"/>
  <c r="I28" i="75"/>
  <c r="H67" i="75"/>
  <c r="I66" i="75"/>
  <c r="I29" i="75"/>
  <c r="H29" i="75"/>
  <c r="I103" i="75"/>
  <c r="H104" i="75"/>
  <c r="A63" i="104"/>
  <c r="BJ62" i="104"/>
  <c r="A68" i="1"/>
  <c r="H66" i="1"/>
  <c r="F71" i="1"/>
  <c r="K46" i="5"/>
  <c r="I47" i="5"/>
  <c r="J47" i="5"/>
  <c r="K47" i="5"/>
  <c r="I48" i="5"/>
  <c r="J48" i="5"/>
  <c r="K48" i="5"/>
  <c r="I49" i="5"/>
  <c r="J49" i="5"/>
  <c r="BH68" i="103"/>
  <c r="A69" i="103"/>
  <c r="E72" i="75"/>
  <c r="E34" i="75"/>
  <c r="F71" i="75"/>
  <c r="F34" i="75"/>
  <c r="G49" i="5"/>
  <c r="I104" i="75"/>
  <c r="H105" i="75"/>
  <c r="H68" i="75"/>
  <c r="H30" i="75"/>
  <c r="I67" i="75"/>
  <c r="I30" i="75"/>
  <c r="A64" i="104"/>
  <c r="BJ63" i="104"/>
  <c r="H68" i="1"/>
  <c r="F116" i="1"/>
  <c r="A69" i="1"/>
  <c r="BH69" i="103"/>
  <c r="A70" i="103"/>
  <c r="E35" i="75"/>
  <c r="E73" i="75"/>
  <c r="F72" i="75"/>
  <c r="F35" i="75"/>
  <c r="G50" i="5"/>
  <c r="K49" i="5"/>
  <c r="I50" i="5"/>
  <c r="J50" i="5"/>
  <c r="I68" i="75"/>
  <c r="I31" i="75"/>
  <c r="H31" i="75"/>
  <c r="H69" i="75"/>
  <c r="I105" i="75"/>
  <c r="H106" i="75"/>
  <c r="A65" i="104"/>
  <c r="BJ64" i="104"/>
  <c r="F72" i="1"/>
  <c r="F46" i="47"/>
  <c r="H69" i="1"/>
  <c r="A71" i="1"/>
  <c r="A71" i="103"/>
  <c r="BH70" i="103"/>
  <c r="E74" i="75"/>
  <c r="E36" i="75"/>
  <c r="F73" i="75"/>
  <c r="F36" i="75"/>
  <c r="K50" i="5"/>
  <c r="I51" i="5"/>
  <c r="J51" i="5"/>
  <c r="G51" i="5"/>
  <c r="H70" i="75"/>
  <c r="H32" i="75"/>
  <c r="I69" i="75"/>
  <c r="I32" i="75"/>
  <c r="H107" i="75"/>
  <c r="I106" i="75"/>
  <c r="BJ65" i="104"/>
  <c r="A66" i="104"/>
  <c r="H71" i="1"/>
  <c r="A72" i="1"/>
  <c r="BH71" i="103"/>
  <c r="A72" i="103"/>
  <c r="E37" i="75"/>
  <c r="E75" i="75"/>
  <c r="E76" i="75"/>
  <c r="F74" i="75"/>
  <c r="F37" i="75"/>
  <c r="K51" i="5"/>
  <c r="I52" i="5"/>
  <c r="J52" i="5"/>
  <c r="G52" i="5"/>
  <c r="H108" i="75"/>
  <c r="I107" i="75"/>
  <c r="I70" i="75"/>
  <c r="I33" i="75"/>
  <c r="H71" i="75"/>
  <c r="H33" i="75"/>
  <c r="BJ66" i="104"/>
  <c r="A67" i="104"/>
  <c r="H72" i="1"/>
  <c r="F120" i="1"/>
  <c r="A73" i="1"/>
  <c r="F73" i="1"/>
  <c r="A73" i="103"/>
  <c r="BH72" i="103"/>
  <c r="E38" i="75"/>
  <c r="E39" i="75"/>
  <c r="C47" i="90"/>
  <c r="C49" i="90"/>
  <c r="F75" i="75"/>
  <c r="F38" i="75"/>
  <c r="F40" i="75"/>
  <c r="D26" i="2"/>
  <c r="K52" i="5"/>
  <c r="I53" i="5"/>
  <c r="J53" i="5"/>
  <c r="G53" i="5"/>
  <c r="H72" i="75"/>
  <c r="H34" i="75"/>
  <c r="I71" i="75"/>
  <c r="I34" i="75"/>
  <c r="I108" i="75"/>
  <c r="H109" i="75"/>
  <c r="BJ67" i="104"/>
  <c r="A68" i="104"/>
  <c r="H73" i="1"/>
  <c r="F131" i="1"/>
  <c r="A74" i="103"/>
  <c r="BH73" i="103"/>
  <c r="C51" i="90"/>
  <c r="C53" i="90"/>
  <c r="E6" i="92"/>
  <c r="C52" i="90"/>
  <c r="D6" i="92"/>
  <c r="G54" i="5"/>
  <c r="K53" i="5"/>
  <c r="I54" i="5"/>
  <c r="J54" i="5"/>
  <c r="H110" i="75"/>
  <c r="I109" i="75"/>
  <c r="I72" i="75"/>
  <c r="I35" i="75"/>
  <c r="H73" i="75"/>
  <c r="H35" i="75"/>
  <c r="A69" i="104"/>
  <c r="BJ68" i="104"/>
  <c r="A75" i="103"/>
  <c r="BH74" i="103"/>
  <c r="D47" i="92"/>
  <c r="D38" i="92"/>
  <c r="D30" i="92"/>
  <c r="D53" i="92"/>
  <c r="D28" i="92"/>
  <c r="D46" i="92"/>
  <c r="D40" i="92"/>
  <c r="D36" i="92"/>
  <c r="D43" i="92"/>
  <c r="D29" i="92"/>
  <c r="E29" i="92"/>
  <c r="F29" i="92"/>
  <c r="D37" i="92"/>
  <c r="D18" i="92"/>
  <c r="D27" i="92"/>
  <c r="D44" i="92"/>
  <c r="E28" i="92"/>
  <c r="E47" i="92"/>
  <c r="E53" i="92"/>
  <c r="E38" i="92"/>
  <c r="E30" i="92"/>
  <c r="E40" i="92"/>
  <c r="E46" i="92"/>
  <c r="E36" i="92"/>
  <c r="E37" i="92"/>
  <c r="E19" i="92"/>
  <c r="E43" i="92"/>
  <c r="E27" i="92"/>
  <c r="E18" i="92"/>
  <c r="E44" i="92"/>
  <c r="K54" i="5"/>
  <c r="I55" i="5"/>
  <c r="J55" i="5"/>
  <c r="G55" i="5"/>
  <c r="H36" i="75"/>
  <c r="I73" i="75"/>
  <c r="I36" i="75"/>
  <c r="H74" i="75"/>
  <c r="H111" i="75"/>
  <c r="I111" i="75"/>
  <c r="I110" i="75"/>
  <c r="BJ69" i="104"/>
  <c r="A70" i="104"/>
  <c r="F40" i="92"/>
  <c r="BH75" i="103"/>
  <c r="A76" i="103"/>
  <c r="F44" i="92"/>
  <c r="F36" i="92"/>
  <c r="D19" i="92"/>
  <c r="F19" i="92"/>
  <c r="F46" i="92"/>
  <c r="F27" i="92"/>
  <c r="F28" i="92"/>
  <c r="F18" i="92"/>
  <c r="F53" i="92"/>
  <c r="F37" i="92"/>
  <c r="F30" i="92"/>
  <c r="E20" i="92"/>
  <c r="E32" i="92"/>
  <c r="E42" i="92"/>
  <c r="E48" i="92"/>
  <c r="F38" i="92"/>
  <c r="F43" i="92"/>
  <c r="F47" i="92"/>
  <c r="G56" i="5"/>
  <c r="K55" i="5"/>
  <c r="I56" i="5"/>
  <c r="J56" i="5"/>
  <c r="I112" i="75"/>
  <c r="I74" i="75"/>
  <c r="I37" i="75"/>
  <c r="H75" i="75"/>
  <c r="H37" i="75"/>
  <c r="A71" i="104"/>
  <c r="BJ70" i="104"/>
  <c r="D20" i="92"/>
  <c r="D32" i="92"/>
  <c r="D42" i="92"/>
  <c r="F42" i="92"/>
  <c r="A77" i="103"/>
  <c r="BH76" i="103"/>
  <c r="E50" i="92"/>
  <c r="F20" i="92"/>
  <c r="F32" i="92"/>
  <c r="G57" i="5"/>
  <c r="K56" i="5"/>
  <c r="I57" i="5"/>
  <c r="J57" i="5"/>
  <c r="H38" i="75"/>
  <c r="I75" i="75"/>
  <c r="BJ71" i="104"/>
  <c r="A72" i="104"/>
  <c r="D48" i="92"/>
  <c r="F48" i="92"/>
  <c r="BH77" i="103"/>
  <c r="A78" i="103"/>
  <c r="K57" i="5"/>
  <c r="I58" i="5"/>
  <c r="J58" i="5"/>
  <c r="G58" i="5"/>
  <c r="I38" i="75"/>
  <c r="I39" i="75"/>
  <c r="D22" i="2"/>
  <c r="E149" i="1"/>
  <c r="E151" i="1"/>
  <c r="I76" i="75"/>
  <c r="A73" i="104"/>
  <c r="BJ72" i="104"/>
  <c r="D50" i="92"/>
  <c r="F50" i="92"/>
  <c r="A79" i="103"/>
  <c r="BH78" i="103"/>
  <c r="E159" i="1"/>
  <c r="E157" i="1"/>
  <c r="K58" i="5"/>
  <c r="I59" i="5"/>
  <c r="J59" i="5"/>
  <c r="G59" i="5"/>
  <c r="D52" i="92"/>
  <c r="E52" i="92"/>
  <c r="E55" i="92"/>
  <c r="BJ73" i="104"/>
  <c r="A74" i="104"/>
  <c r="A80" i="103"/>
  <c r="BH79" i="103"/>
  <c r="E160" i="1"/>
  <c r="F52" i="92"/>
  <c r="D55" i="92"/>
  <c r="F55" i="92"/>
  <c r="K59" i="5"/>
  <c r="I60" i="5"/>
  <c r="J60" i="5"/>
  <c r="G60" i="5"/>
  <c r="A75" i="104"/>
  <c r="BJ74" i="104"/>
  <c r="M56" i="106"/>
  <c r="M24" i="106"/>
  <c r="F23" i="105"/>
  <c r="J23" i="105"/>
  <c r="M15" i="105"/>
  <c r="A81" i="103"/>
  <c r="BH80" i="103"/>
  <c r="K60" i="5"/>
  <c r="I61" i="5"/>
  <c r="J61" i="5"/>
  <c r="G61" i="5"/>
  <c r="BJ75" i="104"/>
  <c r="A76" i="104"/>
  <c r="M21" i="105"/>
  <c r="M40" i="106"/>
  <c r="F39" i="105"/>
  <c r="J39" i="105"/>
  <c r="M33" i="105"/>
  <c r="M14" i="106"/>
  <c r="F13" i="105"/>
  <c r="J13" i="105"/>
  <c r="M19" i="105"/>
  <c r="M32" i="106"/>
  <c r="F31" i="105"/>
  <c r="J31" i="105"/>
  <c r="M29" i="105"/>
  <c r="M42" i="106"/>
  <c r="M17" i="105"/>
  <c r="M12" i="106"/>
  <c r="F11" i="105"/>
  <c r="M11" i="105"/>
  <c r="M26" i="106"/>
  <c r="F25" i="105"/>
  <c r="M25" i="105"/>
  <c r="M51" i="106"/>
  <c r="F47" i="105"/>
  <c r="J44" i="105"/>
  <c r="BH81" i="103"/>
  <c r="A82" i="103"/>
  <c r="K61" i="5"/>
  <c r="I62" i="5"/>
  <c r="J62" i="5"/>
  <c r="G62" i="5"/>
  <c r="A77" i="104"/>
  <c r="BJ76" i="104"/>
  <c r="M13" i="105"/>
  <c r="M37" i="105"/>
  <c r="J11" i="105"/>
  <c r="M35" i="105"/>
  <c r="F49" i="105"/>
  <c r="M49" i="105"/>
  <c r="J25" i="105"/>
  <c r="J46" i="105"/>
  <c r="M43" i="105"/>
  <c r="E57" i="92"/>
  <c r="E59" i="92"/>
  <c r="C10" i="93"/>
  <c r="C12" i="93"/>
  <c r="M27" i="105"/>
  <c r="D57" i="92"/>
  <c r="D59" i="92"/>
  <c r="C5" i="93"/>
  <c r="C7" i="93"/>
  <c r="M54" i="106"/>
  <c r="A83" i="103"/>
  <c r="BH82" i="103"/>
  <c r="K62" i="5"/>
  <c r="I63" i="5"/>
  <c r="J63" i="5"/>
  <c r="G63" i="5"/>
  <c r="BJ77" i="104"/>
  <c r="A78" i="104"/>
  <c r="M41" i="105"/>
  <c r="M47" i="105"/>
  <c r="F57" i="92"/>
  <c r="F59" i="92"/>
  <c r="M45" i="105"/>
  <c r="BH83" i="103"/>
  <c r="A84" i="103"/>
  <c r="K63" i="5"/>
  <c r="I64" i="5"/>
  <c r="J64" i="5"/>
  <c r="G64" i="5"/>
  <c r="A79" i="104"/>
  <c r="BJ78" i="104"/>
  <c r="BH84" i="103"/>
  <c r="A85" i="103"/>
  <c r="G65" i="5"/>
  <c r="K64" i="5"/>
  <c r="I65" i="5"/>
  <c r="J65" i="5"/>
  <c r="BJ79" i="104"/>
  <c r="A80" i="104"/>
  <c r="BH85" i="103"/>
  <c r="A86" i="103"/>
  <c r="K65" i="5"/>
  <c r="I66" i="5"/>
  <c r="J66" i="5"/>
  <c r="G66" i="5"/>
  <c r="A81" i="104"/>
  <c r="BJ80" i="104"/>
  <c r="A87" i="103"/>
  <c r="BH86" i="103"/>
  <c r="G67" i="5"/>
  <c r="K66" i="5"/>
  <c r="I67" i="5"/>
  <c r="J67" i="5"/>
  <c r="BJ81" i="104"/>
  <c r="A82" i="104"/>
  <c r="BH87" i="103"/>
  <c r="A88" i="103"/>
  <c r="G68" i="5"/>
  <c r="K67" i="5"/>
  <c r="I68" i="5"/>
  <c r="J68" i="5"/>
  <c r="A83" i="104"/>
  <c r="BJ82" i="104"/>
  <c r="A89" i="103"/>
  <c r="BH88" i="103"/>
  <c r="K68" i="5"/>
  <c r="D79" i="5"/>
  <c r="F79" i="5"/>
  <c r="G79" i="5"/>
  <c r="I79" i="5"/>
  <c r="D80" i="5"/>
  <c r="F80" i="5"/>
  <c r="G80" i="5"/>
  <c r="I80" i="5"/>
  <c r="D81" i="5"/>
  <c r="F81" i="5"/>
  <c r="G81" i="5"/>
  <c r="I81" i="5"/>
  <c r="D82" i="5"/>
  <c r="F82" i="5"/>
  <c r="G82" i="5"/>
  <c r="I82" i="5"/>
  <c r="D83" i="5"/>
  <c r="F83" i="5"/>
  <c r="G83" i="5"/>
  <c r="I83" i="5"/>
  <c r="D84" i="5"/>
  <c r="F84" i="5"/>
  <c r="G84" i="5"/>
  <c r="I84" i="5"/>
  <c r="D85" i="5"/>
  <c r="F85" i="5"/>
  <c r="G85" i="5"/>
  <c r="I85" i="5"/>
  <c r="D86" i="5"/>
  <c r="F86" i="5"/>
  <c r="G86" i="5"/>
  <c r="I86" i="5"/>
  <c r="D87" i="5"/>
  <c r="F87" i="5"/>
  <c r="G87" i="5"/>
  <c r="I87" i="5"/>
  <c r="D88" i="5"/>
  <c r="F88" i="5"/>
  <c r="G88" i="5"/>
  <c r="I88" i="5"/>
  <c r="D89" i="5"/>
  <c r="F89" i="5"/>
  <c r="G89" i="5"/>
  <c r="I89" i="5"/>
  <c r="D90" i="5"/>
  <c r="F90" i="5"/>
  <c r="G90" i="5"/>
  <c r="I90" i="5"/>
  <c r="A84" i="104"/>
  <c r="BJ83" i="104"/>
  <c r="BH89" i="103"/>
  <c r="A90" i="103"/>
  <c r="A85" i="104"/>
  <c r="BJ84" i="104"/>
  <c r="A91" i="103"/>
  <c r="BH90" i="103"/>
  <c r="BJ85" i="104"/>
  <c r="A86" i="104"/>
  <c r="A92" i="103"/>
  <c r="BH91" i="103"/>
  <c r="A87" i="104"/>
  <c r="BJ86" i="104"/>
  <c r="A93" i="103"/>
  <c r="BH92" i="103"/>
  <c r="A88" i="104"/>
  <c r="BJ87" i="104"/>
  <c r="BH93" i="103"/>
  <c r="A94" i="103"/>
  <c r="A89" i="104"/>
  <c r="BJ88" i="104"/>
  <c r="A95" i="103"/>
  <c r="BH94" i="103"/>
  <c r="A90" i="104"/>
  <c r="BJ89" i="104"/>
  <c r="BH95" i="103"/>
  <c r="A96" i="103"/>
  <c r="A91" i="104"/>
  <c r="BJ90" i="104"/>
  <c r="BH96" i="103"/>
  <c r="A97" i="103"/>
  <c r="BJ91" i="104"/>
  <c r="A92" i="104"/>
  <c r="BH97" i="103"/>
  <c r="A98" i="103"/>
  <c r="A93" i="104"/>
  <c r="BJ92" i="104"/>
  <c r="BH98" i="103"/>
  <c r="A99" i="103"/>
  <c r="BH99" i="103"/>
  <c r="A94" i="104"/>
  <c r="BJ93" i="104"/>
  <c r="A95" i="104"/>
  <c r="BJ94" i="104"/>
  <c r="BJ95" i="104"/>
  <c r="A96" i="104"/>
  <c r="A97" i="104"/>
  <c r="BJ96" i="104"/>
  <c r="A98" i="104"/>
  <c r="BJ97" i="104"/>
  <c r="A99" i="104"/>
  <c r="BJ99" i="104"/>
  <c r="BJ98" i="104"/>
  <c r="E43" i="80"/>
  <c r="D41" i="80"/>
  <c r="D43" i="80"/>
  <c r="E44" i="80"/>
</calcChain>
</file>

<file path=xl/sharedStrings.xml><?xml version="1.0" encoding="utf-8"?>
<sst xmlns="http://schemas.openxmlformats.org/spreadsheetml/2006/main" count="5177" uniqueCount="2055">
  <si>
    <t>Pacific Gas and Electric Company</t>
  </si>
  <si>
    <t>Transmission Owner Tariff</t>
  </si>
  <si>
    <t>Appendix VIII: Formula Rate</t>
  </si>
  <si>
    <t>Attachment 2: Model</t>
  </si>
  <si>
    <t>Table of Contents</t>
  </si>
  <si>
    <t>Schedule</t>
  </si>
  <si>
    <t>Description</t>
  </si>
  <si>
    <t>1-BaseTRR</t>
  </si>
  <si>
    <t>Base Transmission Revenue Requirements</t>
  </si>
  <si>
    <t>2-ITRR</t>
  </si>
  <si>
    <t>Incremental Transmission Revenue Requirement</t>
  </si>
  <si>
    <t>3-True-upTRR</t>
  </si>
  <si>
    <t>True-up Transmission Revenue Requirement</t>
  </si>
  <si>
    <t>4-ATA</t>
  </si>
  <si>
    <t>Annual True-up Adjustment</t>
  </si>
  <si>
    <t>5-CostofCap-1</t>
  </si>
  <si>
    <t>Calculation of Components of Cost of Capital Rate</t>
  </si>
  <si>
    <t>5-CostofCap-2</t>
  </si>
  <si>
    <t>Calculation of 13-Month Average Capitalization Balances</t>
  </si>
  <si>
    <t>5-CostofCap-3</t>
  </si>
  <si>
    <t>Long Term Debt Cost Percentage</t>
  </si>
  <si>
    <t>5-CostofCap-4</t>
  </si>
  <si>
    <t>Preferred Stock Cost Percentage</t>
  </si>
  <si>
    <t>6-PlantJurisdiction</t>
  </si>
  <si>
    <t>Transmission Plant Jurisdictional</t>
  </si>
  <si>
    <t>7-PlantInService</t>
  </si>
  <si>
    <t>Network Transmission Plant In Service</t>
  </si>
  <si>
    <t>8-AbandonedPlant</t>
  </si>
  <si>
    <t xml:space="preserve">Abandoned Plant Balance and Amortization </t>
  </si>
  <si>
    <t>9-PlantAdditions</t>
  </si>
  <si>
    <t>Forecast Net Plant Additions for Network Transmission Plant</t>
  </si>
  <si>
    <t>10-AccDep</t>
  </si>
  <si>
    <t>Accumulated Depreciation for Network Transmission Assets</t>
  </si>
  <si>
    <t>11-Depreciation</t>
  </si>
  <si>
    <t>Network Transmission Depreciation Expense</t>
  </si>
  <si>
    <t>12-DepRates</t>
  </si>
  <si>
    <t>Depreciation Rates</t>
  </si>
  <si>
    <t>13-WorkCap</t>
  </si>
  <si>
    <t>Calculation of Components of Working Capital</t>
  </si>
  <si>
    <t>14-ADIT</t>
  </si>
  <si>
    <t xml:space="preserve">Accumulated Deferred Income Taxes </t>
  </si>
  <si>
    <t>15-NUC</t>
  </si>
  <si>
    <t>Network Upgrade Credit and Interest Expense</t>
  </si>
  <si>
    <t>16-Unfunded Reserves</t>
  </si>
  <si>
    <t>Unfunded Reserves</t>
  </si>
  <si>
    <t>17-RegAssets-1</t>
  </si>
  <si>
    <t>Regulatory Assets and Liabilities and Associated Amortization and Regulatory Debits and Credits</t>
  </si>
  <si>
    <t>17-RegAssets-2</t>
  </si>
  <si>
    <t>Amortization of (Excess)/Deficient Deferred Federal and State Income Taxes</t>
  </si>
  <si>
    <t>17-RegAssets-3</t>
  </si>
  <si>
    <t>18-OandM</t>
  </si>
  <si>
    <t>Operations and Maintenance Expense</t>
  </si>
  <si>
    <t>19-AandG</t>
  </si>
  <si>
    <t>Administrative and General Expenses</t>
  </si>
  <si>
    <t>20-RevenueCredits</t>
  </si>
  <si>
    <t>Revenue Credits</t>
  </si>
  <si>
    <t>21-NPandS</t>
  </si>
  <si>
    <t>Revenue Sharing for Non-Tariff New Products &amp; Services</t>
  </si>
  <si>
    <t>22-TaxRates</t>
  </si>
  <si>
    <t>Income Tax Rates</t>
  </si>
  <si>
    <t>23-RetailSGTax</t>
  </si>
  <si>
    <t>Retail "South Georgia" Taxes</t>
  </si>
  <si>
    <t>24-Allocators</t>
  </si>
  <si>
    <t>Calculation of Allocation Factors</t>
  </si>
  <si>
    <t>25-RFandUFactors</t>
  </si>
  <si>
    <t>Revenue Fees and Uncollectible Factors</t>
  </si>
  <si>
    <t>26-WholesaleTRRs</t>
  </si>
  <si>
    <t>High and Low Voltage Wholesale Revenue Requirement</t>
  </si>
  <si>
    <t>27-WholesaleRates</t>
  </si>
  <si>
    <t>Calculation of PG&amp;E Wholesale Rates</t>
  </si>
  <si>
    <t>28-GrossLoad</t>
  </si>
  <si>
    <t>Calculation of Gross Load at the CAISO Interface (Area Out)</t>
  </si>
  <si>
    <t>29-RetailRates-1</t>
  </si>
  <si>
    <t>Proposed Retail Rates</t>
  </si>
  <si>
    <t>29-RetailRates-2</t>
  </si>
  <si>
    <t>Proposed Allocations &amp; Revenues</t>
  </si>
  <si>
    <t>FORMATTING:</t>
  </si>
  <si>
    <t>Shading</t>
  </si>
  <si>
    <t>In the Schedules and Workpapers, those cells shaded in gold are inputs to the Formula Rate Model.</t>
  </si>
  <si>
    <t>Number Format</t>
  </si>
  <si>
    <t>Excel “Currency” number format is used.</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</si>
  <si>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</si>
  <si>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</si>
  <si>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</si>
  <si>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</si>
  <si>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</si>
  <si>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</si>
  <si>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</si>
  <si>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REFERENCES:</t>
  </si>
  <si>
    <t>REFERENCE</t>
  </si>
  <si>
    <t>FORM OF REFERENCE</t>
  </si>
  <si>
    <t>EXAMPLE</t>
  </si>
  <si>
    <t>NOTES</t>
  </si>
  <si>
    <t>Column</t>
  </si>
  <si>
    <t>col (column # or letter)</t>
  </si>
  <si>
    <t>col k or col 6</t>
  </si>
  <si>
    <t>FERC Form No. 1</t>
  </si>
  <si>
    <t>FF1</t>
  </si>
  <si>
    <t>FF1 337.2, L. 20, col k</t>
  </si>
  <si>
    <t>FF1 234, Note(s)</t>
  </si>
  <si>
    <t>Line</t>
  </si>
  <si>
    <t>Line (line #)</t>
  </si>
  <si>
    <t>Line 25</t>
  </si>
  <si>
    <t>Internal reference – source within the same Schedule or Workpaper sheet</t>
  </si>
  <si>
    <t>(internal reference)</t>
  </si>
  <si>
    <t>L. (line #)</t>
  </si>
  <si>
    <t>L. 25</t>
  </si>
  <si>
    <t>External reference – source outside the Schedule or Workpaper sheet</t>
  </si>
  <si>
    <t>(external reference)</t>
  </si>
  <si>
    <t>Note</t>
  </si>
  <si>
    <t>Note(s) (note #, if provided)</t>
  </si>
  <si>
    <t>Note 1</t>
  </si>
  <si>
    <t>14-ADIT, Note 1</t>
  </si>
  <si>
    <t>FF1 450.1, Notes</t>
  </si>
  <si>
    <t>Page</t>
  </si>
  <si>
    <t>(page #)</t>
  </si>
  <si>
    <t>337.2 or 2-24</t>
  </si>
  <si>
    <t>Nothing precedes the page number(s).</t>
  </si>
  <si>
    <t>337.2, L. 10, col k</t>
  </si>
  <si>
    <t>(schedule name)</t>
  </si>
  <si>
    <t>Nothing precedes the schedule name</t>
  </si>
  <si>
    <t>Tabs</t>
  </si>
  <si>
    <t>(tab #)</t>
  </si>
  <si>
    <t>WP_29-RetailRates-2 4</t>
  </si>
  <si>
    <t>Nothing precedes the tab number.</t>
  </si>
  <si>
    <t>WP_28-GrossLoad 2, L. 115, col 6</t>
  </si>
  <si>
    <t>Line for extra data</t>
  </si>
  <si>
    <t>…</t>
  </si>
  <si>
    <t>Some Schedules have a"…" row.  These rows are intended for new data to be added in a future update.</t>
  </si>
  <si>
    <t>Base Transmission Revenue Requirement</t>
  </si>
  <si>
    <t>Rate Year:</t>
  </si>
  <si>
    <t>Input cells are shaded gold</t>
  </si>
  <si>
    <t>Prior Year:</t>
  </si>
  <si>
    <t>1) Rate Base</t>
  </si>
  <si>
    <t>Values</t>
  </si>
  <si>
    <t>Source</t>
  </si>
  <si>
    <t>Notes</t>
  </si>
  <si>
    <t>Plant</t>
  </si>
  <si>
    <t>Transmission Plant</t>
  </si>
  <si>
    <t>7-PlantInService, L. 112, col 13</t>
  </si>
  <si>
    <t>End of Year Value</t>
  </si>
  <si>
    <t>Common + General + Intangible Plant</t>
  </si>
  <si>
    <t>7-PlantInService, L. 701, col 1</t>
  </si>
  <si>
    <t>Abandoned Plant</t>
  </si>
  <si>
    <t>8-AbandonedPlant, L. 102, col 11</t>
  </si>
  <si>
    <t>Total Plant</t>
  </si>
  <si>
    <t>Working Capital</t>
  </si>
  <si>
    <t>Materials and Supplies</t>
  </si>
  <si>
    <t>13-WorkCap, L. 112, col 2</t>
  </si>
  <si>
    <t>Prepayments</t>
  </si>
  <si>
    <t>13-WorkCap, L. 217, col 5</t>
  </si>
  <si>
    <t>Cash Working Capital</t>
  </si>
  <si>
    <t>Total Working Capital</t>
  </si>
  <si>
    <t>Accumulated Depreciation Reserve</t>
  </si>
  <si>
    <t>Transmission Depreciation Reserve</t>
  </si>
  <si>
    <t>10-AccDep, L. 112, col 13</t>
  </si>
  <si>
    <t>Negative End of Year Value</t>
  </si>
  <si>
    <t>Common + General + Intangible Depreciation Reserve</t>
  </si>
  <si>
    <t>10-AccDep, L. 701, col 1</t>
  </si>
  <si>
    <t>Total Accumulated Depreciation Reserve</t>
  </si>
  <si>
    <t>a</t>
  </si>
  <si>
    <t>Accumulated Deferred Income Taxes</t>
  </si>
  <si>
    <t>14-ADIT, L. 104, col 2</t>
  </si>
  <si>
    <t>b</t>
  </si>
  <si>
    <r>
      <t>(Excess)</t>
    </r>
    <r>
      <rPr>
        <b/>
        <sz val="9.35"/>
        <rFont val="Calibri"/>
        <family val="2"/>
      </rPr>
      <t>/</t>
    </r>
    <r>
      <rPr>
        <b/>
        <sz val="11"/>
        <rFont val="Calibri"/>
        <family val="2"/>
      </rPr>
      <t>Deficient</t>
    </r>
    <r>
      <rPr>
        <b/>
        <sz val="11"/>
        <rFont val="Calibri"/>
        <family val="2"/>
        <scheme val="minor"/>
      </rPr>
      <t xml:space="preserve"> Accumulated Deferred Income Taxes</t>
    </r>
  </si>
  <si>
    <t>17-RegAssets-1, L. 201</t>
  </si>
  <si>
    <t>c</t>
  </si>
  <si>
    <r>
      <t>Total (Excess)</t>
    </r>
    <r>
      <rPr>
        <b/>
        <sz val="9.35"/>
        <rFont val="Calibri"/>
        <family val="2"/>
      </rPr>
      <t>/</t>
    </r>
    <r>
      <rPr>
        <b/>
        <sz val="11"/>
        <rFont val="Calibri"/>
        <family val="2"/>
      </rPr>
      <t>Deficient</t>
    </r>
    <r>
      <rPr>
        <b/>
        <sz val="9.35"/>
        <rFont val="Calibri"/>
        <family val="2"/>
      </rPr>
      <t xml:space="preserve"> </t>
    </r>
    <r>
      <rPr>
        <b/>
        <sz val="11"/>
        <rFont val="Calibri"/>
        <family val="2"/>
        <scheme val="minor"/>
      </rPr>
      <t>and Accumulated Deferred Income Taxes</t>
    </r>
  </si>
  <si>
    <t>Network Upgrade Credits (Customer Advances)</t>
  </si>
  <si>
    <t>15-NUC, L. 103</t>
  </si>
  <si>
    <t>16-UnfundedReserves, L. 101, col 2</t>
  </si>
  <si>
    <t>Other Regulatory Assets or Liabilities</t>
  </si>
  <si>
    <t>17-RegAssets-1, L. 100</t>
  </si>
  <si>
    <t>Rate Base</t>
  </si>
  <si>
    <t>2) ROE and Capitalization Calculations</t>
  </si>
  <si>
    <t>Debt</t>
  </si>
  <si>
    <t>Long Term Debt Amount</t>
  </si>
  <si>
    <t>5-CostofCap-1, L. 110</t>
  </si>
  <si>
    <t xml:space="preserve">Long Term Debt Cost Percentage </t>
  </si>
  <si>
    <t>5-CostofCap-3, L. 114</t>
  </si>
  <si>
    <t>Cost of Long Term Debt</t>
  </si>
  <si>
    <t>Preferred Stock</t>
  </si>
  <si>
    <t>Preferred Stock Amount</t>
  </si>
  <si>
    <t>5-CostofCap-1, L. 114</t>
  </si>
  <si>
    <t>5-CostofCap-4, L. 106</t>
  </si>
  <si>
    <t>Cost of Preferred Stock</t>
  </si>
  <si>
    <t>Equity</t>
  </si>
  <si>
    <t>Common Stock Equity Amount</t>
  </si>
  <si>
    <t>5-CostofCap-1, L. 120</t>
  </si>
  <si>
    <t>Total Capital</t>
  </si>
  <si>
    <t>Capital Percentages</t>
  </si>
  <si>
    <t>Long Term Debt Capital Percentage</t>
  </si>
  <si>
    <t>Set at 49.75</t>
  </si>
  <si>
    <t>Global Settlement Value</t>
  </si>
  <si>
    <t>Preferred Stock Capital Percentage</t>
  </si>
  <si>
    <t>Set at 0.5%</t>
  </si>
  <si>
    <t>Common Stock Capital Percentage</t>
  </si>
  <si>
    <t>Annual Cost of Capital Components</t>
  </si>
  <si>
    <t>Total Return on Common Equity</t>
  </si>
  <si>
    <t>Sum Lines 214 and 215</t>
  </si>
  <si>
    <t>PG&amp;E Return on Common Equity</t>
  </si>
  <si>
    <t>PG&amp;E ROE</t>
  </si>
  <si>
    <t>FERC ISO Participation Incentive Adder</t>
  </si>
  <si>
    <t>Note 2</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</si>
  <si>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</si>
  <si>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</si>
  <si>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</si>
  <si>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</si>
  <si>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</si>
  <si>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</si>
  <si>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 xml:space="preserve">FERC Participation Incentive Rate of Return </t>
  </si>
  <si>
    <t>Return on Capital: Rate Base times Cost of Capital Rate</t>
  </si>
  <si>
    <t xml:space="preserve">Remove Return on Abandoned Plant from FERC Participation Incentive </t>
  </si>
  <si>
    <t>Total Return on Capital</t>
  </si>
  <si>
    <t>3) Other Taxes</t>
  </si>
  <si>
    <t>Property Taxes</t>
  </si>
  <si>
    <t>Sub-Total Local Taxes</t>
  </si>
  <si>
    <t>FF1 263, L.13, col i</t>
  </si>
  <si>
    <t>Property Tax Allocation Factor</t>
  </si>
  <si>
    <t>24-Allocators, L. 141</t>
  </si>
  <si>
    <t>Total Transmission Property Taxes</t>
  </si>
  <si>
    <t>Payroll Tax Expense</t>
  </si>
  <si>
    <t>Fed Ins Cont Amt -- Current</t>
  </si>
  <si>
    <t>FF1 263, L. 1, col L</t>
  </si>
  <si>
    <t>CA SUI Current</t>
  </si>
  <si>
    <t>FF1 263, L. 7, col L</t>
  </si>
  <si>
    <t>Fed Unemp Tax Act- Current</t>
  </si>
  <si>
    <t>FF1 263, L. 3, col L</t>
  </si>
  <si>
    <t>Business Taxes</t>
  </si>
  <si>
    <t>WP_1-BaseTRR_Pyrl_Tax 2, L. 105</t>
  </si>
  <si>
    <t>Portion of FF1, 263.14L Total</t>
  </si>
  <si>
    <t xml:space="preserve">SF Pyrl Exp Tx </t>
  </si>
  <si>
    <t>WP_1-BaseTRR_Pyrl_Tax 2, L. 106</t>
  </si>
  <si>
    <t>Total Electric Payroll Tax Expense</t>
  </si>
  <si>
    <t>Network Transmission Labor as a % of Total Electric Labor Allocation Factor</t>
  </si>
  <si>
    <t>24-Allocators, L. 112</t>
  </si>
  <si>
    <t>Total Transmission Payroll Tax Expense</t>
  </si>
  <si>
    <t>Total Other Taxes</t>
  </si>
  <si>
    <t>4) Income Taxes</t>
  </si>
  <si>
    <t>Federal Income Tax Rate</t>
  </si>
  <si>
    <t>22-TaxRates, L. 100</t>
  </si>
  <si>
    <t>State Income Tax Rate</t>
  </si>
  <si>
    <t>22-TaxRates, L. 101</t>
  </si>
  <si>
    <t>Composite Tax Rate</t>
  </si>
  <si>
    <t>Calculation of Flowthrough and Permanent Tax Deductions (FPD):</t>
  </si>
  <si>
    <t>Book Depreciation of AFUDC Equity Book Basis</t>
  </si>
  <si>
    <t>WP_1-BaseTRR_Tax 1, L. 100</t>
  </si>
  <si>
    <t>Flowthrough and Permanent Tax Deductions</t>
  </si>
  <si>
    <t>Calculation of Credits and Other (CO):</t>
  </si>
  <si>
    <r>
      <t xml:space="preserve">Amortization of (Excess) </t>
    </r>
    <r>
      <rPr>
        <sz val="11"/>
        <rFont val="Calibri"/>
        <family val="2"/>
      </rPr>
      <t>Deficient</t>
    </r>
    <r>
      <rPr>
        <sz val="11"/>
        <rFont val="Calibri"/>
        <family val="2"/>
        <scheme val="minor"/>
      </rPr>
      <t xml:space="preserve"> Deferred Tax Liability</t>
    </r>
  </si>
  <si>
    <t>WP_1-BaseTRR_Tax 3, L. 100</t>
  </si>
  <si>
    <t>Note 3</t>
  </si>
  <si>
    <t>Federal and State Tax Credits</t>
  </si>
  <si>
    <t>WP_1-BaseTRR_Tax 2, L. 103</t>
  </si>
  <si>
    <t>Credits and Other</t>
  </si>
  <si>
    <t>Income Taxes:</t>
  </si>
  <si>
    <t>Income Taxes = [((RB * ER) + FPD - RAP) * (CTR/(1 – CTR))]  + CO/(1 – CTR)]</t>
  </si>
  <si>
    <t>Where:</t>
  </si>
  <si>
    <t>RB = Rate Base</t>
  </si>
  <si>
    <t>ER = Equity Rate of Return Including Common and Preferred Stock</t>
  </si>
  <si>
    <t>CTR = Composite Tax Rate</t>
  </si>
  <si>
    <t>CO = Credits and Other</t>
  </si>
  <si>
    <t>FPD = Flowback and Permanent Tax Deductions</t>
  </si>
  <si>
    <t>RAP = Return on Abandoned Plant From CAISO Participation Incentive</t>
  </si>
  <si>
    <t>5) Prior Year Transmission Revenue Requirement</t>
  </si>
  <si>
    <t>Prior Year TRR Components</t>
  </si>
  <si>
    <t>O&amp;M Expense</t>
  </si>
  <si>
    <t>18-OandM, L. 100, col 15</t>
  </si>
  <si>
    <t>A&amp;G Expense</t>
  </si>
  <si>
    <t>19-AandG, L. 221</t>
  </si>
  <si>
    <t>Network Upgrade Interest Expense</t>
  </si>
  <si>
    <t>15-NUC, L. 106</t>
  </si>
  <si>
    <t>Depreciation Expense (incl. Common + General + Intangible)</t>
  </si>
  <si>
    <t>11-Depreciation, L. 102, col 13 + L. 500, col 1</t>
  </si>
  <si>
    <t>Depreciation Expense - Rate Adjustment</t>
  </si>
  <si>
    <t>11-Depreciation, L. 902</t>
  </si>
  <si>
    <t>Abandoned Plant Amortization Expense</t>
  </si>
  <si>
    <t>8-AbandonedPlant, L. 102, col 7</t>
  </si>
  <si>
    <t>Return on Capital</t>
  </si>
  <si>
    <t>Other Taxes</t>
  </si>
  <si>
    <t>Income Taxes</t>
  </si>
  <si>
    <t>20-RevenueCredits, L. 100, col 7</t>
  </si>
  <si>
    <t>Negative Value</t>
  </si>
  <si>
    <t>NP&amp;S Credit</t>
  </si>
  <si>
    <t>21-NPandS, L. 403</t>
  </si>
  <si>
    <t>Amortization and Regulatory Debits/Credits</t>
  </si>
  <si>
    <t>17-RegAssets-1, L. 102</t>
  </si>
  <si>
    <t>Note 4</t>
  </si>
  <si>
    <t>Total without FF, Uncollectibles, and South Georgia</t>
  </si>
  <si>
    <t>SFGR Tax and Franchise Fees</t>
  </si>
  <si>
    <t>Franchise Fees Factor</t>
  </si>
  <si>
    <t>25-RFandUFactors, L. 400</t>
  </si>
  <si>
    <t>SFGR Tax Factor</t>
  </si>
  <si>
    <t>25-RFandUFactors, L. 401</t>
  </si>
  <si>
    <t>Total SFGR Tax and Franchise Fees</t>
  </si>
  <si>
    <t>Prior Year TRR</t>
  </si>
  <si>
    <t>6) Wholesale Base Transmission Revenue Requirement</t>
  </si>
  <si>
    <t>ITRR</t>
  </si>
  <si>
    <t>Wholesale Base Transmission Revenue Requirement</t>
  </si>
  <si>
    <t>7) Base Transmission Revenue Requirement</t>
  </si>
  <si>
    <t>Uncollectibles Factor</t>
  </si>
  <si>
    <t>25-RFandUFactors, L. 402</t>
  </si>
  <si>
    <t>Uncollectibles Expense</t>
  </si>
  <si>
    <t>Retail (South Georgia) Tax Adjustment</t>
  </si>
  <si>
    <t>23-RetailSGTax, L. 305, col 3</t>
  </si>
  <si>
    <t>Retail Base Transmission Revenue Requirement</t>
  </si>
  <si>
    <t>Notes:</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</si>
  <si>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</si>
  <si>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</si>
  <si>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3) The 'Amortization of Excess Deferred Tax Liability' amount was included in the TO19 Settlement filed on September 21, 2018 and approved by the Commission on December 20, 2018 in 165 FERC ¶ 61,244 (2018). The amount shown equals protected and unprotected amortization.  The unprotected amortization of (excess)/deficient deferred federal income tax may be reduced from $14.695 million to $2.064 million pursuant to Section 2.2.1.2 of the TO19 Settlement Agreement.</t>
  </si>
  <si>
    <t>4) For FERC authorized Other Regulatory Assets in Section 1 of Schedule 17-RegAssets1, which are not otherwise recovered in O&amp;M or A&amp;G expenses.</t>
  </si>
  <si>
    <t>1) Annual Fixed Charge Rate ("AFCR") Calculation</t>
  </si>
  <si>
    <t>AFCR = Prior Year TRR / Net Plant</t>
  </si>
  <si>
    <t>Determination of Net Plant:</t>
  </si>
  <si>
    <t>Transmission Plant:</t>
  </si>
  <si>
    <t>Transmission Dep. Reserve:</t>
  </si>
  <si>
    <t>Net Plant:</t>
  </si>
  <si>
    <t>Determination of AFCR:</t>
  </si>
  <si>
    <t>Prior Year TRR wo RF&amp;U:</t>
  </si>
  <si>
    <t>Less: Depreciation Expense</t>
  </si>
  <si>
    <t>Less: Impact of ADIT</t>
  </si>
  <si>
    <t>(1-BaseTRR, L. 111c x 1-BaseTRR, L. 220) x (1+1-BaseTRR, L. 402/(1 - 1-BaseTRR, L. 402)) + (1-BaseTRR, L. 111c x 1-BaseTRR, L 216)</t>
  </si>
  <si>
    <t>AFCR Applicable TRR</t>
  </si>
  <si>
    <t>AFCR:</t>
  </si>
  <si>
    <t>2) Calculation of ITRR</t>
  </si>
  <si>
    <t>Forecast Plant Additions:</t>
  </si>
  <si>
    <t>9-PlantAdditions, L. 124, col 6</t>
  </si>
  <si>
    <t>AFCR prior to Deprec &amp; ADIT Impacts</t>
  </si>
  <si>
    <t>Add: Depreciation Expense</t>
  </si>
  <si>
    <t>Add: Impact of ADIT</t>
  </si>
  <si>
    <t>ITRR without RF&amp;U:</t>
  </si>
  <si>
    <t>Incremental Forecast Period TRR:</t>
  </si>
  <si>
    <t>7-PlantInService, L. 113 col 13</t>
  </si>
  <si>
    <t>13-Month Avg</t>
  </si>
  <si>
    <t>7-PlantInService, L. 702, col 1</t>
  </si>
  <si>
    <t>BOY EOY Avg</t>
  </si>
  <si>
    <t>8-AbandonedPlant, L. 102, col 12</t>
  </si>
  <si>
    <t>13-WorkCap, L. 113, col 2</t>
  </si>
  <si>
    <t>13-WorkCap, L. 215, col 5</t>
  </si>
  <si>
    <t>10-AccDep, L. 113, col 13</t>
  </si>
  <si>
    <t>Negative 13-Month Avg</t>
  </si>
  <si>
    <t>10-AccDep, L. 702, col 1</t>
  </si>
  <si>
    <t>Negative BOY EOY Avg</t>
  </si>
  <si>
    <t>14-ADIT, L. 108, col 2</t>
  </si>
  <si>
    <t>Weighted Average</t>
  </si>
  <si>
    <t>17-RegAssets-1, L. 203</t>
  </si>
  <si>
    <t>Customer Advances</t>
  </si>
  <si>
    <t>15-NUC, L. 109</t>
  </si>
  <si>
    <t>16-UnfundedReserves, L. 100, col 2</t>
  </si>
  <si>
    <t>17-RegAssets, L. 101</t>
  </si>
  <si>
    <t>Instructions:</t>
  </si>
  <si>
    <t xml:space="preserve">1) Input the ROE for the Prior Year on Line 200. </t>
  </si>
  <si>
    <t>Prior Year Return on Common Equity</t>
  </si>
  <si>
    <t>1-BaseTRR, L. 213</t>
  </si>
  <si>
    <t>ROE from Schedule 1; if there are mid-year changes, a workpaper will be provided</t>
  </si>
  <si>
    <t>(5-CostofCap-3, L. 113 / [(5-CostofCap-2, L. 100 - L. 101 + L. 102 + L. 103 + L. 104) - (sum L. 105 to L. 107)]) * 1-BaseTRR, L. 208</t>
  </si>
  <si>
    <t>3) Income Taxes</t>
  </si>
  <si>
    <t>1) Input the Prior Year Federal and State Income Tax Rates if they are different from the Rate Year Tax Rates.</t>
  </si>
  <si>
    <t>22-TaxRates, L. 200</t>
  </si>
  <si>
    <t>22-TaxRates, L. 201</t>
  </si>
  <si>
    <t>Income Taxes = [((RB * ER) + FPD - RAP) * (CTR/(1 – CTR))]  + CO/(1 – CTR]</t>
  </si>
  <si>
    <t>RAP = Return on Abandoned Plant From FERC Participation Incentive</t>
  </si>
  <si>
    <t>4) True-up Transmission Revenue Requirement</t>
  </si>
  <si>
    <t>Total with SFGR Tax and Franchise Fees</t>
  </si>
  <si>
    <t>ATA that was included in the Prior Year's Rates</t>
  </si>
  <si>
    <t>RY2021 TO Model, Schedule 1-BaseTRR, L. 602</t>
  </si>
  <si>
    <t>Total with ATA</t>
  </si>
  <si>
    <t>Uncollectibles and Retail (South Georgia) Tax Adjustment</t>
  </si>
  <si>
    <t>23-RetailSGTax, L. 305, col 4</t>
  </si>
  <si>
    <t>1) Retail Revenues</t>
  </si>
  <si>
    <t>1) Populate the table with retail revenue data from the Prior Year.  Only populate if the Model was in effect in the Prior Year.</t>
  </si>
  <si>
    <t>Col 1</t>
  </si>
  <si>
    <t>Col 2</t>
  </si>
  <si>
    <t>Col 3</t>
  </si>
  <si>
    <t>Col 4</t>
  </si>
  <si>
    <t>Col 5</t>
  </si>
  <si>
    <t>Col 6</t>
  </si>
  <si>
    <t>Col 7</t>
  </si>
  <si>
    <t>Col 8</t>
  </si>
  <si>
    <t>Sum of Col 1 to 7</t>
  </si>
  <si>
    <t>Retail</t>
  </si>
  <si>
    <t>Other</t>
  </si>
  <si>
    <t>Public Purpose</t>
  </si>
  <si>
    <t>Nuclear</t>
  </si>
  <si>
    <t>Month</t>
  </si>
  <si>
    <t>Transmission</t>
  </si>
  <si>
    <t>Distribution</t>
  </si>
  <si>
    <t>Generation</t>
  </si>
  <si>
    <t>Programs</t>
  </si>
  <si>
    <t>Decommissioning</t>
  </si>
  <si>
    <t>Total Revenue</t>
  </si>
  <si>
    <t>Jan</t>
  </si>
  <si>
    <t>Feb</t>
  </si>
  <si>
    <t>Mar</t>
  </si>
  <si>
    <t>Apr</t>
  </si>
  <si>
    <t>May</t>
  </si>
  <si>
    <t>Jun</t>
  </si>
  <si>
    <t>Jul</t>
  </si>
  <si>
    <t>Aug</t>
  </si>
  <si>
    <t>Sep</t>
  </si>
  <si>
    <t>Oct</t>
  </si>
  <si>
    <t>Nov</t>
  </si>
  <si>
    <t>Dec</t>
  </si>
  <si>
    <t>Totals:</t>
  </si>
  <si>
    <t>Total Sales: FF1 300, L. 10, col b</t>
  </si>
  <si>
    <t>2) Comparison of Monthly True-Up TRR to Monthly Retail Transmission Revenue</t>
  </si>
  <si>
    <t>2) Input the monthly FERC interest rates (18 C.F.R. §35.19a) for the corresponding Month and Year into Col 6.</t>
  </si>
  <si>
    <t>True Up TRR:</t>
  </si>
  <si>
    <t>Source:</t>
  </si>
  <si>
    <t>Col 9</t>
  </si>
  <si>
    <t>Note 5</t>
  </si>
  <si>
    <t>Note 6</t>
  </si>
  <si>
    <t>Note 7</t>
  </si>
  <si>
    <t>Note 8</t>
  </si>
  <si>
    <t>Cumulative Excess</t>
  </si>
  <si>
    <t>or Shortfall in</t>
  </si>
  <si>
    <t>Monthly</t>
  </si>
  <si>
    <t xml:space="preserve">Monthly Excess or </t>
  </si>
  <si>
    <t>Retail Revenue</t>
  </si>
  <si>
    <t>Accumulated</t>
  </si>
  <si>
    <t>Year</t>
  </si>
  <si>
    <t>True-up TRR</t>
  </si>
  <si>
    <t>Revenues</t>
  </si>
  <si>
    <t>Shortfall in Revenue</t>
  </si>
  <si>
    <t>without Interest</t>
  </si>
  <si>
    <t>Interest Rate</t>
  </si>
  <si>
    <t>Interest</t>
  </si>
  <si>
    <t>with Interest</t>
  </si>
  <si>
    <t>December</t>
  </si>
  <si>
    <t>N/A</t>
  </si>
  <si>
    <t>January</t>
  </si>
  <si>
    <t>February</t>
  </si>
  <si>
    <t>March</t>
  </si>
  <si>
    <t>April</t>
  </si>
  <si>
    <t xml:space="preserve">June </t>
  </si>
  <si>
    <t>July</t>
  </si>
  <si>
    <t>August</t>
  </si>
  <si>
    <t>September</t>
  </si>
  <si>
    <t>October</t>
  </si>
  <si>
    <t>November</t>
  </si>
  <si>
    <t>3) Amortization of the Balance of the Cumulative Excess or Shortfall in Revenue with Interest Over the Rate Year</t>
  </si>
  <si>
    <r>
      <rPr>
        <b/>
        <u/>
        <sz val="11"/>
        <color theme="1"/>
        <rFont val="Calibri"/>
        <family val="2"/>
        <scheme val="minor"/>
      </rPr>
      <t>Instructions:</t>
    </r>
    <r>
      <rPr>
        <u/>
        <sz val="11"/>
        <color theme="1"/>
        <rFont val="Calibri"/>
        <family val="2"/>
        <scheme val="minor"/>
      </rPr>
      <t xml:space="preserve"> </t>
    </r>
  </si>
  <si>
    <t>Note 9</t>
  </si>
  <si>
    <t>Note 10</t>
  </si>
  <si>
    <t>Note 11</t>
  </si>
  <si>
    <t>Beginning</t>
  </si>
  <si>
    <t>Ending Balance</t>
  </si>
  <si>
    <t>Interest for</t>
  </si>
  <si>
    <t>Balance</t>
  </si>
  <si>
    <t>Amortization</t>
  </si>
  <si>
    <t>Current Month</t>
  </si>
  <si>
    <t>Total Amortization:</t>
  </si>
  <si>
    <t>4) Annual True-up Adjustment</t>
  </si>
  <si>
    <t>ATA</t>
  </si>
  <si>
    <t>5)  Partial Year True-up and TRR Allocation Factors</t>
  </si>
  <si>
    <t>Partial Year True-up?</t>
  </si>
  <si>
    <t>No</t>
  </si>
  <si>
    <t>Note 12</t>
  </si>
  <si>
    <t>Note 13</t>
  </si>
  <si>
    <t xml:space="preserve">PG&amp;E Gross Load </t>
  </si>
  <si>
    <t>Formula Rate</t>
  </si>
  <si>
    <t>Prior Year</t>
  </si>
  <si>
    <t>Allocation Factor</t>
  </si>
  <si>
    <t>(MWh)</t>
  </si>
  <si>
    <t>Effective?</t>
  </si>
  <si>
    <t>Total</t>
  </si>
  <si>
    <t>6) Final True-up Adjustment</t>
  </si>
  <si>
    <t>1) PG&amp;E shall calculate the Final True-up Adjustment for the period spanning the day after the period covered by the most recent ATA that was included in the Base TRR to the expiration of the Formula Rate.</t>
  </si>
  <si>
    <t>2) The Final True Up Adjustment shall be calculated using the same methodology as above, with interest through the date of the termination of the Formula Rate.</t>
  </si>
  <si>
    <t xml:space="preserve">1) Data for cols 1 through 7 are Prior Year revenues from PG&amp;E's Revenue Reporting System, Report R646BRESU.  Col 1 only includes Base Retail Transmission Revenues.  Any other retail transmission revenues are included in the "Other" Category. </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</si>
  <si>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</si>
  <si>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5) Corrections or Adjustments applied to Line 201 from previously-filed Annual Updates are outlined in Section 4.6.5 of the Protocols. </t>
  </si>
  <si>
    <t>6) The monthly FERC interest rate as stated in Instruction 2.</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</si>
  <si>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</si>
  <si>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</si>
  <si>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12) To calculate the monthly allocation factor, take the corresponding month's Gross Load in Col 3 and divide by the total Gross Load in L. 513, Col 3.</t>
  </si>
  <si>
    <t>13) Data is PG&amp;E's monthly Gross Load as measured by the CASIO monthly settlements of PG&amp;E's Gross Load.</t>
  </si>
  <si>
    <t>1) Return and Capitalization Calculations</t>
  </si>
  <si>
    <t>Calculation of Long Term Debt Amount</t>
  </si>
  <si>
    <t>Bonds -- Account 221</t>
  </si>
  <si>
    <t>5-CostofCap-2, L. 100, col 14</t>
  </si>
  <si>
    <t>End of Year</t>
  </si>
  <si>
    <t>Reacquired Bonds -- Account 222</t>
  </si>
  <si>
    <t>5-CostofCap-2, L. 101, col 14</t>
  </si>
  <si>
    <t>End of Year; enter negative</t>
  </si>
  <si>
    <t>Long Term Debt Advances from Associated Companies -- Account 223</t>
  </si>
  <si>
    <t>5-CostofCap-2, L. 102, col 14</t>
  </si>
  <si>
    <t>Other Long Term Debt -- Account 224</t>
  </si>
  <si>
    <t>5-CostofCap-2, L. 103, col 14</t>
  </si>
  <si>
    <t>Unamortized Premium on Long Term Debt -- Account 225</t>
  </si>
  <si>
    <t>5-CostofCap-2, L. 104, col 14</t>
  </si>
  <si>
    <t>Unamortized Discount on Long Term Debt -- Account 226</t>
  </si>
  <si>
    <t>5-CostofCap-2, L. 105, col 14</t>
  </si>
  <si>
    <t>Unamortized Debt Expenses -- Account 181</t>
  </si>
  <si>
    <t>5-CostofCap-2, L. 106, col 14</t>
  </si>
  <si>
    <t>Unamortized Loss on Reacquired Debt -- Account 189</t>
  </si>
  <si>
    <t>5-CostofCap-2, L. 107, col 14</t>
  </si>
  <si>
    <t>1-BaseTRR, L. 402</t>
  </si>
  <si>
    <t xml:space="preserve">After tax amount of Unamortized Loss on Reacquired Debt </t>
  </si>
  <si>
    <t>Line 107 * (1- Line 108)</t>
  </si>
  <si>
    <t>Sum of Lines 100 to 106 and Line 109</t>
  </si>
  <si>
    <t>Calculation of Preferred Stock Amount</t>
  </si>
  <si>
    <t>Preferred Stock Amount -- Account 204</t>
  </si>
  <si>
    <t>5-CostofCap-2, L. 108, col 14</t>
  </si>
  <si>
    <t>Unamortized Issuance Costs</t>
  </si>
  <si>
    <t>5-CostofCap-2, L. 109, col 14</t>
  </si>
  <si>
    <t>Net Gain (Loss) From Purchase and Tender Offers</t>
  </si>
  <si>
    <t>5-CostofCap-2, L. 110, col 14</t>
  </si>
  <si>
    <t>Sum of Lines 111 to 113</t>
  </si>
  <si>
    <t>Calculation of Common Stock Equity Amount</t>
  </si>
  <si>
    <t>Total Proprietary Capital</t>
  </si>
  <si>
    <t>5-CostofCap-2, L. 111, col 14</t>
  </si>
  <si>
    <t>Less Preferred Stock Amount</t>
  </si>
  <si>
    <t>Line 114</t>
  </si>
  <si>
    <t>Same as Line 114, but negative</t>
  </si>
  <si>
    <t>Minus Net Gain (Loss) From Purchase and Tender Offers</t>
  </si>
  <si>
    <t>Line 113</t>
  </si>
  <si>
    <t>Same as Line 113, but reverse sign</t>
  </si>
  <si>
    <t>Less Unappropriated Undist. Sub. Earnings -- Acct. 216.1</t>
  </si>
  <si>
    <t>5-CostofCap-2, L. 112, col 14</t>
  </si>
  <si>
    <t>End of Year, but reverse sign</t>
  </si>
  <si>
    <t>Less Accumulated Other Comprehensive Loss -- Account 219</t>
  </si>
  <si>
    <t>5-CostofCap-2, L. 113, col 14</t>
  </si>
  <si>
    <t>Sum of Lines 115 to 119</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</si>
  <si>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</si>
  <si>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</si>
  <si>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</si>
  <si>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</si>
  <si>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</si>
  <si>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</si>
  <si>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</si>
  <si>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</si>
  <si>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</si>
  <si>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</si>
  <si>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</si>
  <si>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</si>
  <si>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</si>
  <si>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</si>
  <si>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Less Unamortized Discount on Long Term Debt -- Account 226 (Note 6): </t>
  </si>
  <si>
    <t xml:space="preserve">Unamortized Debt Expenses -- Account 181 (Note 7): </t>
  </si>
  <si>
    <t xml:space="preserve">Unamortized Loss on Reacquired Debt -- Account 189 (Note 8): </t>
  </si>
  <si>
    <t>Preferred Stock Amount -- Account 204 (Note 9):</t>
  </si>
  <si>
    <t xml:space="preserve">Unamortized Preferred Stock Issuance and Expense Costs (Note 10): </t>
  </si>
  <si>
    <t>Net Gain (Loss) From Purchase and Tender Offers on Preferred Stock (Note 11):</t>
  </si>
  <si>
    <t>Total Proprietary Capital  (Note 12)</t>
  </si>
  <si>
    <t xml:space="preserve">Unappropriated Undist. Sub. Earnings -- Acct. 216.1 (Note 13): </t>
  </si>
  <si>
    <t xml:space="preserve">Accumulated Other Comprehensive Loss -- Account 219 (Note 14): </t>
  </si>
  <si>
    <t>1) Amount in Column 2 from FF1 112, L. 18, col d, amount in Column 14 from FF1 112, L. 18, col c, amounts in columns 3-13 from PG&amp;E internal records (G/L account Cumulative Balance by period for SAP account 9221000, Company Code PGE1)</t>
  </si>
  <si>
    <t>2) Amount in Column 2 from FF1 112, L. 19, col d, amount in Column 14 from FF1 112, L. 19, col c, amounts in columns 3-13 from PG&amp;E internal records (G/L account Cumulative Balance by period for SAP account 9222000, Company Code PGE1)</t>
  </si>
  <si>
    <t>3) Amount in Column 2 from FF1 112, L. 20, col d, amount in Column 14 from FF1 112, L. 20, col c, amounts in columns 3-13 from PG&amp;E internal records (G/L account Cumulative Balance by period for SAP account 9223000, Company Code PGE1)</t>
  </si>
  <si>
    <t>4) Amount in Column 2 from FF1 112, L. 21, col d, amount in Column 14 from FF1 112, L. 21, col c, amounts in columns 3-13 from PG&amp;E internal records (G/L account Cumulative Balance by period for SAP account 9224000, Company Code PGE1)</t>
  </si>
  <si>
    <t>5) Amount in Column 2 from FF1 112, L. 22, col d, amount in Column 14 from FF1 112, L. 22, col c, amounts in columns 3-13 from PG&amp;E internal records (G/L account Cumulative Balance by period for SAP account 9225000, Company Code PGE1)</t>
  </si>
  <si>
    <t>6) Amount in Column 2 from FF1 112, L. 23, col d, amount in Column 14 from FF1 112, L. 23, col c, amounts in columns 3-13 from PG&amp;E internal records (G/L account Cumulative Balance by period for SAP account 9226000, Company Code PGE1)</t>
  </si>
  <si>
    <t>7) Amount in Column 2 from FF1 111, L. 69, col d, amount in Column 14 from FF1 111, L. 69, col c, amounts in columns 3-13 from PG&amp;E internal records (G/L account Cumulative Balance by period for SAP accounts 9181000, 9181001, Company Code PGE1)</t>
  </si>
  <si>
    <t>8) Amount in Column 2 from FF1 111, L. 81, col d, amount in Column 14 from FF1 111, L. 81, col c, amounts in columns 3-13 from PG&amp;E internal records (G/L account Cumulative Balance by period for SAP account 9189000, Company Code PGE1)</t>
  </si>
  <si>
    <t>9) Amounts in Columns 2-14 are from PG&amp;E internal records (G/L account Cumulative Balance by period for SAP accounts 9204000, 9204020, Company Code PGE1)</t>
  </si>
  <si>
    <t>10) Amounts in Columns 2-14 are from PG&amp;E internal records (equal to the negative sum of G/L account for SAP accounts 2070020, 2130020, and 2140020; Company Code PGE1)</t>
  </si>
  <si>
    <t>11) Amounts in Columns 2-14 are from PG&amp;E internal records (because of non-use, there is no SAP account)</t>
  </si>
  <si>
    <t xml:space="preserve">12) Amount in Column 2 from FF1 112, L. 16, col d, amount in Column 14 from FF1 112, L. 16, col c, amounts in columns 3-13 from PG&amp;E internal records (G/L account Cumulative Balance by period for SAP accounts 2010000, 2040000, 2040001, 2070000, 2070020, 2110010, 2110015, 2130020, </t>
  </si>
  <si>
    <t>2140001, 2440020, Company Code PGE1)</t>
  </si>
  <si>
    <t>13) Amount in Column 2 from FF1 112, L. 12, col d, amount in Column 14 from FF1 112, L. 12, col c, amounts in columns 3-13 from PG&amp;E internal records (G/L account Cumulative Balance by period for SAP account 2161001, Company Code PGE1)</t>
  </si>
  <si>
    <t>14) Amount in Column 2 from FF1 112, L. 15, col d, amount in Column 14 from FF1 112, L. 15, col c, amounts in columns 3-13 from PG&amp;E internal records (G/L account Cumulative Balance by period for SAP account 2190001, Company Code PGE1)</t>
  </si>
  <si>
    <t>1) Calculation of Cost of Long Term Debt</t>
  </si>
  <si>
    <t>Long-Term Debt Component - Denominator:</t>
  </si>
  <si>
    <t>(Plus) Bonds (Acct. 221)</t>
  </si>
  <si>
    <t>FF1 112, L. 18, col c</t>
  </si>
  <si>
    <t>(Less) Reacquired Bonds (Acct. 222)</t>
  </si>
  <si>
    <t>FF1 112, L. 19, col c</t>
  </si>
  <si>
    <t>(Plus) Other Long-Term Debt (Acct. 224)</t>
  </si>
  <si>
    <t>FF1 112, L. 21, col c</t>
  </si>
  <si>
    <t xml:space="preserve">(Plus) Unamortized Premium on Long-Term Debt (Acct. 225) </t>
  </si>
  <si>
    <t>FF1 112, L. 22, col c</t>
  </si>
  <si>
    <t xml:space="preserve">(Less) Unamortized Discount on Long-Term Debt-Debit (Acct. 226) </t>
  </si>
  <si>
    <t>FF1 112, L. 23, col c</t>
  </si>
  <si>
    <t>(Less) Unamortized Debt Expenses (Acct. 181)</t>
  </si>
  <si>
    <t>FF1 111, L. 69, col c</t>
  </si>
  <si>
    <t>(Less) Unamortized Loss on Reacquired Debt (Acct. 189)</t>
  </si>
  <si>
    <t>FF1 111, L. 81, col c</t>
  </si>
  <si>
    <t>LTD = Long Term Debt</t>
  </si>
  <si>
    <t>Long-Term Debt Component - Numerator:</t>
  </si>
  <si>
    <t xml:space="preserve">(Plus) Interest on Long-Term Debt (Acct. 427) </t>
  </si>
  <si>
    <t>FF1 117, L. 62, col c</t>
  </si>
  <si>
    <t>(Plus) Amort. of Debt Disc. and Expense (Acct. 428)</t>
  </si>
  <si>
    <t>FF1 117, L. 63, col c</t>
  </si>
  <si>
    <t>(Plus) Amortization of Loss on Reacquired Debt (Acct. 428.1)</t>
  </si>
  <si>
    <t>FF1 117, L. 64, col c</t>
  </si>
  <si>
    <t>(Less) Amort. of Premium on Debt-Credit (Acct. 429)</t>
  </si>
  <si>
    <t>FF1 117, L. 65, col c</t>
  </si>
  <si>
    <t xml:space="preserve">(Less) Amortization of Gain on Reacquired Debt-Credit (Acct. 429.1) </t>
  </si>
  <si>
    <t>FF1 117, L. 66, col c</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</si>
  <si>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</si>
  <si>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</si>
  <si>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</si>
  <si>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</si>
  <si>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</si>
  <si>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</si>
  <si>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</si>
  <si>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</si>
  <si>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</si>
  <si>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</si>
  <si>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</si>
  <si>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</si>
  <si>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</si>
  <si>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</si>
  <si>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</si>
  <si>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</si>
  <si>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</si>
  <si>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</si>
  <si>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</si>
  <si>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</si>
  <si>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</si>
  <si>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</si>
  <si>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</si>
  <si>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Face Value/ Amount Outstanding</t>
  </si>
  <si>
    <t>Total Premium/
Discount Cost</t>
  </si>
  <si>
    <t>Shares Outstanding</t>
  </si>
  <si>
    <t>Net Proceeds at Issuance</t>
  </si>
  <si>
    <t>Annual
Dividend</t>
  </si>
  <si>
    <t>A</t>
  </si>
  <si>
    <t>B</t>
  </si>
  <si>
    <t>C</t>
  </si>
  <si>
    <t>D</t>
  </si>
  <si>
    <t>E</t>
  </si>
  <si>
    <t>G</t>
  </si>
  <si>
    <t>H</t>
  </si>
  <si>
    <t>I</t>
  </si>
  <si>
    <t>Total Amount Outstanding (sum of above):</t>
  </si>
  <si>
    <t>3) Reacquired Preferred Stock Information</t>
  </si>
  <si>
    <t>Call Date</t>
  </si>
  <si>
    <t>Total Issuance Cost</t>
  </si>
  <si>
    <t>Unamortized Issuance Cost</t>
  </si>
  <si>
    <t>Amortization Period</t>
  </si>
  <si>
    <t xml:space="preserve">Issuance Amortization Cost </t>
  </si>
  <si>
    <t>Notes and Sources</t>
  </si>
  <si>
    <t>---</t>
  </si>
  <si>
    <t>Total Annual Cost (sum of above):</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</si>
  <si>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</si>
  <si>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</si>
  <si>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2) Annual dividend calculation consistent with 18 CFR 35.13 (22) (iii)</t>
  </si>
  <si>
    <t>Transmission Plant in FERC Form 1 for Prior Year:</t>
  </si>
  <si>
    <t xml:space="preserve">Transmission Plant balances are Prior Year ending balances from PG&amp;E's FERC Form 1. </t>
  </si>
  <si>
    <t>FERC Transmission Plant represents only Network Transmission plant that is eligible for inclusion in rate base and recoverable through the TO rate case.</t>
  </si>
  <si>
    <t>CPUC Transmission Plant represents Transmission Plant not recoverable through the TO rate case.</t>
  </si>
  <si>
    <t>Col 1 + Col 3 - Col 4</t>
  </si>
  <si>
    <t>FERC Form 1</t>
  </si>
  <si>
    <t>FERC</t>
  </si>
  <si>
    <t>CPUC</t>
  </si>
  <si>
    <t>FERC Account</t>
  </si>
  <si>
    <t>Account Description</t>
  </si>
  <si>
    <t>Source for Col 1</t>
  </si>
  <si>
    <t>Adjustments</t>
  </si>
  <si>
    <t>Source for Col 4</t>
  </si>
  <si>
    <t>Land and Land Rights</t>
  </si>
  <si>
    <t xml:space="preserve">FF1 207, L. 48, col g </t>
  </si>
  <si>
    <t>7-PlantInService, L. 112, col 1 + col 2</t>
  </si>
  <si>
    <t>Structures and Improvements</t>
  </si>
  <si>
    <t xml:space="preserve">FF1 207, L. 49, col g </t>
  </si>
  <si>
    <t>7-PlantInService, L. 112, col 3 + col 4</t>
  </si>
  <si>
    <t>Station Equipment</t>
  </si>
  <si>
    <t xml:space="preserve">FF1 207, L. 50, col g </t>
  </si>
  <si>
    <t>7-PlantInService, L. 112, col 5 + col 6</t>
  </si>
  <si>
    <t>Towers and Fixtures</t>
  </si>
  <si>
    <t xml:space="preserve">FF1 207, L. 51, col g </t>
  </si>
  <si>
    <t>7-PlantInService, L. 112, col 7</t>
  </si>
  <si>
    <t>Poles and Fixtures</t>
  </si>
  <si>
    <t xml:space="preserve">FF1 207, L. 52, col g </t>
  </si>
  <si>
    <t>7-PlantInService, L. 112, col 8</t>
  </si>
  <si>
    <t>Overhead Conductors and Devices</t>
  </si>
  <si>
    <t xml:space="preserve">FF1 207, L. 53, col g </t>
  </si>
  <si>
    <t>7-PlantInService, L. 112, col 9</t>
  </si>
  <si>
    <t>Underground Conduit</t>
  </si>
  <si>
    <t xml:space="preserve">FF1 207, L. 54, col g </t>
  </si>
  <si>
    <t>7-PlantInService, L. 112, col 10</t>
  </si>
  <si>
    <t>Underground Conductor and Devices</t>
  </si>
  <si>
    <t xml:space="preserve">FF1 207, L. 55, col g </t>
  </si>
  <si>
    <t>7-PlantInService, L. 112, col 11</t>
  </si>
  <si>
    <t>Roads and Trails</t>
  </si>
  <si>
    <t xml:space="preserve">FF1 207, L. 56, col g </t>
  </si>
  <si>
    <t>7-PlantInService, L. 112, col 12</t>
  </si>
  <si>
    <t>Asset Retirement Costs for Transmission Plant</t>
  </si>
  <si>
    <t xml:space="preserve">FF1 207, L. 57, col g </t>
  </si>
  <si>
    <t>Total Transmission Plant</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</si>
  <si>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</si>
  <si>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</si>
  <si>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 xml:space="preserve">. . . </t>
  </si>
  <si>
    <t>1) Total Network Transmission Functional Plant</t>
  </si>
  <si>
    <t>Total Network Transmission Functional Plant is the total of High Voltage (Section 2) and Low Voltage (Section 3) Network Transmission Plant. The monthly balances in Lines 100 -112 are the end-of-month balances for Prior Year and December of Prior Year minus 1.</t>
  </si>
  <si>
    <t>Section 2 + 
Section 3</t>
  </si>
  <si>
    <t>Total of Col 1-12</t>
  </si>
  <si>
    <t>FERC Account:</t>
  </si>
  <si>
    <t>ETP35001</t>
  </si>
  <si>
    <t>ETP35002</t>
  </si>
  <si>
    <t>ETP35201</t>
  </si>
  <si>
    <t>ETP35202</t>
  </si>
  <si>
    <t>ETP35301</t>
  </si>
  <si>
    <t>ETP35302</t>
  </si>
  <si>
    <t>ETP35400</t>
  </si>
  <si>
    <t>ETP35500</t>
  </si>
  <si>
    <t>ETP35600</t>
  </si>
  <si>
    <t>ETP35700</t>
  </si>
  <si>
    <t>ETP35800</t>
  </si>
  <si>
    <t>ETP35900</t>
  </si>
  <si>
    <t>13-Month Average</t>
  </si>
  <si>
    <t>2) Network Transmission Functional Plant - High Voltage</t>
  </si>
  <si>
    <t xml:space="preserve">Network Transmission High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</si>
  <si>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200 - 212 are the end-of-month balances for Prior Year and December of Prior Year minus 1.</t>
  </si>
  <si>
    <t>3) Network Transmission Functional Plant - Low Voltage</t>
  </si>
  <si>
    <t xml:space="preserve">Network Transmission Low Voltage Functional Plant balances are extracted from PowerPlant, PG&amp;E's fixed asset system of record, by querying by Asset Class, FERC Account and UCC. The balances are then adjusted to include only the FERC Jurisdiction Transmission plant that is eligible </t>
  </si>
  <si>
    <t>for inclusion in rate base, and recoverable through the TO rate case (as shown in WP_7-PlantInService 1). The monthly balances in Lines 300 - 312 are the end-of-month balances for Prior Year and December of Prior Year minus 1.</t>
  </si>
  <si>
    <t>4) Direct Assigned Common, General and Intangible (CGI) Plant</t>
  </si>
  <si>
    <t>Direct Assigned Common, General and Intangible (CGI) Plant In Service balances are extracted from PowerPlant, PG&amp;E's fixed asset system of record, by querying by Asset Class, FERC Account and UCC.</t>
  </si>
  <si>
    <t>Col 2 + Col 3</t>
  </si>
  <si>
    <t>Total Direct</t>
  </si>
  <si>
    <t>Direct Assigned</t>
  </si>
  <si>
    <t>Assigned CGI</t>
  </si>
  <si>
    <t>High Voltage</t>
  </si>
  <si>
    <t>Low Voltage</t>
  </si>
  <si>
    <t>See WP_7-PlantInService 5, L. 122, col 1 and col 2 from annual update for Prior Year minus 1</t>
  </si>
  <si>
    <t>See WP_7-PlantInService 5, L. 122, col 1 and col 2</t>
  </si>
  <si>
    <t>Average</t>
  </si>
  <si>
    <t>(Line 400 + Line 401)/2</t>
  </si>
  <si>
    <t>5) Corporate Services (Gas and Electric) Residual Common, General and Intangible (CGI) Plant</t>
  </si>
  <si>
    <t>Corporate Services (Gas and Electric) Residual Common, General and Intangible (CGI) Plant is extracted from PowerPlant, PG&amp;E's fixed asset system of record, by querying by Asset Class, FERC Account and UCC.</t>
  </si>
  <si>
    <t>24-Allocators, 
L. 113</t>
  </si>
  <si>
    <t>Col 1 * Col 2</t>
  </si>
  <si>
    <t>Col 3 * 24-Allocators, L. 126</t>
  </si>
  <si>
    <t>Col 3 * 24-Allocators, L. 127</t>
  </si>
  <si>
    <t>Network</t>
  </si>
  <si>
    <t>Total PG&amp;E</t>
  </si>
  <si>
    <t>Residual CGI</t>
  </si>
  <si>
    <t>O&amp;M Labor Factor</t>
  </si>
  <si>
    <t>Corporate CGI</t>
  </si>
  <si>
    <t>See WP_7-PlantInService 5, L. 122, col 11 from annual update for Prior Year minus 1</t>
  </si>
  <si>
    <t>See WP_7-PlantInService 5, L. 122, col 11</t>
  </si>
  <si>
    <t>(Line 500 + Line 501)/2</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</si>
  <si>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</si>
  <si>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</si>
  <si>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24-Allocators, 
L. 112</t>
  </si>
  <si>
    <t>Total Electric</t>
  </si>
  <si>
    <t>See WP_7-PlantInService 5, L. 122, col 12 from annual update for Prior Year minus 1</t>
  </si>
  <si>
    <t>See WP_7-PlantInService 5, L. 122, col 12</t>
  </si>
  <si>
    <t>(Line 600 + Line 601)/2</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</si>
  <si>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</si>
  <si>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</si>
  <si>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</si>
  <si>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</si>
  <si>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</si>
  <si>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</si>
  <si>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</si>
  <si>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</si>
  <si>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Line 400 + Line 500 + Line 600</t>
  </si>
  <si>
    <t>Line 401 + Line 501 + Line 601</t>
  </si>
  <si>
    <t>(Line 700 + Line 701)/2</t>
  </si>
  <si>
    <t>1) Network Transmission Direct Assigned CGI Plant is Plant in FERC Accounts 389-399 or 301-303 that serves only Network Transmission. For Prior Year amounts by Line of Business, see WP_7-PlantInService 5, L. 122.</t>
  </si>
  <si>
    <t>2) Corporate Residual (Gas and Electric) CGI Plant is Plant in FERC Accounts 389-399 or 301-303 that serves all PG&amp;E Gas and Electric Lines of Business. For Prior Year amount, see WP_7-PlantInService 5, L. 122.</t>
  </si>
  <si>
    <t>3) Corporate Residual (Electric) CGI Plant is Plant in FERC Accounts 389-399 or 301-303 that serves PG&amp;E Electric Lines of Business only. For Prior Year amount, see WP_7-PlantInService 5, L. 122.</t>
  </si>
  <si>
    <t>PG&amp;E will include recoverable costs in this worksheet for cancelled projects approved or pending approval by the Commission for Abandoned Plant recovery.</t>
  </si>
  <si>
    <t>1) Prior Year Abandoned Plant</t>
  </si>
  <si>
    <t>(Col 6 + Col 8)/2</t>
  </si>
  <si>
    <t>Col 9 * Composite Tax Rate</t>
  </si>
  <si>
    <t>Col 8 - Col 10</t>
  </si>
  <si>
    <t>Col 9 - Col 10</t>
  </si>
  <si>
    <t>Total Project</t>
  </si>
  <si>
    <t xml:space="preserve">Recoverable </t>
  </si>
  <si>
    <t>Start of</t>
  </si>
  <si>
    <t>EOY</t>
  </si>
  <si>
    <t xml:space="preserve">Average </t>
  </si>
  <si>
    <t>EOY Balance</t>
  </si>
  <si>
    <t>Average Balance</t>
  </si>
  <si>
    <t>Authorization</t>
  </si>
  <si>
    <t>Voltage</t>
  </si>
  <si>
    <t>Costs</t>
  </si>
  <si>
    <t>Period (yrs)</t>
  </si>
  <si>
    <t>BOY Balance</t>
  </si>
  <si>
    <t>ADIT</t>
  </si>
  <si>
    <t>Net of ADIT</t>
  </si>
  <si>
    <t>Docket Number</t>
  </si>
  <si>
    <t>Status</t>
  </si>
  <si>
    <t>Total High Voltage Abandoned Plant (sum from below)</t>
  </si>
  <si>
    <t>Total Low Voltage Abandoned Plant (sum from below)</t>
  </si>
  <si>
    <t>Totals</t>
  </si>
  <si>
    <t xml:space="preserve">PG&amp;E did not amortize any Electric Transmission abandoned plant projects in 2021. </t>
  </si>
  <si>
    <t>Forecast Network Transmission Net Plant Additions are calculated using the forecast capital expenditures for Funtional Plant major work categories for the two calendar years after the Prior Year.</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</si>
  <si>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</si>
  <si>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</si>
  <si>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</si>
  <si>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</si>
  <si>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</si>
  <si>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</si>
  <si>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</si>
  <si>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</si>
  <si>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</si>
  <si>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</si>
  <si>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</si>
  <si>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</si>
  <si>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</si>
  <si>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</si>
  <si>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</si>
  <si>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</si>
  <si>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 (Sum Lines 111 to 123)/13:</t>
  </si>
  <si>
    <t>Rate Year Depr Exp (sum Jan - Dec of the Rate Year)</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</si>
  <si>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</si>
  <si>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</si>
  <si>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</si>
  <si>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For the calculation of forecast Gross Plant Additions and Cost of Removal by planning order, see workpapers WP_9-PlantAdditions 1-4.</t>
  </si>
  <si>
    <t>Prior Month 
+ Col 1</t>
  </si>
  <si>
    <t>Col 2 * 
(12-DepRates, L. 110, col 9)/12</t>
  </si>
  <si>
    <t>Prior Month 
+ Col 3 - Col 4</t>
  </si>
  <si>
    <t xml:space="preserve">Col 2 - Col 5 </t>
  </si>
  <si>
    <t xml:space="preserve">October </t>
  </si>
  <si>
    <t>13-Month Average:</t>
  </si>
  <si>
    <t>3) Low Voltage Net Plant Additions</t>
  </si>
  <si>
    <t xml:space="preserve">Low Voltage Net Plant Additions are the total of the forecasted Incremental Gross Plant less the Incremental Reserve. Incremental Gross Plant is the total of forecast Gross Plant Additions. </t>
  </si>
  <si>
    <t>1) For High and Low Voltage Gross Plant Additions see WP_9-PlantAdditions 5, L. 149-172.</t>
  </si>
  <si>
    <t>2) For High and Low Voltage Gross Plant Cost of Removal see WP_9-PlantAdditions 6, L. 149-172.</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</si>
  <si>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</si>
  <si>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</si>
  <si>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The monthly balances in Lines 100 -112 are the end-of-month balances for Prior Year and December of Prior Year - 1.</t>
  </si>
  <si>
    <t>2) Accumulated Depreciation for Network Transmission Functional Plant - High Voltage</t>
  </si>
  <si>
    <t>Accumulated Depreciation balances for Network Transmission High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</si>
  <si>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200 - 212 are the end-of-month balances for Prior Year and December of Prior Year minus 1.</t>
  </si>
  <si>
    <t>3) Accumulated Depreciation for Network Transmission Functional Plant - Low Voltage</t>
  </si>
  <si>
    <t>Accumulated Depreciation balances for Network Transmission Low Voltage Functional Plant are extracted from PowerPlant, PG&amp;E's fixed asset system of record, by querying by Asset Class, FERC Account and UCC. The balances are then adjusted to include only the amounts related to</t>
  </si>
  <si>
    <t>FERC Jurisdiction Transmission Plant that are eligible for inclusion in rate base, and recoverable through the TO rate case. The monthly balances in Lines 300 - 312 are the end-of-month balances for Prior Year and December of Prior Year minus 1.</t>
  </si>
  <si>
    <t>4) Accumulated Depreciation for Direct Assigned Common, General and Intangible (CGI) Plant</t>
  </si>
  <si>
    <t>Accumulated Depreciation balances for Direct Assigned CGI Plant are extracted from PowerPlant, PG&amp;E's fixed asset system of record, by querying by Asset Class, FERC Account and UCC.</t>
  </si>
  <si>
    <t>Total CGI</t>
  </si>
  <si>
    <t>See WP_10-AccDep 4, L. 122, Col 1 and Col 2 from annual update for Prior Year minus 1</t>
  </si>
  <si>
    <t>See WP_10-AccDep 4, L. 122, Col 1 and Col 2</t>
  </si>
  <si>
    <t>5) Accumulated Depreciation for Corporate Services (Gas and Electric) Residual Common, General and Intangible (CGI) Plant</t>
  </si>
  <si>
    <t xml:space="preserve">Accumulated Depreciation balances for Corporate Services (Gas and Electric) Residual CGI Plant are extracted from PowerPlant, PG&amp;E's fixed asset system of record, by querying by Asset Class, FERC Account and UCC. </t>
  </si>
  <si>
    <t>See WP_10-AccDep 4, L. 122, Col 11 from annual update for Prior Year minus 1</t>
  </si>
  <si>
    <t>See WP_10-AccDep 4, L. 122, Col 11</t>
  </si>
  <si>
    <t>6) Accumulated Depreciation for Corporate Services (Electric) Residual Common, General and Intangible (CGI) Plant</t>
  </si>
  <si>
    <t xml:space="preserve">Accumulated Depreciation balances for Corporate Services (Electric) CGI Plant are extracted from PowerPlant, PG&amp;E's fixed asset system of record, by querying by Asset Class, FERC Account and UCC. </t>
  </si>
  <si>
    <t>See WP_10-AccDep 4, L. 122, Col 12 from annual update for Prior Year minus 1</t>
  </si>
  <si>
    <t>See WP_10-AccDep 4, L. 122, Col 12</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</si>
  <si>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</si>
  <si>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</si>
  <si>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1) Accumulated Depreciation for Direct Assigned CGI Plant is related to Plant in FERC Accounts 389-399 or 301-303 that serves only Network Transmission. For Prior Year amounts by Line of Business, see WP_10-AccDep 4, L. 122, cols 1 and 2.</t>
  </si>
  <si>
    <t>2) Accumulated Depreciation for Corporate Residual (Gas and Electric) CGI Plant is related to Plant in FERC Accounts 389-399 or 301-303 that serves all PG&amp;E Gas and Electric Lines of Business. For Prior Year amount, see WP_10-AccDep 4, L. 122, col 11.</t>
  </si>
  <si>
    <t>3) Accumulated Depreciation for Corporate Residual (Electric) CGI Plant is related to Plant in FERC Accounts 389-399 or 301-303 that serves PG&amp;E Electric Lines of Business only. For Prior Year amount, see WP_10-AccDep 4, L. 122, col 12.</t>
  </si>
  <si>
    <t>1) Depreciation Expense for Network Transmission Functional Plant</t>
  </si>
  <si>
    <t xml:space="preserve">Prior Year recorded Depreciation Expense is extracted from PowerPlant, PG&amp;E's fixed asset system of record, by querying by Asset Class. It is then allocated to UCC and Line of Business based on Prior Year ending plant balances. </t>
  </si>
  <si>
    <t>The Depreciation Expense amounts by FERC Account and Asset Class in Lines 100 and 101 represent the amounts related to High Voltage and Low Voltage Network Transmission Plant.</t>
  </si>
  <si>
    <t>2) Depreciation Expense for Direct Assigned Common, General and Intangible (CGI) Plant</t>
  </si>
  <si>
    <t xml:space="preserve">Depreciation Expense for Direct Assigned CGI Plant is extracted from PowerPlant, PG&amp;E's fixed asset system of record, by querying by Asset Class. It is then allocated to UCC and Line of Business based on Prior Year ending plant balances. </t>
  </si>
  <si>
    <t>3) Depreciation Expense for Corporate Services (Gas and Electric) Residual Common, General and Intangible (CGI) Plant</t>
  </si>
  <si>
    <t xml:space="preserve">Depreciation Expense for Corporate Services (Gas and Electric) Residual CGI Plant is extracted from PowerPlant, PG&amp;E's fixed asset system of record, by querying by Asset Class. It is then allocated to UCC and Line of Business based on Prior Year ending plant balances. </t>
  </si>
  <si>
    <t>Corporate</t>
  </si>
  <si>
    <t>Allocation of</t>
  </si>
  <si>
    <t>4) Depreciation Expense for Corporate Services (Electric) Residual Common, General and Intangible (CGI) Plant</t>
  </si>
  <si>
    <t xml:space="preserve">Depreciation Expense for Corporate Services (Electric) Residual CGI Plant is extracted from PowerPlant, PG&amp;E's fixed asset system of record, by querying by Asset Class. It is then allocated to UCC and Line of Business based on Prior Year ending plant balances. </t>
  </si>
  <si>
    <t>Electric</t>
  </si>
  <si>
    <t>Electric CGI</t>
  </si>
  <si>
    <t>5) Total Depreciation Expense for Network Transmission Common, General and Intangible (CGI) Plant</t>
  </si>
  <si>
    <t>Total Depreciation Expense for Network Transmission CGI Plant is the total of the amount related to Direct Assigned CGI Plant (Section 2) and amounts related to Residual CGI Plant (Sections 3-4) allocated to Network Transmission using labor allocation factors.</t>
  </si>
  <si>
    <t>Total of 
Sections 2-4</t>
  </si>
  <si>
    <t>Line 200 + Line 300 + Line 400</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</si>
  <si>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</si>
  <si>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</si>
  <si>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</si>
  <si>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</si>
  <si>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Total Network Transmission Functional Plant Prior Year balances are from 7-PlantInService, L. 101-112.</t>
  </si>
  <si>
    <t>7) Proposed Network Transmission Functional Plant Depreciation Rates</t>
  </si>
  <si>
    <t xml:space="preserve">Proposed Network Transmission Functional Plant Depreciation Rates are from 12-DepRates. The Depreciation Rates for Columns 3-12 are from 12-DepRates, L. 100 - 109. </t>
  </si>
  <si>
    <t>The rates listed below are annual rates.</t>
  </si>
  <si>
    <t>12-DepRates, 
L. 100</t>
  </si>
  <si>
    <t>12-DepRates, 
L. 101</t>
  </si>
  <si>
    <t>12-DepRates, 
L. 102</t>
  </si>
  <si>
    <t>12-DepRates, 
L. 103</t>
  </si>
  <si>
    <t>12-DepRates, 
L. 104</t>
  </si>
  <si>
    <t>12-DepRates, 
L. 105</t>
  </si>
  <si>
    <t>12-DepRates, 
L. 106</t>
  </si>
  <si>
    <t>12-DepRates, 
L. 107</t>
  </si>
  <si>
    <t>12-DepRates, 
L. 108</t>
  </si>
  <si>
    <t>12-DepRates, 
L. 109</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</si>
  <si>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</si>
  <si>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</si>
  <si>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</si>
  <si>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</si>
  <si>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</si>
  <si>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</si>
  <si>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</si>
  <si>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Section 8, Line 812, col 13</t>
  </si>
  <si>
    <t>Total Prior Year Recorded Depreciation Expense</t>
  </si>
  <si>
    <t>Section 1, Line 102, col 13</t>
  </si>
  <si>
    <t>Depreciation Expense Rate Adjustment</t>
  </si>
  <si>
    <t>Line 900 minus Line 901</t>
  </si>
  <si>
    <t>1) Network Transmission Direct Assigned CGI Plant is Plant in FERC Accounts 389-399 or 301-303 that serves only Network Transmission. For Depreciation Expense amounts by Line of Business for Direct Assigned CGI Plant, see WP_11-Depreciation 3, L. 122, Cols 1 and 2.</t>
  </si>
  <si>
    <t>2) Corporate Residual (Gas and Electric) CGI Plant is Plant in FERC Accounts 389-399 or 301-303 that serves all PG&amp;E Gas and Electric Lines of Business. For Depreciation Expense forCorporate Residual (Gas and Electric) CGI Plant, see WP_11-Depreciation 3, L. 122, Col 11.</t>
  </si>
  <si>
    <t>3) Corporate Residual (Electric) CGI Plant is Plant in FERC Accounts 389-399 or 301-303 that serves PG&amp;E Electric Lines of Business only. For Depreciation Expense for Corporate Residual (Electric) CGI Plant, see WP_11-Depreciation 3, L. 122, Col 12.</t>
  </si>
  <si>
    <t>4) Account 350.01 - Land is not depreciated in the TO rate case.</t>
  </si>
  <si>
    <t>5) ETP35002 - Land Rights is depreciated using the composite depreciation rate excluding net salvage for transmission plant. (see 12-DepRates, L. 110, col 10)</t>
  </si>
  <si>
    <t>DEPRECIATION RATES (Note 1)</t>
  </si>
  <si>
    <t>1) ELECTRIC TRANSMISSION PLANT (Note 2)</t>
  </si>
  <si>
    <t>7-PlantInService, 
L. 112, Col 3-12</t>
  </si>
  <si>
    <t>Col 1 x Col 2</t>
  </si>
  <si>
    <t>10-AccDep, 
L. 112, Col 3-12</t>
  </si>
  <si>
    <t xml:space="preserve"> Col 1 - Col 3 - Col 4</t>
  </si>
  <si>
    <t>Col 1 x Col 9</t>
  </si>
  <si>
    <t>ORIGINAL</t>
  </si>
  <si>
    <t>NET SALVAGE</t>
  </si>
  <si>
    <t>BOOK</t>
  </si>
  <si>
    <t>FUTURE</t>
  </si>
  <si>
    <t>SURVIVOR</t>
  </si>
  <si>
    <t>REMAINING</t>
  </si>
  <si>
    <t>ANNUAL ACCRUAL</t>
  </si>
  <si>
    <t>Func</t>
  </si>
  <si>
    <t>Asset Class</t>
  </si>
  <si>
    <t>Asset Class Description</t>
  </si>
  <si>
    <t>COST</t>
  </si>
  <si>
    <t>PCT.</t>
  </si>
  <si>
    <t>AMOUNT</t>
  </si>
  <si>
    <t>RESERVE</t>
  </si>
  <si>
    <t>ACCRUALS</t>
  </si>
  <si>
    <t>CURVE</t>
  </si>
  <si>
    <t>LIFE</t>
  </si>
  <si>
    <t>RATE</t>
  </si>
  <si>
    <t>LIFE RATE</t>
  </si>
  <si>
    <t>COR RATE</t>
  </si>
  <si>
    <t>STRUCTURES AND IMPROVEMENTS</t>
  </si>
  <si>
    <t>70 - R3</t>
  </si>
  <si>
    <t>STRUCTURES AND IMPROVEMENTS - EQUIPMENT</t>
  </si>
  <si>
    <t>STATION EQUIPMENT</t>
  </si>
  <si>
    <t>46 - R2</t>
  </si>
  <si>
    <t>STATION EQUIPMENT - STEP-UP TRANSFORMERS</t>
  </si>
  <si>
    <t>55 - R1.5</t>
  </si>
  <si>
    <t>TOWERS AND FIXTURES</t>
  </si>
  <si>
    <t>75 - R4</t>
  </si>
  <si>
    <t>POLES AND FIXTURES</t>
  </si>
  <si>
    <t>54 - R1.5</t>
  </si>
  <si>
    <t>OVERHEAD CONDUCTORS AND DEVICES</t>
  </si>
  <si>
    <t>65 - R2</t>
  </si>
  <si>
    <t>UNDERGROUND CONDUIT</t>
  </si>
  <si>
    <t>65 - R4</t>
  </si>
  <si>
    <t>UNDERGROUND CONDUCTORS AND DEVICES</t>
  </si>
  <si>
    <t>55 - R3</t>
  </si>
  <si>
    <t>ROADS AND TRAILS</t>
  </si>
  <si>
    <t>60 - R1.5</t>
  </si>
  <si>
    <t>TOTAL TRANSMISSION PLANT</t>
  </si>
  <si>
    <t>(Note 3)</t>
  </si>
  <si>
    <t>2) COMMON, GENERAL AND INTANGIBLE (CGI) PLANT (Note 4)</t>
  </si>
  <si>
    <t>DEPRECIATION</t>
  </si>
  <si>
    <t>ACCRUAL RATES</t>
  </si>
  <si>
    <t>CMP30101</t>
  </si>
  <si>
    <t>ORGANIZATION - COMMON PLANT</t>
  </si>
  <si>
    <t>CMP30200</t>
  </si>
  <si>
    <t>FRANCHISES AND CONSENTS - COMMON PLANT</t>
  </si>
  <si>
    <t>CMP30301</t>
  </si>
  <si>
    <t>MISCELLANEOUS INTANGIBLE PLANT</t>
  </si>
  <si>
    <t>CMP30302</t>
  </si>
  <si>
    <t>SOFTWARE</t>
  </si>
  <si>
    <t>CMP30304</t>
  </si>
  <si>
    <t>SOFTWARE CIS</t>
  </si>
  <si>
    <t>CMP38901</t>
  </si>
  <si>
    <t>LAND - COMMON PLANT</t>
  </si>
  <si>
    <t>CMP38902</t>
  </si>
  <si>
    <t>LAND RIGHTS</t>
  </si>
  <si>
    <t>CMP39000</t>
  </si>
  <si>
    <t>CMP39001</t>
  </si>
  <si>
    <t>COMM PLANT: LEASEHOLD IMPR</t>
  </si>
  <si>
    <t>CMP39101</t>
  </si>
  <si>
    <t xml:space="preserve">OFFICE MACHINES </t>
  </si>
  <si>
    <t>CMP39102</t>
  </si>
  <si>
    <t>PC HARDWARE</t>
  </si>
  <si>
    <t>CMP39103</t>
  </si>
  <si>
    <t>OFFICE FURNITURE AND EQUIPMENT</t>
  </si>
  <si>
    <t>CMP39104</t>
  </si>
  <si>
    <t>OFFICE MACHINES AND COMPUTER EQUIPMENT - CIS - FULLY ACCRUED</t>
  </si>
  <si>
    <t>CMP39201</t>
  </si>
  <si>
    <t>TRANSPORTATION EQUIPMENT - AIR</t>
  </si>
  <si>
    <t>CMP39202</t>
  </si>
  <si>
    <t>TRANSPORTATION EQUIPMENT - CLASS P</t>
  </si>
  <si>
    <t>CMP39203</t>
  </si>
  <si>
    <t>TRANSPORTATION EQUIPMENT - CLASS C2</t>
  </si>
  <si>
    <t>CMP39204</t>
  </si>
  <si>
    <t>TRANSPORTATION EQUIPMENT - CLASS C4</t>
  </si>
  <si>
    <t>CMP39205</t>
  </si>
  <si>
    <t xml:space="preserve">TRANSPORTATION EQUIPMENT - CLASS T1 </t>
  </si>
  <si>
    <t>CMP39206</t>
  </si>
  <si>
    <t>TRANSPORTATION EQUIPMENT - CLASS T3</t>
  </si>
  <si>
    <t>CMP39207</t>
  </si>
  <si>
    <t xml:space="preserve">TRANSPORTATION EQUIPMENT - CLASS T4 </t>
  </si>
  <si>
    <t>CMP39208</t>
  </si>
  <si>
    <t>TRANSPORTATION EQUIPMENT - VESSELS</t>
  </si>
  <si>
    <t>CMP39209</t>
  </si>
  <si>
    <t>TRANSPORTATION EQUIPMENT - TRAILERS</t>
  </si>
  <si>
    <t>CMP39300</t>
  </si>
  <si>
    <t>STORES EQUIPMENT</t>
  </si>
  <si>
    <t>CMP39400</t>
  </si>
  <si>
    <t>TOOLS, SHOP AND GARAGE EQUIPMENT</t>
  </si>
  <si>
    <t>CMP39500</t>
  </si>
  <si>
    <t>LABORATORY EQUIPMENT</t>
  </si>
  <si>
    <t>CMP39600</t>
  </si>
  <si>
    <t>POWER OPERATED EQUIPMENT</t>
  </si>
  <si>
    <t>CMP39701</t>
  </si>
  <si>
    <t>COMMUNICATION EQUIPMENT - NON-COMPUTER</t>
  </si>
  <si>
    <t>CMP39702</t>
  </si>
  <si>
    <t>COMMUNICATION EQUIPMENT - COMPUTER</t>
  </si>
  <si>
    <t>CMP39703</t>
  </si>
  <si>
    <t>COMMUNICATION EQUIPMENT - RADIO SYSTEMS</t>
  </si>
  <si>
    <t>CMP39704</t>
  </si>
  <si>
    <t>COMMUNICATION EQUIPMENT - VOICE SYSTEMS</t>
  </si>
  <si>
    <t>CMP39705</t>
  </si>
  <si>
    <t>COMMUNICATION EQUIPMENT - TRANSMISSION SYSTEMS</t>
  </si>
  <si>
    <t>CMP39706</t>
  </si>
  <si>
    <t>COMMUNICATION EQUIPMENT - TRANSMISSION SYSTEMS, GAS AMI</t>
  </si>
  <si>
    <t>CMP39707</t>
  </si>
  <si>
    <t>COMMUNICATION EQUIPMENT - TRANSMISSION SYSTEMS, ELECTRIC AMI</t>
  </si>
  <si>
    <t>CMP39708</t>
  </si>
  <si>
    <t>AMI COMMUNICATION NETWORK</t>
  </si>
  <si>
    <t>CMP39800</t>
  </si>
  <si>
    <t>MISCELLANEOUS EQUIPMENT</t>
  </si>
  <si>
    <t>CMP39900</t>
  </si>
  <si>
    <t>OTHER TANGIBLE PROPERTY</t>
  </si>
  <si>
    <t>EGP38901</t>
  </si>
  <si>
    <t>LAND</t>
  </si>
  <si>
    <t>EGP38902</t>
  </si>
  <si>
    <t>EGP39000</t>
  </si>
  <si>
    <t>EGP39100</t>
  </si>
  <si>
    <t>EGP39400</t>
  </si>
  <si>
    <t>TOOLS, SHOP AND WORK EQUIPMENT</t>
  </si>
  <si>
    <t>EGP39500</t>
  </si>
  <si>
    <t>EGP39600</t>
  </si>
  <si>
    <t>EGP39700</t>
  </si>
  <si>
    <t>COMMUNICATION EQUIPMENT</t>
  </si>
  <si>
    <t>EGP39708</t>
  </si>
  <si>
    <t>EGP39800</t>
  </si>
  <si>
    <t>EIP30201</t>
  </si>
  <si>
    <t>FRANCHISES AND CONSENTS</t>
  </si>
  <si>
    <t>EIP30301</t>
  </si>
  <si>
    <t>USBR - LIMITED TERM ELECTRIC</t>
  </si>
  <si>
    <t>EIP30303</t>
  </si>
  <si>
    <t>COMPUTER SOFTWARE</t>
  </si>
  <si>
    <t>1) Depreciation Rates in this Schedule cannot be changed without FERC authorization from a Section 205 or 206 filing.</t>
  </si>
  <si>
    <t>2) Depreciation Rates in Cols 9, 10, and 11 are settled rates. Please see the the Offer of Settlement from PG&amp;E's October 15, 2020 global settlement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</si>
  <si>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</si>
  <si>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4) See CPUC Decision 20-12-005.  In the event the CPUC modifies these depreciation rates in the future, pursuant to the Protocols, PG&amp;E will make a single issue filing at FERC to modify these rates.</t>
  </si>
  <si>
    <t>1) Calculation of Materials and Supplies</t>
  </si>
  <si>
    <t>Materials and Supplies balances are recorded in FERC Account 154.</t>
  </si>
  <si>
    <t>Col 2 * 
24-Allocators, L. 126</t>
  </si>
  <si>
    <t>Col 2 * 
24-Allocators, L. 127</t>
  </si>
  <si>
    <t xml:space="preserve">Total </t>
  </si>
  <si>
    <t>Company</t>
  </si>
  <si>
    <t xml:space="preserve">Line </t>
  </si>
  <si>
    <t>Materials &amp; Supplies</t>
  </si>
  <si>
    <t xml:space="preserve"> Transmission </t>
  </si>
  <si>
    <t>2) Calculation of Prepayments</t>
  </si>
  <si>
    <t>Prepaid property insurance is allocated to Electric Transmission Network (ETN) based on plant ratios.  Prepaid liability insurance is allocated to ETN based on a 40% plant, 60% labor ratio.  Other prepayments are allocated to ETN based on the labor ratio.</t>
  </si>
  <si>
    <t>Data Source:</t>
  </si>
  <si>
    <t>FF1 111, L. 57, col c</t>
  </si>
  <si>
    <t>col 3 - col 4</t>
  </si>
  <si>
    <t xml:space="preserve">Less:  </t>
  </si>
  <si>
    <t>Detail of Adjusted Total Prepaids</t>
  </si>
  <si>
    <t>Total Company Prepayments</t>
  </si>
  <si>
    <t>Direct Assignments</t>
  </si>
  <si>
    <t>Adjusted Total</t>
  </si>
  <si>
    <t>Property Insurance</t>
  </si>
  <si>
    <t>Liability Insurance</t>
  </si>
  <si>
    <t>Misc.</t>
  </si>
  <si>
    <t>40% Plant / 60%</t>
  </si>
  <si>
    <t>Allocation Method from Total Company to Electric Transmission Network</t>
  </si>
  <si>
    <t>Plant Ratio</t>
  </si>
  <si>
    <t>Labor Average</t>
  </si>
  <si>
    <t>Labor Ratio</t>
  </si>
  <si>
    <t>24-Allocators, L. 116, L. 135, L. 113</t>
  </si>
  <si>
    <t>a)  13 Month Avg Calculation</t>
  </si>
  <si>
    <t>Allocated Prepayments</t>
  </si>
  <si>
    <t>b)  EOY Calculation</t>
  </si>
  <si>
    <t xml:space="preserve">Note 1:   Materials and Supplies month-end balances are extracted from SAP by querying by General Ledger (GL) Account. December balances are from FF1 227, L. 12, cols b and c. </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</si>
  <si>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</si>
  <si>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</si>
  <si>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</si>
  <si>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</si>
  <si>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</si>
  <si>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</si>
  <si>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</si>
  <si>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</si>
  <si>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</si>
  <si>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</si>
  <si>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</si>
  <si>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</si>
  <si>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</si>
  <si>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</si>
  <si>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</si>
  <si>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</si>
  <si>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</si>
  <si>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WP_14-ADIT 1, L. 100, col 7</t>
  </si>
  <si>
    <t>c) Average of Beginning and End of Year Accumulated Deferred Income Taxes</t>
  </si>
  <si>
    <t>Average ADIT</t>
  </si>
  <si>
    <t>Weighted Average ADIT:</t>
  </si>
  <si>
    <t>Adjustment for Forecasted Proration vs Actual Proration:</t>
  </si>
  <si>
    <t>WP_14_ADIT, Tab 8, Col 13, Line 130</t>
  </si>
  <si>
    <t>Adjusted Average ADIT</t>
  </si>
  <si>
    <t>Line 106 + Line 107</t>
  </si>
  <si>
    <t>2) Account 190 Detail</t>
  </si>
  <si>
    <t>END BAL per G/L</t>
  </si>
  <si>
    <t xml:space="preserve">Gas and Other </t>
  </si>
  <si>
    <t>Electric Labor</t>
  </si>
  <si>
    <t>ACCT 190</t>
  </si>
  <si>
    <t>DESCRIPTION</t>
  </si>
  <si>
    <t>Sum Col 3 to Col 6</t>
  </si>
  <si>
    <t>Non-ISO Related Costs</t>
  </si>
  <si>
    <t>ISO Only</t>
  </si>
  <si>
    <t>Plant Related</t>
  </si>
  <si>
    <t>Related</t>
  </si>
  <si>
    <t>Electric:</t>
  </si>
  <si>
    <t>Environmental</t>
  </si>
  <si>
    <t>Gas and Other Non-ISO Related Costs</t>
  </si>
  <si>
    <t>WP_14-ADIT 2, L. 100, Col 2</t>
  </si>
  <si>
    <t>Compensation</t>
  </si>
  <si>
    <t>WP_14-ADIT 2, L. 101, Col 2</t>
  </si>
  <si>
    <t>Vacation Timing Differences</t>
  </si>
  <si>
    <t>Relates to all Regulated Electric Property</t>
  </si>
  <si>
    <t>WP_14-ADIT 2, L. 102, Col 2</t>
  </si>
  <si>
    <t>Contributions In Aid of Construction (CIAC)</t>
  </si>
  <si>
    <t>WP_14-ADIT 2, L. 103, Col 2</t>
  </si>
  <si>
    <t>Injuries and Damages</t>
  </si>
  <si>
    <t>WP_14-ADIT 2, L. 104, Col 2</t>
  </si>
  <si>
    <t>California Corporation Franchise Tax</t>
  </si>
  <si>
    <t>WP_14-ADIT 2, L. 105, Col 2</t>
  </si>
  <si>
    <t>Net Operating Losses Deferred Taxes</t>
  </si>
  <si>
    <t>Property-Related FERC Costs</t>
  </si>
  <si>
    <t>WP_14-ADIT 2, L. 106, Col 2 and WP_14-ADIT 3, L. 113</t>
  </si>
  <si>
    <t>ITC FAS 109 Deferred Taxes</t>
  </si>
  <si>
    <t>WP_14-ADIT 2, L. 107, Col 2</t>
  </si>
  <si>
    <t>Property Tax Timing Differences</t>
  </si>
  <si>
    <t>WP_14-ADIT 2, L. 108, Col 2</t>
  </si>
  <si>
    <t>WP_14-ADIT 2, L. 109, Col 2</t>
  </si>
  <si>
    <t>Total Account 190</t>
  </si>
  <si>
    <t>Allocation Factors (Plant and Wages)</t>
  </si>
  <si>
    <t>24-Allocators, L. 119, 112</t>
  </si>
  <si>
    <t>Total Account 190 ADIT</t>
  </si>
  <si>
    <t>(Sum of amounts in Columns 4 to 6)</t>
  </si>
  <si>
    <t>FERC Form 1 Account 190</t>
  </si>
  <si>
    <t>FF1 234, L. 18, col c</t>
  </si>
  <si>
    <t>3) Account 282 Detail</t>
  </si>
  <si>
    <t>Total Company</t>
  </si>
  <si>
    <t>Total Company Labor</t>
  </si>
  <si>
    <t>ACCT 282</t>
  </si>
  <si>
    <t xml:space="preserve">Fully Normalized Deferred Tax </t>
  </si>
  <si>
    <t>WP_14-ADIT 4, L. 103, Col 2</t>
  </si>
  <si>
    <t>Property/Non-ISO</t>
  </si>
  <si>
    <t>Property-Related CPUC Costs</t>
  </si>
  <si>
    <t xml:space="preserve">Common Plant </t>
  </si>
  <si>
    <t>Property-Related Costs</t>
  </si>
  <si>
    <t>WP_14-ADIT 4, L. 117, Col 2</t>
  </si>
  <si>
    <t>Total Account 282</t>
  </si>
  <si>
    <t>24-Allocators, L. 122, 116, 113</t>
  </si>
  <si>
    <t>Total Account 282 ADIT</t>
  </si>
  <si>
    <t>FERC Form 1 Account 282</t>
  </si>
  <si>
    <t>FF1 275, L. 9, col k</t>
  </si>
  <si>
    <t>Not Used</t>
  </si>
  <si>
    <t>4) Account 283 Detail</t>
  </si>
  <si>
    <t>ACCT 283</t>
  </si>
  <si>
    <t>Loss on Reaquired Debt</t>
  </si>
  <si>
    <t>FF1 277, L. 3 + L. 11, col k</t>
  </si>
  <si>
    <t>Balancing Accounts</t>
  </si>
  <si>
    <t>Relates Entirely to CPUC Balancing Account Recovery</t>
  </si>
  <si>
    <t>FF1 277, L. 4 + L. 12, col k</t>
  </si>
  <si>
    <t>FF1 277, L. 5 + L. 14 + L.18, col k</t>
  </si>
  <si>
    <t>Total Account 283</t>
  </si>
  <si>
    <t>24-Allocators, Lines 116, 113</t>
  </si>
  <si>
    <t>Total Account 283 ADIT</t>
  </si>
  <si>
    <t>FERC Form 1 Account 283</t>
  </si>
  <si>
    <t>FF1 277, L. 19, col k</t>
  </si>
  <si>
    <t>5) Account 255 Detail</t>
  </si>
  <si>
    <t>ACCT 255</t>
  </si>
  <si>
    <t>Investment Tax Credits</t>
  </si>
  <si>
    <t>WP_14-ADIT 7, L. 100, Col 6</t>
  </si>
  <si>
    <t>Investment Tax Credits - Common</t>
  </si>
  <si>
    <t>WP_14-ADIT 7, L. 101 , col 6</t>
  </si>
  <si>
    <t>Investment Tax Credits -Other</t>
  </si>
  <si>
    <t>Total Electric 255</t>
  </si>
  <si>
    <t>Total Account 255 ADIT</t>
  </si>
  <si>
    <t>FERC Form 1 Account 255</t>
  </si>
  <si>
    <t>FF1 267, L. 8 + L. 13, col h</t>
  </si>
  <si>
    <t>6) Tax Normalization Calculation Pursuant to Treas. Reg §1.167(l)-1(h)(6); PLR 9313008; 9202029; 922404; 201717008</t>
  </si>
  <si>
    <t>See Note 1</t>
  </si>
  <si>
    <t>See Note 2</t>
  </si>
  <si>
    <t>Col 5 / Tot. Days</t>
  </si>
  <si>
    <t>= Col 2 * Col 6</t>
  </si>
  <si>
    <t>Prior Month Col 8 + Col 7</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</si>
  <si>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</si>
  <si>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</si>
  <si>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</si>
  <si>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</si>
  <si>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</si>
  <si>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</si>
  <si>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</si>
  <si>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</si>
  <si>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</si>
  <si>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</si>
  <si>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</si>
  <si>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</si>
  <si>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</si>
  <si>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</si>
  <si>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Beginning Deferred Tax Balance (Line 105, Col. 2)</t>
  </si>
  <si>
    <t>Weighted Average ADIT Balance:</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</si>
  <si>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</si>
  <si>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</si>
  <si>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</si>
  <si>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</si>
  <si>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1-BaseTRR, Line 405</t>
  </si>
  <si>
    <t>Book Deprec</t>
  </si>
  <si>
    <t>Tax Deprec</t>
  </si>
  <si>
    <t>ADIT projected</t>
  </si>
  <si>
    <t>Amortization of Excess ADIT</t>
  </si>
  <si>
    <t>Adjusted ADIT Projected</t>
  </si>
  <si>
    <t>9-PlantAdditions Col 1, Lines 100-111</t>
  </si>
  <si>
    <t>Col 2 * 12-DepRates, Col 9, Line 110/12 * Remaining Months</t>
  </si>
  <si>
    <t>Col 2 * Col 1, Line 729</t>
  </si>
  <si>
    <t>Col 3 - Col 4 * 1-BaseTRR Line 402</t>
  </si>
  <si>
    <t>1-BaseTRR, Line 405/12</t>
  </si>
  <si>
    <t>Col 6 + Col 7</t>
  </si>
  <si>
    <t>Col 6, Lines 600-612</t>
  </si>
  <si>
    <t>Col 8 * Col 9</t>
  </si>
  <si>
    <t>Prior Month Col 11 + Col 10</t>
  </si>
  <si>
    <t>Sub-total Additions</t>
  </si>
  <si>
    <t>Filing Year &amp; Rate Year Plt Adds Book Deprec Rate Year</t>
  </si>
  <si>
    <t>Rate Year Plt Adds Rate Year Tax Deprec</t>
  </si>
  <si>
    <t>Filing Year Plt Adds Rate Year Tax Deprec</t>
  </si>
  <si>
    <t>Prorata Percentages</t>
  </si>
  <si>
    <t>Monthly ADIT</t>
  </si>
  <si>
    <t>Accumulated ADIT</t>
  </si>
  <si>
    <t>Rate Year Plant Additions</t>
  </si>
  <si>
    <t>9-PlantAdditions Col 1, Lines 112-123</t>
  </si>
  <si>
    <t>((Col 2, Line 712/12)*12-DepRates, Col 9, Line 110) + ((Col 2*12-DepRates, Col 9, Line 110/)12 * Remaining Months)</t>
  </si>
  <si>
    <t>Col 2, Line 712 * Col 1, Line 730/12</t>
  </si>
  <si>
    <t>Col 3 - Col 4 - Col 5 * 1-BaseTRR Line 402</t>
  </si>
  <si>
    <t>Total Additions</t>
  </si>
  <si>
    <t>Impact of ADIT on Forecasted Plant Additions Plus Amortization of Excess ADIT</t>
  </si>
  <si>
    <t>Table 1 - MACRS 15-Yr Prop</t>
  </si>
  <si>
    <t>1) The monthly deferred tax amounts are equal to the ending ADIT balance minus the beginning ADIT balance, divided by 12 months.</t>
  </si>
  <si>
    <t>2) For January through December = previous month balance plus amount in col 2.</t>
  </si>
  <si>
    <t>3) Formula for Line 728 (Line 727 x 1-BaseTRR L. 220) x (1-BaseTRR L. 402/(1 - 1-BaseTRR L. 402))+(Line 727 x 1-BaseTRR L 216)</t>
  </si>
  <si>
    <t>Beginning of Year Balances</t>
  </si>
  <si>
    <t>Outstanding Network Upgrade Credits Recorded in FERC Acct 252</t>
  </si>
  <si>
    <t>WP_15-NUC 1, L. 100, col 10</t>
  </si>
  <si>
    <t>FERC Acct 252 Other</t>
  </si>
  <si>
    <t>Total Acct 252 - Customer Advances for Construction</t>
  </si>
  <si>
    <t>FF1 113, L. 56, col d</t>
  </si>
  <si>
    <t>End of Year Balances</t>
  </si>
  <si>
    <t>Outstanding Network Upgrade Credits</t>
  </si>
  <si>
    <t>WP_15-NUC 2, L. 100, col 10</t>
  </si>
  <si>
    <t>FERC Acct 252 - Other</t>
  </si>
  <si>
    <t>FF1 113, L. 56, col c</t>
  </si>
  <si>
    <t>Interest on Network Upgrade Credits Recorded in FERC Acct 431</t>
  </si>
  <si>
    <t>WP_15-NUC 2, L. 101, col 7</t>
  </si>
  <si>
    <t>FERC Acct 431 - Other</t>
  </si>
  <si>
    <t>Total Acct 431 - Other Interest Expense</t>
  </si>
  <si>
    <t>FF1 117, L. 68, col c</t>
  </si>
  <si>
    <t xml:space="preserve">Average of EOY and BOY </t>
  </si>
  <si>
    <t>1)  Summary of Unfunded Reserves Average Balances</t>
  </si>
  <si>
    <t>Sum of BOY/EOY Averages</t>
  </si>
  <si>
    <t>Sum Lines 205, 303, 401, 503, 603</t>
  </si>
  <si>
    <t>Sum of EOY Values</t>
  </si>
  <si>
    <t>Sum col 2, Lines 204, 302, 400, 502, 602</t>
  </si>
  <si>
    <t>2)  Calculation of Allocated Accrued Vacation</t>
  </si>
  <si>
    <t>Beginning of year (BOY)</t>
  </si>
  <si>
    <t>End of Year (EOY)</t>
  </si>
  <si>
    <t>Total Company Accrued Vacation Liability</t>
  </si>
  <si>
    <t>Less:  Permanent Accounting Adjustment</t>
  </si>
  <si>
    <t>Net Accrued Vacation</t>
  </si>
  <si>
    <t>Labor Allocation Factor</t>
  </si>
  <si>
    <t>Allocated Accrued Vacation</t>
  </si>
  <si>
    <t>BOY/EOY Average:</t>
  </si>
  <si>
    <t>3)  Calculation of Allocated Preferred Stock Dividends Payable</t>
  </si>
  <si>
    <t>Beginning of year</t>
  </si>
  <si>
    <t>Dividends Declared-Preferred Stock (Acct. 437)</t>
  </si>
  <si>
    <t>Electric Plant over Total Plant</t>
  </si>
  <si>
    <t>Allocated Preferred Stock Dividends Payable</t>
  </si>
  <si>
    <t>4)  Calculation of Transition Cost</t>
  </si>
  <si>
    <t>Transition Cost</t>
  </si>
  <si>
    <t>see Note 4</t>
  </si>
  <si>
    <t>5)  Calculation of Injuries and Damages</t>
  </si>
  <si>
    <t>WP_16-UnfundedReserves, L. 101 and L. 105, See Note 5</t>
  </si>
  <si>
    <t>Liability Insurance Allocation Factor</t>
  </si>
  <si>
    <t>Allocated Injuries and Damages</t>
  </si>
  <si>
    <t>6)  Calculation of Severances</t>
  </si>
  <si>
    <t>Severance</t>
  </si>
  <si>
    <t>WP_16-UnfundedReserves, L. 201 and L. 205, See Note 5</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</si>
  <si>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</si>
  <si>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</si>
  <si>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</si>
  <si>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</si>
  <si>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</si>
  <si>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t>Other Regulatory Assets and Liabilities are a component of Rate Base representing costs that have been</t>
  </si>
  <si>
    <t>deferred to a future period and recorded in Other Regulatory Assets (Account 182.3) and Regulatory Liabilities</t>
  </si>
  <si>
    <t>(Account 254).  This Schedule does not include Abandoned Plant costs recovered through Schedule 8.</t>
  </si>
  <si>
    <t xml:space="preserve">PG&amp;E will include a non-zero amount of Other Regulatory Assets and Liabilities only with Commission </t>
  </si>
  <si>
    <t>approval received subsequent to a PG&amp;E Section 205 filing requesting such treatment.</t>
  </si>
  <si>
    <t xml:space="preserve">Amortization and Regulatory Debits and Credits are costs of revenues that are approved for recovery from or </t>
  </si>
  <si>
    <t>return to customers in this formula transmission rate.  Approved costs are amortized as expenses or revenue</t>
  </si>
  <si>
    <t xml:space="preserve">in the Base TRR, consistent with a Commission Order.  </t>
  </si>
  <si>
    <t>1) Calculation of Regulatory Assets and Liabilities and Amortization of Debits and Credits</t>
  </si>
  <si>
    <t>1) Upon Commission approval of recovery of Other Regulatory Assets and Liabilities, Amortization and</t>
  </si>
  <si>
    <t>Regulatory Debits and Credits costs through this formula transmission rate:</t>
  </si>
  <si>
    <t>a) Fill in Description for issue in above table.</t>
  </si>
  <si>
    <t>b) Enter costs in columns 1-3 in above table for the applicable Prior Year.</t>
  </si>
  <si>
    <t>2) Insert additional lines as necessary for additional issues.</t>
  </si>
  <si>
    <t>Calculation or Source</t>
  </si>
  <si>
    <t>Other Regulatory Assets and Liabilities (EOY):</t>
  </si>
  <si>
    <t>Line 103, col 2</t>
  </si>
  <si>
    <t>Other Regulatory Assets and Liabilities (BOY/EOY average):</t>
  </si>
  <si>
    <t>Avg. of Line 103 col 1 and col 2</t>
  </si>
  <si>
    <t>Amortization and Regulatory Debits and Credits:</t>
  </si>
  <si>
    <t>Line 103, col 3</t>
  </si>
  <si>
    <t>col 1</t>
  </si>
  <si>
    <t>col 2</t>
  </si>
  <si>
    <t>col 3</t>
  </si>
  <si>
    <t>Description of Issue</t>
  </si>
  <si>
    <t>BOY</t>
  </si>
  <si>
    <t>Amortization or</t>
  </si>
  <si>
    <t xml:space="preserve">  Commission Order</t>
  </si>
  <si>
    <t>Resulting in Other Regulatory</t>
  </si>
  <si>
    <t>Other Reg</t>
  </si>
  <si>
    <t>Regulatory</t>
  </si>
  <si>
    <t xml:space="preserve"> Granting Approval of </t>
  </si>
  <si>
    <t>Asset/Liability</t>
  </si>
  <si>
    <t>Debit/Credit</t>
  </si>
  <si>
    <t xml:space="preserve">  Regulatory Liability</t>
  </si>
  <si>
    <t>Sum of below</t>
  </si>
  <si>
    <t>Issue #1</t>
  </si>
  <si>
    <t>Issue #2</t>
  </si>
  <si>
    <t>Issue #3</t>
  </si>
  <si>
    <t>2) Unamortized Excess ADIT and Tax Normalization Calculation Pursuant to Treas. Reg §1.167(l)-1(h)(6); PLR 9313008; 9202029; 922404; 201717008</t>
  </si>
  <si>
    <t>Value</t>
  </si>
  <si>
    <t>BOY Unamortized Excess Federal Accumulated Deferred Income Taxes</t>
  </si>
  <si>
    <t>17-RegAssets-2 + 17-RegAssets-3, L. 105, Col 24 (zero in 2017 only)</t>
  </si>
  <si>
    <t>EOY Unamortized Excess Federal Accumulated Deferred Income Taxes</t>
  </si>
  <si>
    <t>17-RegAssets-2 + 17-RegAssets-3, L. 110, Col 24</t>
  </si>
  <si>
    <t>Weighted Average ADIT Balance</t>
  </si>
  <si>
    <t>Line 217, Col 8</t>
  </si>
  <si>
    <t>Beginning Deferred Tax Balance (Line 200)</t>
  </si>
  <si>
    <t>Note 1: The monthly deferred tax amounts are equal to the ending ADIT balance minus the beginning ADIT balance, divided by 12 months.</t>
  </si>
  <si>
    <t>Note 2: For January through December = previous month balance plus amount in col 2.</t>
  </si>
  <si>
    <r>
      <t xml:space="preserve">Amortization of (Excess)/Deficient Deferred Federal </t>
    </r>
    <r>
      <rPr>
        <b/>
        <sz val="9.35"/>
        <rFont val="Calibri"/>
        <family val="2"/>
      </rPr>
      <t>and State</t>
    </r>
    <r>
      <rPr>
        <b/>
        <sz val="11"/>
        <rFont val="Calibri"/>
        <family val="2"/>
        <scheme val="minor"/>
      </rPr>
      <t xml:space="preserve"> Income Taxes (Note 1)</t>
    </r>
  </si>
  <si>
    <t>Order 864 Permanent Worksheet(s) Category 1 Information</t>
  </si>
  <si>
    <t>Category 2 Information</t>
  </si>
  <si>
    <t>Category 3 Information</t>
  </si>
  <si>
    <t>Category 5 Information</t>
  </si>
  <si>
    <t>Category 4 Information</t>
  </si>
  <si>
    <t>Col 0</t>
  </si>
  <si>
    <t>Col 15</t>
  </si>
  <si>
    <t>Col 16</t>
  </si>
  <si>
    <t>Col 17</t>
  </si>
  <si>
    <t>Col 18</t>
  </si>
  <si>
    <t>Col 19</t>
  </si>
  <si>
    <t>Col 20</t>
  </si>
  <si>
    <t>Col 21</t>
  </si>
  <si>
    <t>Col 22</t>
  </si>
  <si>
    <t>Col 23</t>
  </si>
  <si>
    <t>Col 24</t>
  </si>
  <si>
    <t>Col 25</t>
  </si>
  <si>
    <t>Col 1 - Col 2</t>
  </si>
  <si>
    <t>Sum Col 5 to Col 7</t>
  </si>
  <si>
    <t>PRIOR PERIOD AMORTIZATION OF EXCESS FEDERAL ACCUMULATED DEFERRED INCOME TAXES</t>
  </si>
  <si>
    <t>Col 5 - Col 10</t>
  </si>
  <si>
    <t>Col 6 - Col 11</t>
  </si>
  <si>
    <t>Col 7 - Col 12</t>
  </si>
  <si>
    <t>Sum Col 14 to Col 16</t>
  </si>
  <si>
    <t>CURRENT PERIOD AMORTIZATION OF EXCESS FEDERAL ACCUMULATED DEFERRED INCOME TAXES</t>
  </si>
  <si>
    <t>Col 14 - Col 18</t>
  </si>
  <si>
    <t>Col 15 - Col 19</t>
  </si>
  <si>
    <t>Col 16 - Col 20</t>
  </si>
  <si>
    <t>Sum Col 21 to Col 23</t>
  </si>
  <si>
    <t>Col 24 x Gross-up</t>
  </si>
  <si>
    <t>Originating</t>
  </si>
  <si>
    <t xml:space="preserve">Originating </t>
  </si>
  <si>
    <t xml:space="preserve">ADIT Balance </t>
  </si>
  <si>
    <t>Remeasurement</t>
  </si>
  <si>
    <t>(Excess)/Deficient ADIT</t>
  </si>
  <si>
    <t>UNAMORTIZED EXCESS FEDERAL ACCUMULATED DEFERRED INCOME TAXES</t>
  </si>
  <si>
    <t>UNAMORTIZED EXCESS FEDERAL ACCUMULATED DEFERRED INCOME TAXES - BEGINNING BALANCE</t>
  </si>
  <si>
    <t>UNAMORTIZED EXCESS FEDERAL ACCUMULATED DEFERRED INCOME TAXES - ENDING BALANCE</t>
  </si>
  <si>
    <t>Excess/Deficient</t>
  </si>
  <si>
    <t>Timing</t>
  </si>
  <si>
    <t>Prior to TCJA</t>
  </si>
  <si>
    <t>ADIT Balance</t>
  </si>
  <si>
    <t>Note F</t>
  </si>
  <si>
    <t>(Excess)/Deficient</t>
  </si>
  <si>
    <t>Beg Bal</t>
  </si>
  <si>
    <t>Expense</t>
  </si>
  <si>
    <t>ADIT Amortization</t>
  </si>
  <si>
    <t>End Bal</t>
  </si>
  <si>
    <t>Including Gross-up of</t>
  </si>
  <si>
    <t>ADIT Recorded</t>
  </si>
  <si>
    <t>Difference</t>
  </si>
  <si>
    <t>@ 35% FIT</t>
  </si>
  <si>
    <t>@ 21% FIT</t>
  </si>
  <si>
    <t xml:space="preserve">PROTECTED </t>
  </si>
  <si>
    <t>UNPROTECTED</t>
  </si>
  <si>
    <t>Period</t>
  </si>
  <si>
    <t>Recorded</t>
  </si>
  <si>
    <t>Acct 182.3 / Acct 254</t>
  </si>
  <si>
    <t>FIXED ASSETS</t>
  </si>
  <si>
    <t>NON FIXED ASSETS</t>
  </si>
  <si>
    <t>TOTALS</t>
  </si>
  <si>
    <t>ARAM/Years</t>
  </si>
  <si>
    <t>Acct 410.1 / Acct 411.1</t>
  </si>
  <si>
    <t>Method Life</t>
  </si>
  <si>
    <t>Note A</t>
  </si>
  <si>
    <t>Acct # 282</t>
  </si>
  <si>
    <t>Acct # 254</t>
  </si>
  <si>
    <t>ARAM</t>
  </si>
  <si>
    <t>Acct # 411.1</t>
  </si>
  <si>
    <t>Note B</t>
  </si>
  <si>
    <t>Fixed Assets Book Tax Basis Differences</t>
  </si>
  <si>
    <t>Note C</t>
  </si>
  <si>
    <t>130 Months (Note G)</t>
  </si>
  <si>
    <t>Non Fixed Assets Book Tax Basis Differences</t>
  </si>
  <si>
    <t>Note D</t>
  </si>
  <si>
    <t>Acct # 190/ # 282</t>
  </si>
  <si>
    <t>Acct # 182.3</t>
  </si>
  <si>
    <t>Acct # 410.1</t>
  </si>
  <si>
    <t>Non Fixed Asset Book Tax Differences</t>
  </si>
  <si>
    <t>Net Operating Loss Carryover</t>
  </si>
  <si>
    <t>Note E</t>
  </si>
  <si>
    <t>Acct # 190</t>
  </si>
  <si>
    <t>Adjustments to December 31, 2017 Amounts</t>
  </si>
  <si>
    <t>Adjustment for Repairs Off-System</t>
  </si>
  <si>
    <t>Acct #</t>
  </si>
  <si>
    <t>Total Including Adjustments</t>
  </si>
  <si>
    <t>Details of ADIT</t>
  </si>
  <si>
    <t xml:space="preserve">  Total Method Life</t>
  </si>
  <si>
    <t>FERC CA Method/Life</t>
  </si>
  <si>
    <t>Includes Cost of Removal</t>
  </si>
  <si>
    <t>FERC Fed Method/Life</t>
  </si>
  <si>
    <t>FERC St Off Method/Life</t>
  </si>
  <si>
    <t>Total Cost of Removal</t>
  </si>
  <si>
    <t xml:space="preserve">  Cost of Removal</t>
  </si>
  <si>
    <t>TBD</t>
  </si>
  <si>
    <t>Total Fixed Assets Book Tax Basis Differences</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</si>
  <si>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</si>
  <si>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</si>
  <si>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</si>
  <si>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</si>
  <si>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</si>
  <si>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</si>
  <si>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</si>
  <si>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</si>
  <si>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</si>
  <si>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</si>
  <si>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</si>
  <si>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</si>
  <si>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</si>
  <si>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</si>
  <si>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</si>
  <si>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</si>
  <si>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</si>
  <si>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</si>
  <si>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</si>
  <si>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</si>
  <si>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</si>
  <si>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</si>
  <si>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</si>
  <si>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</si>
  <si>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</si>
  <si>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</si>
  <si>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</si>
  <si>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</si>
  <si>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</si>
  <si>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</si>
  <si>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</si>
  <si>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</si>
  <si>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</si>
  <si>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</si>
  <si>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</si>
  <si>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</si>
  <si>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</si>
  <si>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</si>
  <si>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</si>
  <si>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</si>
  <si>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</si>
  <si>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</si>
  <si>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</si>
  <si>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</si>
  <si>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</si>
  <si>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</si>
  <si>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</si>
  <si>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</si>
  <si>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</si>
  <si>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</si>
  <si>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</si>
  <si>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</si>
  <si>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</si>
  <si>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</si>
  <si>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</si>
  <si>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Total Non Fixed Assets Book Tax Basis Differences</t>
  </si>
  <si>
    <t>Vacation Pay Timing Differences</t>
  </si>
  <si>
    <t>130 Months</t>
  </si>
  <si>
    <t>502a</t>
  </si>
  <si>
    <t>Property Tax - Correction of 2017 FERC Form 1 Error</t>
  </si>
  <si>
    <t>FERC Fed AFUDC Debt</t>
  </si>
  <si>
    <t>FERC Fed FAS34 Cap Int</t>
  </si>
  <si>
    <t>FERC Fed Sec 263a Cap Int</t>
  </si>
  <si>
    <t>FERC St Off AFUDC Debt</t>
  </si>
  <si>
    <t>FERC St Off FAS34 Cap Int</t>
  </si>
  <si>
    <t>FERC St Off Sec 263a Cap Int</t>
  </si>
  <si>
    <t>Total Non Fixed Asset Book Tax Differences</t>
  </si>
  <si>
    <t xml:space="preserve">   Net Operating Loss Deferred Taxes</t>
  </si>
  <si>
    <t>FERC Fed 2017 481a Adj</t>
  </si>
  <si>
    <t>FERC Fed 2017 481a Bon Add Back</t>
  </si>
  <si>
    <t>FERC Fed St Off 2017 481a Adj CA</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</si>
  <si>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</si>
  <si>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</si>
  <si>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</si>
  <si>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</si>
  <si>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</si>
  <si>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</si>
  <si>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</si>
  <si>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</si>
  <si>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Pursuant to ER17-2154-002 OFFER OF SETTLEMENT AND STIPULATION, Section 2.1.1.</t>
  </si>
  <si>
    <t>Note H</t>
  </si>
  <si>
    <t xml:space="preserve">The “grossed-up” portion from Column 25 is excluded from rate base. </t>
  </si>
  <si>
    <t>Note I</t>
  </si>
  <si>
    <t>The TO19 settlement provided for a base 130-months amortization subject to adjustment per Section 2.2.1.  As a result, the overall amortization period may not be 130-months.  </t>
  </si>
  <si>
    <t>PRIOR PERIOD AMORTIZATION OF (EXCESS)/DEFICIENT FEDERAL ACCUMULATED DEFERRED INCOME TAXES</t>
  </si>
  <si>
    <t>CURRENT PERIOD AMORTIZATION OF (EXCESS)/DEFICIENT FEDERAL ACCUMULATED DEFERRED INCOME TAXES</t>
  </si>
  <si>
    <r>
      <t xml:space="preserve">(Excess)/Deficient </t>
    </r>
    <r>
      <rPr>
        <b/>
        <sz val="9.35"/>
        <rFont val="Calibri"/>
        <family val="2"/>
      </rPr>
      <t>ADIT</t>
    </r>
  </si>
  <si>
    <t>UNAMORTIZED (EXCESS)/DEFICIENT FEDERAL ACCUMULATED DEFERRED INCOME TAXES</t>
  </si>
  <si>
    <t>UNAMORTIZED (EXCESS)/DEFICIENT FEDERAL ACCUMULATED DEFERRED INCOME TAXES - BEGINNING BALANCE</t>
  </si>
  <si>
    <t>UNAMORTIZED (EXCESS)/DEFICIENT FEDERAL ACCUMULATED DEFERRED INCOME TAXES - ENDING BALANCE</t>
  </si>
  <si>
    <r>
      <t xml:space="preserve">Prior to </t>
    </r>
    <r>
      <rPr>
        <b/>
        <strike/>
        <sz val="8.8000000000000007"/>
        <rFont val="Calibri"/>
        <family val="2"/>
      </rPr>
      <t>TCJA</t>
    </r>
  </si>
  <si>
    <r>
      <rPr>
        <b/>
        <sz val="11"/>
        <rFont val="Calibri"/>
        <family val="2"/>
      </rPr>
      <t>Note F</t>
    </r>
    <r>
      <rPr>
        <b/>
        <strike/>
        <sz val="11"/>
        <rFont val="Calibri"/>
        <family val="2"/>
      </rPr>
      <t xml:space="preserve"> 'ADIT</t>
    </r>
  </si>
  <si>
    <r>
      <t xml:space="preserve">@ </t>
    </r>
    <r>
      <rPr>
        <sz val="8.8000000000000007"/>
        <rFont val="Calibri"/>
        <family val="2"/>
      </rPr>
      <t>xx</t>
    </r>
    <r>
      <rPr>
        <sz val="11"/>
        <rFont val="Calibri"/>
        <family val="2"/>
        <scheme val="minor"/>
      </rPr>
      <t>% FIT</t>
    </r>
  </si>
  <si>
    <t>131 Months (Note G)</t>
  </si>
  <si>
    <t>ADIT Item 1</t>
  </si>
  <si>
    <t>Adjustment for Abandoned Plant</t>
  </si>
  <si>
    <t xml:space="preserve">   Net Operating Loss Deferred Taxes - 2018 True Up</t>
  </si>
  <si>
    <t>This Schedule 17-RegAssets-3 will reflect tax rate changes occuring after the TCJA.</t>
  </si>
  <si>
    <t>Relects the deferred tax liability (DTL) for the difference between book and tax depreciation methods and depreciable lives on plant capitalized for both book and tax.  Method life is a protected timing difference.</t>
  </si>
  <si>
    <t>Relects the deferred tax asset (DTA) difference between the book accrual and actual spending for cost of removal.</t>
  </si>
  <si>
    <t>Network Transmission O&amp;M Expense (Line 100, Col 15)</t>
  </si>
  <si>
    <t>Col 3 + Col 4, Note 2</t>
  </si>
  <si>
    <t>Note 1, Note 4</t>
  </si>
  <si>
    <t>Col 3 + Col 6</t>
  </si>
  <si>
    <t>Col 4 + Col 7</t>
  </si>
  <si>
    <t>Col 9 + Col 10</t>
  </si>
  <si>
    <t>Col 9 * Col 12</t>
  </si>
  <si>
    <t>Col 10 * Col 12</t>
  </si>
  <si>
    <t>Col 13 + Col 14</t>
  </si>
  <si>
    <t>FERC Account Description</t>
  </si>
  <si>
    <t xml:space="preserve">FF1 Recorded O&amp;M Expense
 FF1 321, L. 112, col b </t>
  </si>
  <si>
    <t>Recorded Adjusted O&amp;M Expense</t>
  </si>
  <si>
    <t>Network Transmission %</t>
  </si>
  <si>
    <t>Network Transmission O&amp;M Expense</t>
  </si>
  <si>
    <t>Labor</t>
  </si>
  <si>
    <t>Non-Labor</t>
  </si>
  <si>
    <t>Total Transmission O&amp;M</t>
  </si>
  <si>
    <t>Operation Supervision and Engineering</t>
  </si>
  <si>
    <t>Load Dispatch - Reliability</t>
  </si>
  <si>
    <t>Load Dispatch - Monitor and Operate Transmission System</t>
  </si>
  <si>
    <t>Load Dispatch - Transmission Service and Scheduling</t>
  </si>
  <si>
    <t>Scheduling, System Control and Dispatch Services (CAISO GMC)</t>
  </si>
  <si>
    <t>Reliability Planning and Standards Development</t>
  </si>
  <si>
    <t>Transmission Service Studies</t>
  </si>
  <si>
    <t>Generation Interconnection Studies</t>
  </si>
  <si>
    <t>Reliability Planning and Standards Development Services (CAISO GMC)</t>
  </si>
  <si>
    <t>Station Expenses</t>
  </si>
  <si>
    <t>Operation of Energy Storage Equipment</t>
  </si>
  <si>
    <t>Overhead Line Expenses</t>
  </si>
  <si>
    <t>Underground Line Expenses</t>
  </si>
  <si>
    <t>Transmission of Electricity by Others</t>
  </si>
  <si>
    <t>Miscellaneous Transmission Expenses</t>
  </si>
  <si>
    <t>Rents</t>
  </si>
  <si>
    <t>Maintenance Supervision and Engineering</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</si>
  <si>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</si>
  <si>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</si>
  <si>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</si>
  <si>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</si>
  <si>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</si>
  <si>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</si>
  <si>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Energy Storage Equipment</t>
  </si>
  <si>
    <t>Maintenance of Overhead Lines</t>
  </si>
  <si>
    <t>Maintenance of Underground Lines</t>
  </si>
  <si>
    <t>Maintenance of Miscellaneous Transmission Plant</t>
  </si>
  <si>
    <t>1) Data are extracted from SAP for all costs (broken down into labor and non-labor components) in the Prior Year that are recorded in electric transmission operations and maintenance expense accounts.</t>
  </si>
  <si>
    <t xml:space="preserve">2) The Total FF1 Recorded O&amp;M Expense is the sum of Labor and Non-labor FF1 Recorded O&amp;M Expense (obtained as explained in Note 1) and tie to the amounts provided in FF1 321, L. 112, col b.  </t>
  </si>
  <si>
    <t xml:space="preserve">3) All Accounts other than 565 are allocated using the Network Transmission % in Schedule 24-Allocators, L. 122. All expenses in Account 565 are related to transmission service on High Voltage transmission facilities and are, therefore, 100% network transmission. </t>
  </si>
  <si>
    <t>4) See WP_18-OandM for adjustment details.</t>
  </si>
  <si>
    <t>Prior Year:  2021</t>
  </si>
  <si>
    <t>Input Cells are shaded in gold</t>
  </si>
  <si>
    <t>1)  Calculation of Total Company Adjusted A&amp;G Expense</t>
  </si>
  <si>
    <t>Col 5 = Col 1+Col 3</t>
  </si>
  <si>
    <t>Col 7 = Col 5 - Col 6</t>
  </si>
  <si>
    <t>See Note 11</t>
  </si>
  <si>
    <t>Data</t>
  </si>
  <si>
    <t>FERC Form 2</t>
  </si>
  <si>
    <t xml:space="preserve">Total Company </t>
  </si>
  <si>
    <t>Total Company Adj</t>
  </si>
  <si>
    <t>Acct.</t>
  </si>
  <si>
    <t>Amount Excluded</t>
  </si>
  <si>
    <t>A&amp;G Salaries</t>
  </si>
  <si>
    <t>FF1 323, L. 181, col b</t>
  </si>
  <si>
    <t>FF2 325, L. 254, col b</t>
  </si>
  <si>
    <t>WP_19-AandG 1, L. 106</t>
  </si>
  <si>
    <t>Office Supplies and Expenses</t>
  </si>
  <si>
    <t>FF1 323, L. 182, col b</t>
  </si>
  <si>
    <t>FF2 325, L. 255, col b</t>
  </si>
  <si>
    <t>WP_19-AandG 1, L. 206</t>
  </si>
  <si>
    <t>A&amp;G Expenses Transferred</t>
  </si>
  <si>
    <t>FF1 323, L. 183, col b</t>
  </si>
  <si>
    <t>FF2 325, L. 256, col b</t>
  </si>
  <si>
    <t>WP_19-AandG 1, L. 306</t>
  </si>
  <si>
    <t>Outside Services Employed</t>
  </si>
  <si>
    <t>FF1 323, L. 184, col b</t>
  </si>
  <si>
    <t>FF2 325, L. 257, col b</t>
  </si>
  <si>
    <t>WP_19-AandG 1, L. 406</t>
  </si>
  <si>
    <t>FF1 323, L. 185, col b</t>
  </si>
  <si>
    <t>FF2 325, L. 258, col b</t>
  </si>
  <si>
    <t>WP_19-AandG 1, L. 506</t>
  </si>
  <si>
    <t>FF1 323, L. 186, col b</t>
  </si>
  <si>
    <t>FF2 325, L. 259, col b</t>
  </si>
  <si>
    <t>WP_19-AandG 1, L. 606</t>
  </si>
  <si>
    <t>Employee Pensions and Benefits</t>
  </si>
  <si>
    <t>FF1 323, L. 187, col b</t>
  </si>
  <si>
    <t>FF2 325, L. 260, col b</t>
  </si>
  <si>
    <t>WP_19-AandG 1, L. 706</t>
  </si>
  <si>
    <t>Franchise Requirements</t>
  </si>
  <si>
    <t>FF1 323, L. 188, col b</t>
  </si>
  <si>
    <t>FF2 325, L. 261, col b</t>
  </si>
  <si>
    <t>WP_19-AandG 1, L. 806</t>
  </si>
  <si>
    <t>Regulatory Commission Expenses</t>
  </si>
  <si>
    <t>FF1 323, L. 189, col b</t>
  </si>
  <si>
    <t>FF2 325, L. 262, col b</t>
  </si>
  <si>
    <t>Duplicate Charges</t>
  </si>
  <si>
    <t>FF1 323, L. 190, col b</t>
  </si>
  <si>
    <t>FF2 325, L. 263, col b</t>
  </si>
  <si>
    <t>General Advertising Expense</t>
  </si>
  <si>
    <t>FF1 323, L. 191, col b</t>
  </si>
  <si>
    <t>FF2 325, L. 264, col b</t>
  </si>
  <si>
    <t>WP_19-AandG 1, L. 906</t>
  </si>
  <si>
    <t>Miscellaneous General Expense</t>
  </si>
  <si>
    <t>FF1 323, L. 192, col b</t>
  </si>
  <si>
    <t>FF2 325, L. 265, col b</t>
  </si>
  <si>
    <t>FF1 323, L. 193, col b</t>
  </si>
  <si>
    <t>FF2 325, L. 266, col b</t>
  </si>
  <si>
    <t>Maintenance of General Plant</t>
  </si>
  <si>
    <t>FF1 323, L. 196, col b</t>
  </si>
  <si>
    <t>FF2 325, L. 269, col b</t>
  </si>
  <si>
    <t>WP_19-AandG 1, L. 1006</t>
  </si>
  <si>
    <t>Total A&amp;G Expenses:</t>
  </si>
  <si>
    <t>FF1 323, L. 197, col b</t>
  </si>
  <si>
    <t>FF2 325, L. 270, col b</t>
  </si>
  <si>
    <t>2)  Calculation of Network Transmission A&amp;G Expense</t>
  </si>
  <si>
    <t>Based on Labor Factors</t>
  </si>
  <si>
    <t>A&amp;G Expense after Adjustments</t>
  </si>
  <si>
    <t>Line 118, col 7</t>
  </si>
  <si>
    <t>Less Account  924 Property Insurance nonnuclear:</t>
  </si>
  <si>
    <t>Line 108, col 7</t>
  </si>
  <si>
    <t>Less General Liability and Third Party Claims</t>
  </si>
  <si>
    <t>WP_19-AandG 2, L. 102</t>
  </si>
  <si>
    <t>Total A&amp;G Expense Applicable to the O&amp;M Labor Allocation Factor:</t>
  </si>
  <si>
    <t>Line 202 - (Line 203 - Line 206)</t>
  </si>
  <si>
    <t>Electric O&amp;M Labor Allocation Factor:</t>
  </si>
  <si>
    <t>24-Allocators, L. 109</t>
  </si>
  <si>
    <t>Total Electric Portion of A&amp;G From Labor</t>
  </si>
  <si>
    <t>Transmission as a Percent of Electric O&amp;M Labor Allocation Factor:</t>
  </si>
  <si>
    <t>Transmission Portion of A&amp;G from Labor Allocation Factors:</t>
  </si>
  <si>
    <t>Based on Yearend Plant</t>
  </si>
  <si>
    <t>Network Transmission Plant Allocation Factor as a percent of Total Electric Plant:</t>
  </si>
  <si>
    <t>24-Allocators, L. 119</t>
  </si>
  <si>
    <t>Account 924 Property Insurance nonnuclear:</t>
  </si>
  <si>
    <t>Line 203</t>
  </si>
  <si>
    <t>Transmission Portion of Property Insurance Account 924</t>
  </si>
  <si>
    <t>Line 213 * Line 214</t>
  </si>
  <si>
    <t>Based on Blended Labor and Plant Factor</t>
  </si>
  <si>
    <t>General Liability Accrued Insurance and Paid Injuries and Damages:</t>
  </si>
  <si>
    <t>Line 204</t>
  </si>
  <si>
    <t>Total Electric Factor using the combined O&amp;M Labor and Plant Factor:</t>
  </si>
  <si>
    <t>24-Allocators, L. 136</t>
  </si>
  <si>
    <t>Transmission Portion of General Liability Insurance and Injuries and Damages:</t>
  </si>
  <si>
    <t>Line 217 * Line 218</t>
  </si>
  <si>
    <t>Total Transmission Portion of Administrative and General Expenses:</t>
  </si>
  <si>
    <t>Line 209 + Line 213 + Line 217</t>
  </si>
  <si>
    <t>STIP Adjustment pursuant to TO20 Settlement Agreement (Docket No. ER19-13-000)</t>
  </si>
  <si>
    <t>WP_19-AandG 3, L. 220</t>
  </si>
  <si>
    <t>Line 221 + Line 222</t>
  </si>
  <si>
    <t>3)  Summary of Total Company Adjustments</t>
  </si>
  <si>
    <t xml:space="preserve">Total by FERC Account </t>
  </si>
  <si>
    <t>STIP</t>
  </si>
  <si>
    <t>Officer Compensation</t>
  </si>
  <si>
    <t>Accrual to Cash Basis</t>
  </si>
  <si>
    <t>Not Seeking Recovery</t>
  </si>
  <si>
    <t>Non A&amp;G Costs and Other</t>
  </si>
  <si>
    <t>NP&amp;S</t>
  </si>
  <si>
    <t>Allocations on Adjustments</t>
  </si>
  <si>
    <t>Capital Credit Allocation Adjustments to FERC Form 1</t>
  </si>
  <si>
    <t>Total by Adjustment Type</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</si>
  <si>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</si>
  <si>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</si>
  <si>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</si>
  <si>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</si>
  <si>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</si>
  <si>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</si>
  <si>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</si>
  <si>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</si>
  <si>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Remove capital and below-the-line adjustments as appropriate associated with regulatory adjustments described in Notes 3 through 8.</t>
  </si>
  <si>
    <t>Total by FERC account</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</si>
  <si>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</si>
  <si>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 xml:space="preserve">Adjustments on the FERC Form to reclassify year 2021 capital credit amounts recorded to the wrong FERC accounts.  On a total Company basis, the recorded capital credit amount is correct; however, the amounts recorded to certain FERC accounts were incorrect.  This reclassification adjustment re-aligns the capital credit with the correct FERC accounts. </t>
  </si>
  <si>
    <t>1) Insert additional lines as necessary for additional items.</t>
  </si>
  <si>
    <t>Col 5 + Col 6</t>
  </si>
  <si>
    <t>FERC ACCT</t>
  </si>
  <si>
    <t>NATURAL ACCT</t>
  </si>
  <si>
    <t>ACCT DESCRIPTION</t>
  </si>
  <si>
    <t xml:space="preserve">Total Electric </t>
  </si>
  <si>
    <t>Network ET - High Voltage</t>
  </si>
  <si>
    <t>Network ET - Low Voltage</t>
  </si>
  <si>
    <t>Total Network ET</t>
  </si>
  <si>
    <t xml:space="preserve">NP&amp;S Transmission </t>
  </si>
  <si>
    <t>Sum Lines 201, 301, 401, 501, 601</t>
  </si>
  <si>
    <t>Forfeited Discounts</t>
  </si>
  <si>
    <t>FF1 300, L. 16, col b</t>
  </si>
  <si>
    <t>Acct 450 Total</t>
  </si>
  <si>
    <t>Miscellaneous Service Revenues</t>
  </si>
  <si>
    <t>FF1 300, L. 17, col b</t>
  </si>
  <si>
    <t>Acct 451 Total</t>
  </si>
  <si>
    <t>NRD Revenue Other</t>
  </si>
  <si>
    <t>Miscellaneous Service Electric Customer Fund Management - RES</t>
  </si>
  <si>
    <t>Miscellaneous Service Electric Customer Fund Management Non-RES</t>
  </si>
  <si>
    <t>Miscellaneous Service Revenues - Reimbursable</t>
  </si>
  <si>
    <t>Sales of Water and Water Power</t>
  </si>
  <si>
    <t>FF1 300, L. 18, col b</t>
  </si>
  <si>
    <t>Acct 453 Total</t>
  </si>
  <si>
    <t xml:space="preserve"> . . .</t>
  </si>
  <si>
    <t>FF1 300, L.19, col b</t>
  </si>
  <si>
    <t>Acct 454 Total</t>
  </si>
  <si>
    <t>Rent from Electric Property</t>
  </si>
  <si>
    <t>Note 2, 3</t>
  </si>
  <si>
    <t>New Revenue Development Rent</t>
  </si>
  <si>
    <t>New Revenue Development Fee Revenue</t>
  </si>
  <si>
    <t>Other Electric Revenue</t>
  </si>
  <si>
    <t>FF1 300, L. 21-22, col b</t>
  </si>
  <si>
    <t>Acct 456 Total</t>
  </si>
  <si>
    <t>Other Electric Revenues</t>
  </si>
  <si>
    <t>MCI Rights-of-Way (B)</t>
  </si>
  <si>
    <t>Recreation Facilities Revenue</t>
  </si>
  <si>
    <t>Timber Sales - Utility</t>
  </si>
  <si>
    <t>Other Revenue - Affiliate</t>
  </si>
  <si>
    <t>Revenue Damage Claims Electric</t>
  </si>
  <si>
    <t>Mobile Home Park Electric</t>
  </si>
  <si>
    <t>NEBS TCRA</t>
  </si>
  <si>
    <t>New Revenue Development - Electric Revenue</t>
  </si>
  <si>
    <t>Unbilled Electric Revenue</t>
  </si>
  <si>
    <t>Reimbursed Electric Revenue</t>
  </si>
  <si>
    <t>Note 2, 4</t>
  </si>
  <si>
    <t>Reimbursed Electric Revenue Joint Poles</t>
  </si>
  <si>
    <t>Reimbursed Electric Revenue Customer Care and Billing (CC&amp;B)</t>
  </si>
  <si>
    <t>Other Electric Revenue - Calif Department of Water &amp; Resources (DWR)</t>
  </si>
  <si>
    <t>Reimbursed Electric Revenue - CPUC</t>
  </si>
  <si>
    <t>Other Utility Operating Income</t>
  </si>
  <si>
    <t>Other Transmission Revenue - Wheeling</t>
  </si>
  <si>
    <t>Note 2, 5</t>
  </si>
  <si>
    <t>1) Immaterial reconciling difference.</t>
  </si>
  <si>
    <t>2) Run a query of col 2 (Natural Account) in SAP system to get col 4 and col 8.</t>
  </si>
  <si>
    <t>3) Run a query of rent in SAP system to get Line 502, col 5-6.</t>
  </si>
  <si>
    <t>4) Apply plant allocation factors after running a query of Natural Account in SAP system to get Line 612, col 5-6.</t>
  </si>
  <si>
    <t>5) See FF1 330, col n, Total</t>
  </si>
  <si>
    <t>Total NP&amp;S Electric Transmission Revenues and Expenses</t>
  </si>
  <si>
    <t>NP&amp;S Transmission Revenue</t>
  </si>
  <si>
    <t>20-RevenueCredits, L. 100, col 8</t>
  </si>
  <si>
    <t>NP&amp;S Transmission O&amp;M Expense</t>
  </si>
  <si>
    <t>WP-NPandS_RY2023 2, Line 100, col 1</t>
  </si>
  <si>
    <t>NP&amp;S Transmission A&amp;G Expense</t>
  </si>
  <si>
    <t>WP-NPandS_RY2023 2, Line 100, col 2</t>
  </si>
  <si>
    <t>Total NP&amp;S Transmission Expense</t>
  </si>
  <si>
    <t>Transmission Revenues and Expenses by Product Line</t>
  </si>
  <si>
    <t>Adjusted</t>
  </si>
  <si>
    <t>Product Line</t>
  </si>
  <si>
    <t>Net Revenues</t>
  </si>
  <si>
    <t>Wireline</t>
  </si>
  <si>
    <t>Wireless</t>
  </si>
  <si>
    <t>Land Use</t>
  </si>
  <si>
    <t>Technology &amp; Licenses</t>
  </si>
  <si>
    <t>Maintenance &amp; Consulting</t>
  </si>
  <si>
    <t>SBA Amortization</t>
  </si>
  <si>
    <t>Calculation of Pre-tax Revenue Allocation %</t>
  </si>
  <si>
    <t>PTNR (Pre-tax net revenue)</t>
  </si>
  <si>
    <t>t = Composite state &amp; federal tax rate</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</si>
  <si>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</si>
  <si>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</si>
  <si>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</si>
  <si>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</si>
  <si>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</si>
  <si>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</si>
  <si>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</si>
  <si>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</si>
  <si>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</si>
  <si>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1) Please see WP_21-NPS 1 for Revenues by Product Line.</t>
  </si>
  <si>
    <t>1) Please see WP_21-NPS 2 for Expenses by Product Line.</t>
  </si>
  <si>
    <t>3) Product Lines with negative Net Revenues are set to zero.</t>
  </si>
  <si>
    <t>1) Tax Rates for the Rate Year</t>
  </si>
  <si>
    <t>Internal Revenue Code (IRC) Section 11</t>
  </si>
  <si>
    <t>State Franchise Tax Rate (California)</t>
  </si>
  <si>
    <t>California Rev. &amp; Tax. Cd. § 23151</t>
  </si>
  <si>
    <t>Federal Secondary</t>
  </si>
  <si>
    <t>Negative Line 100 * Line 101</t>
  </si>
  <si>
    <t>Reflects the federal tax deduction for state taxes which reduces the composite income tax rate</t>
  </si>
  <si>
    <t>Composite Income Tax Rate</t>
  </si>
  <si>
    <t>Sum of Lines 100-Line 102</t>
  </si>
  <si>
    <t>2)Tax Rates for the Prior Year True-up</t>
  </si>
  <si>
    <t>1) Accumulated Deferred Income Taxes</t>
  </si>
  <si>
    <t>Values for Inputs to Sch.1-BaseTRR</t>
  </si>
  <si>
    <t>Values for Inputs to Sch.3-True-upTRR</t>
  </si>
  <si>
    <t>End of Year Accumulated Deferred Income Taxes</t>
  </si>
  <si>
    <t>WP_23-RetailSGTax 3</t>
  </si>
  <si>
    <t>Beginning of Year Accumulated Deferred Income Taxes</t>
  </si>
  <si>
    <t>Average of BOY and EOY Accumulated Deferred Income Taxes</t>
  </si>
  <si>
    <t>2) Income Taxes</t>
  </si>
  <si>
    <t>Income Taxes = [((RB * ER) + FPD) * (CTR/(1 – CTR))]  + CO/(1 – CTR)]</t>
  </si>
  <si>
    <t>3) ROE and Capitalization Calculations</t>
  </si>
  <si>
    <t>For Inputs to Sch.1-BaseTRR</t>
  </si>
  <si>
    <t>For Inputs to Sch.3-True-upTRR</t>
  </si>
  <si>
    <t>1-BaseTRR, L. 216</t>
  </si>
  <si>
    <t>1-BaseTRR, L. 217</t>
  </si>
  <si>
    <t>1-BaseTRR, L. 218</t>
  </si>
  <si>
    <t>Total South Georgia Adjustment</t>
  </si>
  <si>
    <t>4) Tax Normalization Calculation Pursuant to Treas. Reg §1.167(l)-1(h)(6); PLR 9313008; 9202029; 922404; 201717008</t>
  </si>
  <si>
    <t>See Note 4</t>
  </si>
  <si>
    <t>See Note 5</t>
  </si>
  <si>
    <t>Col 6 / Tot. Days</t>
  </si>
  <si>
    <t>= Col 3 * Col 7</t>
  </si>
  <si>
    <t>Col 9 Prior Mth + Col 8 Current Mth</t>
  </si>
  <si>
    <t>Beginning Deferred Tax Balance (Line 101)</t>
  </si>
  <si>
    <t>Ending Balance (Line 100)</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</si>
  <si>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</si>
  <si>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</si>
  <si>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</si>
  <si>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4) The monthly deferred tax amounts are equal to the ending ADIT balance minus the beginning ADIT balance, divided by 12 months.</t>
  </si>
  <si>
    <t>5) For January through December = previous month balance plus amount in Col 3.</t>
  </si>
  <si>
    <t>Calculation of Prior Year Total Electric Department Labor Allocation Factor</t>
  </si>
  <si>
    <t>Total Company Wages and Salaries</t>
  </si>
  <si>
    <t>FF1 355, L. 65, col b</t>
  </si>
  <si>
    <t xml:space="preserve">Electric A&amp;G Wages and Salaries </t>
  </si>
  <si>
    <t>FF1 354, L. 27, col b</t>
  </si>
  <si>
    <t>Gas A&amp;G Wages and Salaries</t>
  </si>
  <si>
    <t>FF1 355, L. 61, col b</t>
  </si>
  <si>
    <t>Cost Adjustment</t>
  </si>
  <si>
    <t>WP_24-Allocators_Labor, L. 100, col 3</t>
  </si>
  <si>
    <t>Total Company Wages and Salaries w/o A&amp;G</t>
  </si>
  <si>
    <t>(Line 100 + Line 103) - (Line 101 + Line 102)</t>
  </si>
  <si>
    <t>Total Electric Department Wages and Salaries</t>
  </si>
  <si>
    <t>FF1 354, L. 28, col b</t>
  </si>
  <si>
    <t>Electric A&amp;G Wages and Salaries</t>
  </si>
  <si>
    <t>WP_24-Allocators_Labor, L. 100, col 5</t>
  </si>
  <si>
    <t>Total Adjusted Electric Wages and Salaries wo A&amp;G</t>
  </si>
  <si>
    <t>Total Electric Department Labor as a % of Total Company Labor</t>
  </si>
  <si>
    <t>Calculation of Prior Year Network Electric Transmission Labor Allocation Factors</t>
  </si>
  <si>
    <t>Network Electric Transmission Wages and Salaries</t>
  </si>
  <si>
    <t>18-OandM, L. 100, col 13</t>
  </si>
  <si>
    <t>Network Electric Transmission Labor as a % of Total Electric Allocation Factor</t>
  </si>
  <si>
    <t>Network Electric Transmission Labor as a % of Total Company Allocation Factor</t>
  </si>
  <si>
    <t>Calculation of Prior Year Transmission Plant Allocation Factor</t>
  </si>
  <si>
    <t>Network Electric Transmission Gross Plant In Service including CGI Plant</t>
  </si>
  <si>
    <t>7-PlantInService, L. 112, col 13 + 7-PlantInService, L. 701, col 1</t>
  </si>
  <si>
    <t>Prior Year Dec</t>
  </si>
  <si>
    <t>Total PG&amp;E Company Gross Plant In Service</t>
  </si>
  <si>
    <t>WP_7-PlantInService 7, L. 148, Col 10</t>
  </si>
  <si>
    <t>Network Electric Transmission Plant as a % of Total Company Plant</t>
  </si>
  <si>
    <t>Total PG&amp;E Electric Plant In Service including CGI Plant</t>
  </si>
  <si>
    <t>WP_7-PlantInService 7, L. 148, Col 8</t>
  </si>
  <si>
    <t>Network Electric Transmission Plant as a % of Total Electric Plant</t>
  </si>
  <si>
    <t>Network Electric Transmission Plant - Functional Plant only</t>
  </si>
  <si>
    <t>Total Electric Transmission  - Functional Plant only</t>
  </si>
  <si>
    <t>6-PlantJurisdiction, L. 110, col 1 + col 3</t>
  </si>
  <si>
    <t>Network Electric Transmission as a % of Total Electric Transmission</t>
  </si>
  <si>
    <t>Calculation of Prior Year High Voltage/Low Voltage Transmission Plant Allocation Factor</t>
  </si>
  <si>
    <t>7-PlantInService, L. 212, col 13</t>
  </si>
  <si>
    <t>7-PlantInService, L. 312, col 13</t>
  </si>
  <si>
    <t>Allocation Factor to High Voltage</t>
  </si>
  <si>
    <t>Allocation Factor to Low Voltage</t>
  </si>
  <si>
    <t>Calculation of Rate Year High Voltage/Low Voltage Electric Transmission Plant Allocation Factor</t>
  </si>
  <si>
    <t>High Voltage Capital Additions</t>
  </si>
  <si>
    <t>9-PlantAdditions, L. 223, col 2</t>
  </si>
  <si>
    <t>Rate Year Dec</t>
  </si>
  <si>
    <t>Low Voltage Capital Additions</t>
  </si>
  <si>
    <t>9-PlantAdditions, L. 323, col 2</t>
  </si>
  <si>
    <t>High Voltage Rate Year Functional Plant</t>
  </si>
  <si>
    <t>Low Voltage Rate Year Functional Plant</t>
  </si>
  <si>
    <t>Network Electric Transmission Rate Year Functional Plant</t>
  </si>
  <si>
    <t>Calculation of Prior Year Liability Insurance Allocation Factor</t>
  </si>
  <si>
    <t>Network Electric Transmisison as a % of Total Company Liability Insurance Allocation Factor (60% Labor/40% Plant)</t>
  </si>
  <si>
    <t>Network Electric Transmission as a % of Total Electric Liability Insurance Allocation Factor (60% Labor/40% Plant)</t>
  </si>
  <si>
    <t>Calculation of Prior Year Property Tax Allocation Factor</t>
  </si>
  <si>
    <t>Network Electric Transmission Accumulated Depreciation including CGI</t>
  </si>
  <si>
    <t>10-AccDep, L. 112, col 13 + 10-AccDep, L. 701, col 1</t>
  </si>
  <si>
    <t>Total PG&amp;E Electric Accumulated Depreciation including CGI</t>
  </si>
  <si>
    <t>WP_10-AccDep 6, L. 148, Col 8</t>
  </si>
  <si>
    <t>Network Electric Transmission Net Plant in Service (Functional + CGI)</t>
  </si>
  <si>
    <t>Line 117 - Line 137</t>
  </si>
  <si>
    <t>Total PG&amp;E Electric Net Plant In Service (Functional + CGI)</t>
  </si>
  <si>
    <t>Line 118 - Line 138</t>
  </si>
  <si>
    <t>Net Plant Property Tax Allocation Factor</t>
  </si>
  <si>
    <t>Line 139 / Line 140</t>
  </si>
  <si>
    <t>1) Approved Franchise Fee Factor(s)</t>
  </si>
  <si>
    <t>From</t>
  </si>
  <si>
    <t>To</t>
  </si>
  <si>
    <t>Days in Prior Year</t>
  </si>
  <si>
    <t>Franchise Fee Factor</t>
  </si>
  <si>
    <t>Present</t>
  </si>
  <si>
    <t>WP_25-RFandUFactors 1, L. 102</t>
  </si>
  <si>
    <t>2) Approved San Francisco Gross Receipts Tax Factor(s)</t>
  </si>
  <si>
    <t>WP_25-RFandUFactors 2, L. 104</t>
  </si>
  <si>
    <t>3) Approved Uncollectible Factor(s)</t>
  </si>
  <si>
    <t>Uncollectible Factor</t>
  </si>
  <si>
    <t>WP_25-RFandUFactors 3, L. 110</t>
  </si>
  <si>
    <t>4) Calculation of Weighted Average RF&amp;U Factors</t>
  </si>
  <si>
    <t>Rate Year HV</t>
  </si>
  <si>
    <t>Rate Year LV</t>
  </si>
  <si>
    <t xml:space="preserve"> Plant Allocator</t>
  </si>
  <si>
    <t>24-Allocators, L. 133 and 134</t>
  </si>
  <si>
    <t>7-PlantInService, L. 212 and 312, col 13</t>
  </si>
  <si>
    <t>7-PlantInService, L. 701, col 2 and col 3</t>
  </si>
  <si>
    <t>8-AbandonedPlant, Col 11, Lines 100 and 101</t>
  </si>
  <si>
    <t>13-WorkCap, L. 112, col 3 and col 4</t>
  </si>
  <si>
    <t>Line 1 * 13-WorkCap, L. 217, col 5</t>
  </si>
  <si>
    <t>10-AccDep, L. 212 and L. 312, col 13</t>
  </si>
  <si>
    <t>10-AccDep, L. 701 , col 2 and col 3</t>
  </si>
  <si>
    <t>Line 1 * 1-BaseTRR, L. 111c</t>
  </si>
  <si>
    <t>Line 1 * 1-BaseTRR, L. 112</t>
  </si>
  <si>
    <t>Accrued Vacation</t>
  </si>
  <si>
    <t>Line 1 * 1-BaseTRR, L. 113</t>
  </si>
  <si>
    <t>Line 1 * 1-BaseTRR, L. 114</t>
  </si>
  <si>
    <t>Prior Year Transmission Revenue Requirement</t>
  </si>
  <si>
    <t>(Line 1 * (18-OandM, L. 100  - L. 114, col 15) + 18-OandM, L. 114, col 15), Line 1 * (18-OandM, L.100  - L. 114, col 15)</t>
  </si>
  <si>
    <t>Line 1 * 1-BaseTRR, L. 501</t>
  </si>
  <si>
    <t>Line 1 * 1-BaseTRR, L. 502</t>
  </si>
  <si>
    <t>11-Depreciation, (L. 100, col 13 + L. 500, col 2), (L. 101, col 13 + L. 500, Col 3)</t>
  </si>
  <si>
    <t>Depreciation rate adjustment</t>
  </si>
  <si>
    <t>Line 1 * 1-BaseTRR, L. 504</t>
  </si>
  <si>
    <t>8-AbandonedPlant, Col 7, Lines 100 and 101</t>
  </si>
  <si>
    <t>(Line 115 * 1-BaseTRR, L. 219) - (1-BaseTRR, L. 221 * 8-AbandonedPlant, L. 100 and L. 101, col 11)</t>
  </si>
  <si>
    <t>Line 1 * 1-BaseTRR, L. 507</t>
  </si>
  <si>
    <t>Line 1 * 1-BaseTRR, L. 508</t>
  </si>
  <si>
    <t>20-RevenueCredits, L. 100, col 5 and col 6</t>
  </si>
  <si>
    <t>Line 1 * 1-BaseTRR, L. 510</t>
  </si>
  <si>
    <t>Line 1 * 1-BaseTRR, L. 511</t>
  </si>
  <si>
    <t>Line 212 * (1-BaseTRR, L. 513 + L. 514)</t>
  </si>
  <si>
    <t>Line 1 * 1-BaseTRR, L. 601</t>
  </si>
  <si>
    <t>True-up Adjustment</t>
  </si>
  <si>
    <t>Line 1 * 1-BaseTRR, L. 602</t>
  </si>
  <si>
    <t>Wholesale Base TRRs</t>
  </si>
  <si>
    <t>Wholesale TRBAA</t>
  </si>
  <si>
    <t>ER22-2986-000</t>
  </si>
  <si>
    <t>Standby Revenue Credit</t>
  </si>
  <si>
    <t>Negative, Line 1 * (29-RetailRates-1, L. 118, col (A) * 50%</t>
  </si>
  <si>
    <t>Total Wholesale TRRs</t>
  </si>
  <si>
    <t>Calculation of High Voltage Access Charge</t>
  </si>
  <si>
    <t>High Voltage TRR</t>
  </si>
  <si>
    <t>26-WholesaleTRRs, L. 219, col 1</t>
  </si>
  <si>
    <t>Gross Load (MWh)</t>
  </si>
  <si>
    <t>High Voltage Access Charge ($/MWh)</t>
  </si>
  <si>
    <t>Calculation of Low Voltage Access Charge</t>
  </si>
  <si>
    <t>Low Voltage TRR</t>
  </si>
  <si>
    <t>26-WholesaleTRRs, L. 219, col 2</t>
  </si>
  <si>
    <t>Low Voltage Access Charge ($/MWh)</t>
  </si>
  <si>
    <t xml:space="preserve">1) Input the gross load data and loss factor from the Gross Load Workpapers. </t>
  </si>
  <si>
    <t>Energy at generator (kWh)</t>
  </si>
  <si>
    <t>WP_28-GrossLoad 1, L. 102, col 2</t>
  </si>
  <si>
    <t>Energy loss factor area out</t>
  </si>
  <si>
    <t>WP_28-GrossLoad 7, L. 102, col 4</t>
  </si>
  <si>
    <t>Retail energy at local (area out) (kWh)</t>
  </si>
  <si>
    <t>Helms Pumped Storage: Pumping Load (10 Yr Avg) (kWh)</t>
  </si>
  <si>
    <t>WP_28-GrossLoad 6, L. 110</t>
  </si>
  <si>
    <t>Gross Load at Area Out (kWh)</t>
  </si>
  <si>
    <t>Current Year for Forecast Billing Determinants</t>
  </si>
  <si>
    <t>Rate Design</t>
  </si>
  <si>
    <t>5 Yr. Historical Avg. Data for 12-CP Allocation of TRR to Customer Class</t>
  </si>
  <si>
    <t>= col 1/col 2</t>
  </si>
  <si>
    <t>= col 1/col 4</t>
  </si>
  <si>
    <t>Adjusted 12-CP</t>
  </si>
  <si>
    <t>Forecast Billing</t>
  </si>
  <si>
    <t>Billing</t>
  </si>
  <si>
    <t>Annual Sales</t>
  </si>
  <si>
    <t>Average Rate</t>
  </si>
  <si>
    <t>Code</t>
  </si>
  <si>
    <t>Class Name</t>
  </si>
  <si>
    <t>Cost Allocation</t>
  </si>
  <si>
    <t>Determinants</t>
  </si>
  <si>
    <t>Units</t>
  </si>
  <si>
    <t>Rate</t>
  </si>
  <si>
    <t>(kWh)</t>
  </si>
  <si>
    <t>($/kWh)</t>
  </si>
  <si>
    <t>RES-</t>
  </si>
  <si>
    <t>Residential</t>
  </si>
  <si>
    <t>kWh</t>
  </si>
  <si>
    <t>/kWh</t>
  </si>
  <si>
    <t xml:space="preserve"> </t>
  </si>
  <si>
    <t>A1-</t>
  </si>
  <si>
    <t>Small L&amp;P</t>
  </si>
  <si>
    <t>A10-</t>
  </si>
  <si>
    <t>Medium L&amp;P</t>
  </si>
  <si>
    <t>kW-mo</t>
  </si>
  <si>
    <t>E19-</t>
  </si>
  <si>
    <t>At Transmission</t>
  </si>
  <si>
    <t>At Primary</t>
  </si>
  <si>
    <t>At Secondary</t>
  </si>
  <si>
    <t>Medium Light and Power</t>
  </si>
  <si>
    <t>/kW-mo</t>
  </si>
  <si>
    <t>STL-</t>
  </si>
  <si>
    <t>Streetlights</t>
  </si>
  <si>
    <t>AGA-</t>
  </si>
  <si>
    <t>AG: A Schedules</t>
  </si>
  <si>
    <t>AGB-</t>
  </si>
  <si>
    <t>AG: B Schedules</t>
  </si>
  <si>
    <t>Agriculture</t>
  </si>
  <si>
    <t>E20-</t>
  </si>
  <si>
    <t>Schedule E-20</t>
  </si>
  <si>
    <t>STB-</t>
  </si>
  <si>
    <t>50% Volumetric Charge</t>
  </si>
  <si>
    <t>50% Reservation Charge</t>
  </si>
  <si>
    <t>/.85*kW-mo</t>
  </si>
  <si>
    <t>Standby Service</t>
  </si>
  <si>
    <t>Rate Design:</t>
  </si>
  <si>
    <t>1) Adjusted 12-CP Cost Allocations are from 29-RetailRates-2, col 8.</t>
  </si>
  <si>
    <t>2) Forecast kWh Billing Determinates are from 29-RetailRates-2, col 2.  Forecast kW-mo. Billing Determinants are detailed in WP_29-RetailRates 8 (A-10, E-19, E-20 and Standby Reservation).</t>
  </si>
  <si>
    <t>3) Forecast kWh Annual Sales are from 29-RetailRates-2, col 2.</t>
  </si>
  <si>
    <t>Rate Design Calculations Based on 12-CP Method</t>
  </si>
  <si>
    <t>Yr. Historical Avg.</t>
  </si>
  <si>
    <t>= (col 2/col 1) * col 3</t>
  </si>
  <si>
    <t>= col 4 * col 5</t>
  </si>
  <si>
    <t>= col 6/ sum col 6</t>
  </si>
  <si>
    <t>Adjusted Cost</t>
  </si>
  <si>
    <t>= col 7 * TRR</t>
  </si>
  <si>
    <t>Recorded Avg.</t>
  </si>
  <si>
    <t>Forecast</t>
  </si>
  <si>
    <t>Coincident Demands</t>
  </si>
  <si>
    <t>Demand</t>
  </si>
  <si>
    <t>Percent of</t>
  </si>
  <si>
    <t>Alloc. Factors</t>
  </si>
  <si>
    <t>5-Year Historical</t>
  </si>
  <si>
    <t>Sales</t>
  </si>
  <si>
    <t>Loss</t>
  </si>
  <si>
    <t>(adjusted for losses)</t>
  </si>
  <si>
    <t>Coin. Peak</t>
  </si>
  <si>
    <t>(w/standby)</t>
  </si>
  <si>
    <t>(kW)</t>
  </si>
  <si>
    <t>Factors</t>
  </si>
  <si>
    <t>(w/losses)</t>
  </si>
  <si>
    <t>scale to 100%</t>
  </si>
  <si>
    <t>($)</t>
  </si>
  <si>
    <t>MARL Sales:</t>
  </si>
  <si>
    <t xml:space="preserve">Total - Full Requirements </t>
  </si>
  <si>
    <t>Standby</t>
  </si>
  <si>
    <t>Totals - Retail</t>
  </si>
  <si>
    <t>Source: Base Transmission Revenue Requirement (TRR) 1-BaseTRR, L. 704 =</t>
  </si>
  <si>
    <t>1) Recorded sales (kWh) and 5-Year Average are from WP_29-RetailRates 4; 5; and 5a.</t>
  </si>
  <si>
    <t>2) Forecast kWh Billing Determinates are from WP_29-RetailRates 8 and 9 and approved by the CPUC in D.19-02-023.</t>
  </si>
  <si>
    <t>3) Recorded monthly contribution coincident system peak (12-CP) data (kW) and 5-Year Average are from WP_29-RetailRates 3; 3a; and 4.</t>
  </si>
  <si>
    <t>4) Demand loss factors are based on system losses at PG&amp;E's Transmission, Primary and Secondary Distribution voltage levels of service.</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</si>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</sst>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 numFmtId="205" formatCode="0.000000%"/>
    <numFmt numFmtId="206" formatCode="0.0000000%"/>
    <numFmt numFmtId="207" formatCode="###,000"/>
  </numFmts>
  <fonts count="121">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sz val="11"/>
      <color theme="1"/>
      <name val="Calibri"/>
      <family val="2"/>
      <scheme val="minor"/>
    </font>
    <font>
      <b/>
      <sz val="11"/>
      <color indexed="8"/>
      <name val="Calibri"/>
      <family val="2"/>
      <scheme val="minor"/>
    </font>
    <font>
      <b/>
      <sz val="10"/>
      <color theme="1"/>
      <name val="Times New Roman"/>
      <family val="1"/>
    </font>
    <font>
      <sz val="8"/>
      <name val="Calibri"/>
      <family val="2"/>
      <scheme val="minor"/>
    </font>
    <font>
      <sz val="11"/>
      <name val="Calibri"/>
      <family val="2"/>
    </font>
    <font>
      <b/>
      <sz val="9.35"/>
      <name val="Calibri"/>
      <family val="2"/>
    </font>
    <font>
      <b/>
      <sz val="11"/>
      <name val="Calibri"/>
      <family val="2"/>
    </font>
    <font>
      <b/>
      <strike/>
      <sz val="8.8000000000000007"/>
      <name val="Calibri"/>
      <family val="2"/>
    </font>
    <font>
      <b/>
      <strike/>
      <sz val="11"/>
      <name val="Calibri"/>
      <family val="2"/>
    </font>
    <font>
      <b/>
      <sz val="10"/>
      <name val="Times New Roman"/>
      <family val="1"/>
    </font>
    <font>
      <sz val="8.8000000000000007"/>
      <name val="Calibri"/>
      <family val="2"/>
    </font>
  </fonts>
  <fills count="117">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
      <patternFill patternType="solid">
        <fgColor rgb="FFDBE5F1"/>
        <bgColor rgb="FF000000"/>
      </patternFill>
    </fill>
    <fill>
      <patternFill patternType="solid">
        <fgColor rgb="FFDBE5F1"/>
        <bgColor rgb="FFFFFFFF"/>
      </patternFill>
    </fill>
  </fills>
  <borders count="53">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bottom/>
      <diagonal/>
    </border>
    <border>
      <left style="medium">
        <color auto="1"/>
      </left>
      <right style="medium">
        <color auto="1"/>
      </right>
      <top style="medium">
        <color auto="1"/>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35023">
    <xf numFmtId="0" fontId="0" fillId="0" borderId="0"/>
    <xf numFmtId="9" fontId="110" fillId="0" borderId="0" applyFont="0" applyFill="0" applyBorder="0" applyAlignment="0" applyProtection="0"/>
    <xf numFmtId="44" fontId="110" fillId="0" borderId="0" applyFont="0" applyFill="0" applyBorder="0" applyAlignment="0" applyProtection="0"/>
    <xf numFmtId="42" fontId="1" fillId="0" borderId="0" applyFont="0" applyFill="0" applyBorder="0" applyAlignment="0" applyProtection="0"/>
    <xf numFmtId="43" fontId="110"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4" fontId="5" fillId="0" borderId="0" applyFont="0" applyFill="0" applyBorder="0" applyAlignment="0" applyProtection="0"/>
    <xf numFmtId="0" fontId="110" fillId="0" borderId="0"/>
    <xf numFmtId="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9" fontId="110"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10"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10" fillId="0" borderId="0" applyFont="0" applyFill="0" applyBorder="0" applyAlignment="0" applyProtection="0"/>
    <xf numFmtId="44" fontId="110" fillId="0" borderId="0" applyFont="0" applyFill="0" applyBorder="0" applyAlignment="0" applyProtection="0"/>
    <xf numFmtId="44"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5" fillId="0" borderId="0"/>
    <xf numFmtId="170" fontId="5" fillId="0" borderId="0"/>
    <xf numFmtId="171" fontId="5" fillId="0" borderId="0"/>
    <xf numFmtId="171" fontId="5" fillId="0" borderId="0"/>
    <xf numFmtId="175" fontId="110" fillId="0" borderId="0"/>
    <xf numFmtId="0" fontId="110" fillId="0" borderId="0"/>
    <xf numFmtId="171" fontId="110" fillId="0" borderId="0"/>
    <xf numFmtId="171" fontId="110" fillId="0" borderId="0"/>
    <xf numFmtId="171" fontId="110" fillId="0" borderId="0"/>
    <xf numFmtId="176"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0"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110" fillId="0" borderId="0"/>
    <xf numFmtId="171" fontId="110" fillId="0" borderId="0"/>
    <xf numFmtId="171" fontId="110" fillId="0" borderId="0"/>
    <xf numFmtId="0" fontId="110"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47" fillId="110" borderId="0"/>
    <xf numFmtId="170" fontId="47" fillId="110" borderId="0"/>
    <xf numFmtId="170"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0" fontId="47" fillId="110" borderId="0"/>
    <xf numFmtId="170" fontId="47" fillId="110" borderId="0"/>
    <xf numFmtId="171"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175"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7"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47" fillId="110" borderId="0"/>
    <xf numFmtId="170" fontId="47" fillId="110" borderId="0"/>
    <xf numFmtId="170"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0" fontId="47" fillId="110" borderId="0"/>
    <xf numFmtId="170" fontId="47" fillId="110" borderId="0"/>
    <xf numFmtId="171"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47" fillId="110" borderId="0"/>
    <xf numFmtId="171" fontId="47" fillId="110" borderId="0"/>
    <xf numFmtId="171" fontId="5" fillId="0" borderId="0"/>
    <xf numFmtId="176" fontId="47" fillId="110" borderId="0"/>
    <xf numFmtId="191" fontId="110" fillId="0" borderId="0"/>
    <xf numFmtId="0" fontId="110" fillId="0" borderId="0"/>
    <xf numFmtId="19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175" fontId="110" fillId="0" borderId="0"/>
    <xf numFmtId="171" fontId="110" fillId="0" borderId="0"/>
    <xf numFmtId="171" fontId="5" fillId="0" borderId="0"/>
    <xf numFmtId="0"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0"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5" fillId="0" borderId="0"/>
    <xf numFmtId="170" fontId="5" fillId="0" borderId="0"/>
    <xf numFmtId="171" fontId="5" fillId="0" borderId="0"/>
    <xf numFmtId="171" fontId="5" fillId="0" borderId="0"/>
    <xf numFmtId="175" fontId="110" fillId="0" borderId="0"/>
    <xf numFmtId="0" fontId="5" fillId="0" borderId="0"/>
    <xf numFmtId="171" fontId="5" fillId="0" borderId="0"/>
    <xf numFmtId="171" fontId="110" fillId="0" borderId="0"/>
    <xf numFmtId="0" fontId="5" fillId="0" borderId="0"/>
    <xf numFmtId="171" fontId="5" fillId="0" borderId="0"/>
    <xf numFmtId="0"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1" fontId="5" fillId="0" borderId="0"/>
    <xf numFmtId="176" fontId="5" fillId="0" borderId="0"/>
    <xf numFmtId="191" fontId="110" fillId="0" borderId="0"/>
    <xf numFmtId="0" fontId="5" fillId="0" borderId="0"/>
    <xf numFmtId="0"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170" fontId="92" fillId="0" borderId="0"/>
    <xf numFmtId="170" fontId="92" fillId="0" borderId="0"/>
    <xf numFmtId="171" fontId="92"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92" fillId="0" borderId="0"/>
    <xf numFmtId="172" fontId="92" fillId="0" borderId="0"/>
    <xf numFmtId="170" fontId="92" fillId="0" borderId="0"/>
    <xf numFmtId="170" fontId="92" fillId="0" borderId="0"/>
    <xf numFmtId="171" fontId="92" fillId="0" borderId="0"/>
    <xf numFmtId="0" fontId="110" fillId="0" borderId="0"/>
    <xf numFmtId="170" fontId="110" fillId="0" borderId="0"/>
    <xf numFmtId="171" fontId="110" fillId="0" borderId="0"/>
    <xf numFmtId="171" fontId="110" fillId="0" borderId="0"/>
    <xf numFmtId="171" fontId="92" fillId="0" borderId="0"/>
    <xf numFmtId="172" fontId="92" fillId="0" borderId="0"/>
    <xf numFmtId="170" fontId="92" fillId="0" borderId="0"/>
    <xf numFmtId="171" fontId="92" fillId="0" borderId="0"/>
    <xf numFmtId="171" fontId="92"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 fillId="0" borderId="0"/>
    <xf numFmtId="170" fontId="1" fillId="0" borderId="0"/>
    <xf numFmtId="170" fontId="1" fillId="0" borderId="0"/>
    <xf numFmtId="171" fontId="1" fillId="0" borderId="0"/>
    <xf numFmtId="0" fontId="110" fillId="0" borderId="0"/>
    <xf numFmtId="170" fontId="110" fillId="0" borderId="0"/>
    <xf numFmtId="171" fontId="110" fillId="0" borderId="0"/>
    <xf numFmtId="171" fontId="110" fillId="0" borderId="0"/>
    <xf numFmtId="171" fontId="1" fillId="0" borderId="0"/>
    <xf numFmtId="0" fontId="1" fillId="0" borderId="0"/>
    <xf numFmtId="170" fontId="1" fillId="0" borderId="0"/>
    <xf numFmtId="171" fontId="1" fillId="0" borderId="0"/>
    <xf numFmtId="171" fontId="1" fillId="0" borderId="0"/>
    <xf numFmtId="0" fontId="110" fillId="0" borderId="0"/>
    <xf numFmtId="170" fontId="110" fillId="0" borderId="0"/>
    <xf numFmtId="171" fontId="110" fillId="0" borderId="0"/>
    <xf numFmtId="171" fontId="110"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5" fontId="110" fillId="0" borderId="0"/>
    <xf numFmtId="171" fontId="110" fillId="0" borderId="0"/>
    <xf numFmtId="171" fontId="5" fillId="0" borderId="0"/>
    <xf numFmtId="19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 fillId="0" borderId="0"/>
    <xf numFmtId="0" fontId="10" fillId="18" borderId="1" applyNumberFormat="0" applyProtection="0"/>
    <xf numFmtId="0" fontId="19" fillId="92" borderId="5" applyNumberFormat="0" applyBorder="0" applyProtection="0"/>
    <xf numFmtId="0" fontId="10" fillId="18" borderId="3" applyNumberFormat="0" applyProtection="0"/>
    <xf numFmtId="0" fontId="43" fillId="67"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104"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3" fillId="104"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8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95"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3" fillId="86"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76"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78"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87"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3" fillId="87"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4" fillId="86"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6" fillId="78"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6" fillId="78" borderId="0" applyNumberFormat="0" applyBorder="0" applyAlignment="0" applyProtection="0"/>
    <xf numFmtId="0" fontId="45" fillId="76"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5" fillId="76"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78"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6"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6" fillId="59" borderId="0" applyNumberFormat="0" applyBorder="0" applyAlignment="0" applyProtection="0"/>
    <xf numFmtId="0" fontId="45" fillId="83"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6"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6" fillId="86" borderId="0" applyNumberFormat="0" applyBorder="0" applyAlignment="0" applyProtection="0"/>
    <xf numFmtId="0" fontId="45" fillId="88"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6" fillId="8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3" fillId="110"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96"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3" fillId="96"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177" fontId="6" fillId="57" borderId="7">
      <alignment horizontal="center" vertical="center"/>
    </xf>
    <xf numFmtId="178" fontId="37" fillId="57" borderId="7">
      <alignment horizontal="center" vertical="center"/>
    </xf>
    <xf numFmtId="177" fontId="6" fillId="57" borderId="7">
      <alignment horizontal="center" vertical="center"/>
    </xf>
    <xf numFmtId="167" fontId="5" fillId="57" borderId="7">
      <alignment horizontal="center" vertical="center"/>
    </xf>
    <xf numFmtId="167" fontId="5" fillId="57" borderId="7">
      <alignment horizontal="center" vertical="center"/>
    </xf>
    <xf numFmtId="167" fontId="5" fillId="57" borderId="7">
      <alignment horizontal="center" vertical="center"/>
    </xf>
    <xf numFmtId="167" fontId="5" fillId="57" borderId="7">
      <alignment horizontal="center" vertical="center"/>
    </xf>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48" fillId="68" borderId="0" applyNumberFormat="0" applyBorder="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4" fillId="60" borderId="10"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7" fillId="60" borderId="0" applyNumberFormat="0" applyBorder="0" applyAlignment="0" applyProtection="0"/>
    <xf numFmtId="0" fontId="47" fillId="60" borderId="0" applyNumberFormat="0" applyBorder="0" applyAlignment="0" applyProtection="0"/>
    <xf numFmtId="0" fontId="47" fillId="85" borderId="8" applyNumberFormat="0" applyBorder="0" applyAlignment="0" applyProtection="0"/>
    <xf numFmtId="0" fontId="47" fillId="85" borderId="8" applyNumberFormat="0" applyBorder="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0" fontId="83" fillId="86" borderId="10" applyNumberFormat="0" applyAlignment="0" applyProtection="0"/>
    <xf numFmtId="43" fontId="110" fillId="0" borderId="0" applyFont="0" applyFill="0" applyBorder="0" applyAlignment="0" applyProtection="0"/>
    <xf numFmtId="43" fontId="110" fillId="0" borderId="0" applyFont="0" applyFill="0" applyBorder="0" applyAlignment="0" applyProtection="0"/>
    <xf numFmtId="0" fontId="10" fillId="115" borderId="51" applyNumberFormat="0" applyAlignment="0" applyProtection="0">
      <alignment horizontal="left" vertical="center" indent="1"/>
    </xf>
    <xf numFmtId="207" fontId="9" fillId="116" borderId="51" applyNumberFormat="0" applyAlignment="0" applyProtection="0">
      <alignment horizontal="left" vertical="center" indent="1"/>
    </xf>
    <xf numFmtId="207" fontId="9" fillId="0" borderId="52" applyNumberFormat="0" applyProtection="0">
      <alignment horizontal="right" vertical="center"/>
    </xf>
    <xf numFmtId="0" fontId="10" fillId="115" borderId="3" applyNumberFormat="0" applyAlignment="0" applyProtection="0">
      <alignment horizontal="left" vertical="center" indent="1"/>
    </xf>
    <xf numFmtId="207" fontId="10" fillId="0" borderId="3" applyNumberFormat="0" applyProtection="0">
      <alignment horizontal="right" vertical="center"/>
    </xf>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cellStyleXfs>
  <cellXfs count="856">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165" fontId="0" fillId="0" borderId="0" xfId="2" applyNumberFormat="1" applyFont="1"/>
    <xf numFmtId="8" fontId="0" fillId="0" borderId="0" xfId="0" applyNumberFormat="1"/>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0" fillId="0" borderId="0" xfId="0" applyAlignment="1">
      <alignment horizontal="left"/>
    </xf>
    <xf numFmtId="0" fontId="23" fillId="0" borderId="0" xfId="0" applyFont="1"/>
    <xf numFmtId="0" fontId="0" fillId="0" borderId="0" xfId="0" applyAlignment="1">
      <alignment wrapText="1"/>
    </xf>
    <xf numFmtId="5" fontId="0" fillId="0" borderId="0" xfId="0" applyNumberFormat="1" applyAlignment="1">
      <alignment horizontal="center"/>
    </xf>
    <xf numFmtId="0" fontId="2" fillId="111" borderId="0" xfId="0" applyFont="1" applyFill="1"/>
    <xf numFmtId="0" fontId="2" fillId="111" borderId="0" xfId="0" applyFont="1" applyFill="1" applyAlignment="1">
      <alignment horizontal="left"/>
    </xf>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applyAlignment="1">
      <alignment horizontal="left"/>
    </xf>
    <xf numFmtId="0" fontId="0" fillId="112" borderId="0" xfId="0" applyFill="1"/>
    <xf numFmtId="0" fontId="0" fillId="111" borderId="32" xfId="0" applyFill="1" applyBorder="1" applyAlignment="1">
      <alignment horizontal="center"/>
    </xf>
    <xf numFmtId="0" fontId="0" fillId="111" borderId="0" xfId="0" applyFill="1" applyAlignment="1">
      <alignment horizontal="center"/>
    </xf>
    <xf numFmtId="0" fontId="2" fillId="112" borderId="0" xfId="0" applyFont="1" applyFill="1"/>
    <xf numFmtId="7" fontId="0" fillId="112" borderId="0" xfId="0" applyNumberFormat="1" applyFill="1"/>
    <xf numFmtId="164" fontId="0" fillId="11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11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0" fillId="0" borderId="0" xfId="4" applyNumberFormat="1" applyFont="1" applyFill="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97" fillId="0" borderId="8" xfId="0" applyFont="1" applyBorder="1" applyAlignment="1">
      <alignment horizontal="center" vertical="center" wrapText="1"/>
    </xf>
    <xf numFmtId="0" fontId="20" fillId="111" borderId="0" xfId="0" applyFont="1" applyFill="1" applyAlignment="1">
      <alignment horizontal="center"/>
    </xf>
    <xf numFmtId="195" fontId="20" fillId="111" borderId="0" xfId="1" applyNumberFormat="1" applyFont="1" applyFill="1" applyAlignment="1">
      <alignment horizontal="center"/>
    </xf>
    <xf numFmtId="196" fontId="20" fillId="111" borderId="0" xfId="1" applyNumberFormat="1" applyFont="1" applyFill="1" applyAlignment="1">
      <alignment horizontal="center"/>
    </xf>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111" borderId="0" xfId="1" applyNumberFormat="1" applyFont="1" applyFill="1" applyAlignment="1">
      <alignment horizontal="left" indent="1"/>
    </xf>
    <xf numFmtId="14" fontId="0" fillId="111" borderId="0" xfId="0" applyNumberFormat="1" applyFill="1"/>
    <xf numFmtId="164" fontId="0" fillId="111" borderId="0" xfId="0" applyNumberFormat="1" applyFill="1"/>
    <xf numFmtId="164" fontId="23" fillId="111" borderId="0" xfId="0" applyNumberFormat="1" applyFont="1" applyFill="1"/>
    <xf numFmtId="0" fontId="20" fillId="111" borderId="0" xfId="0" applyFont="1" applyFill="1" applyAlignment="1">
      <alignment horizontal="left" indent="1"/>
    </xf>
    <xf numFmtId="0" fontId="20" fillId="111" borderId="0" xfId="0" quotePrefix="1" applyFont="1" applyFill="1" applyAlignment="1">
      <alignment horizontal="left"/>
    </xf>
    <xf numFmtId="0" fontId="20" fillId="11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97" fillId="0" borderId="0" xfId="0" applyFont="1"/>
    <xf numFmtId="0" fontId="2" fillId="0" borderId="0" xfId="0" applyFont="1" applyAlignment="1">
      <alignment vertical="center"/>
    </xf>
    <xf numFmtId="0" fontId="20" fillId="112" borderId="0" xfId="0" applyFont="1" applyFill="1"/>
    <xf numFmtId="0" fontId="20" fillId="112" borderId="0" xfId="0" applyFont="1" applyFill="1" applyAlignment="1">
      <alignment horizontal="center"/>
    </xf>
    <xf numFmtId="0" fontId="20" fillId="0" borderId="0" xfId="0" quotePrefix="1" applyFont="1" applyAlignment="1">
      <alignment horizontal="center" wrapText="1"/>
    </xf>
    <xf numFmtId="0" fontId="20" fillId="0" borderId="0" xfId="0" applyFont="1" applyAlignment="1">
      <alignment horizontal="left"/>
    </xf>
    <xf numFmtId="166" fontId="20" fillId="0" borderId="0" xfId="8" applyNumberFormat="1" applyFont="1" applyFill="1" applyBorder="1" applyAlignment="1">
      <alignment horizontal="center"/>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0" fontId="20" fillId="0" borderId="0" xfId="0" applyFont="1" applyAlignment="1">
      <alignment horizontal="left" wrapText="1"/>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0" fillId="0" borderId="0" xfId="0" applyAlignment="1">
      <alignment horizontal="center" wrapText="1"/>
    </xf>
    <xf numFmtId="0" fontId="20" fillId="0" borderId="0" xfId="6" quotePrefix="1" applyFont="1" applyAlignment="1">
      <alignment horizontal="center"/>
    </xf>
    <xf numFmtId="1" fontId="20" fillId="0" borderId="0" xfId="6" quotePrefix="1" applyNumberFormat="1" applyFont="1" applyAlignment="1">
      <alignment horizontal="center"/>
    </xf>
    <xf numFmtId="165" fontId="0" fillId="0" borderId="0" xfId="0" applyNumberFormat="1"/>
    <xf numFmtId="166" fontId="0" fillId="0" borderId="0" xfId="0" applyNumberFormat="1"/>
    <xf numFmtId="17" fontId="20" fillId="0" borderId="32" xfId="6" quotePrefix="1" applyNumberFormat="1" applyFont="1" applyBorder="1" applyAlignment="1">
      <alignment horizontal="left"/>
    </xf>
    <xf numFmtId="1" fontId="20" fillId="0" borderId="32" xfId="6" quotePrefix="1" applyNumberFormat="1" applyFont="1" applyBorder="1" applyAlignment="1">
      <alignment horizontal="center"/>
    </xf>
    <xf numFmtId="0" fontId="20" fillId="0" borderId="0" xfId="6" quotePrefix="1" applyFont="1" applyAlignment="1">
      <alignment horizontal="left"/>
    </xf>
    <xf numFmtId="0" fontId="0" fillId="0" borderId="0" xfId="0" applyAlignment="1">
      <alignment horizontal="center" vertical="center"/>
    </xf>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2" fillId="0" borderId="0" xfId="0" applyFont="1" applyAlignment="1">
      <alignment horizontal="center" wrapText="1"/>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112" borderId="0" xfId="47" applyFont="1" applyFill="1" applyAlignment="1">
      <alignment horizontal="left"/>
    </xf>
    <xf numFmtId="0" fontId="20" fillId="112" borderId="0" xfId="47" applyFont="1" applyFill="1"/>
    <xf numFmtId="0" fontId="20" fillId="11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112" borderId="0" xfId="6" applyFont="1" applyFill="1"/>
    <xf numFmtId="0" fontId="20" fillId="112" borderId="0" xfId="6" applyFont="1" applyFill="1"/>
    <xf numFmtId="0" fontId="20" fillId="0" borderId="0" xfId="6" applyFont="1" applyAlignment="1">
      <alignment horizontal="left"/>
    </xf>
    <xf numFmtId="0" fontId="97" fillId="0" borderId="0" xfId="6" applyFont="1" applyAlignment="1">
      <alignment horizontal="center"/>
    </xf>
    <xf numFmtId="0" fontId="98"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2" xfId="6" applyFont="1" applyBorder="1"/>
    <xf numFmtId="0" fontId="20" fillId="0" borderId="32" xfId="6" applyFont="1" applyBorder="1" applyAlignment="1">
      <alignment horizontal="center"/>
    </xf>
    <xf numFmtId="10" fontId="0" fillId="112" borderId="0" xfId="1" applyNumberFormat="1" applyFont="1" applyFill="1"/>
    <xf numFmtId="0" fontId="20" fillId="0" borderId="0" xfId="6" quotePrefix="1" applyFont="1" applyAlignment="1">
      <alignment horizontal="center" vertical="center" wrapText="1"/>
    </xf>
    <xf numFmtId="0" fontId="20" fillId="0" borderId="32" xfId="6" applyFont="1" applyBorder="1" applyAlignment="1">
      <alignment horizontal="left"/>
    </xf>
    <xf numFmtId="0" fontId="20" fillId="0" borderId="0" xfId="6" applyFont="1" applyAlignment="1">
      <alignment horizontal="right" indent="1"/>
    </xf>
    <xf numFmtId="0" fontId="20" fillId="112" borderId="0" xfId="6" applyFont="1" applyFill="1" applyAlignment="1">
      <alignment horizontal="right" indent="1"/>
    </xf>
    <xf numFmtId="10" fontId="20" fillId="0" borderId="0" xfId="6" applyNumberFormat="1" applyFont="1"/>
    <xf numFmtId="166" fontId="20" fillId="0" borderId="0" xfId="6" applyNumberFormat="1" applyFont="1"/>
    <xf numFmtId="166" fontId="0" fillId="0" borderId="0" xfId="8" applyNumberFormat="1" applyFont="1"/>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0" fontId="97" fillId="0" borderId="0" xfId="0" applyFont="1" applyAlignment="1">
      <alignment horizontal="left"/>
    </xf>
    <xf numFmtId="165" fontId="0" fillId="0" borderId="32" xfId="9" applyNumberFormat="1" applyFont="1" applyFill="1" applyBorder="1"/>
    <xf numFmtId="166" fontId="0" fillId="0" borderId="0" xfId="9" applyNumberFormat="1" applyFont="1" applyFill="1" applyBorder="1"/>
    <xf numFmtId="166" fontId="0" fillId="0" borderId="0" xfId="9" applyNumberFormat="1" applyFont="1" applyFill="1"/>
    <xf numFmtId="17" fontId="97" fillId="11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112" borderId="0" xfId="0" applyFill="1" applyAlignment="1">
      <alignment horizontal="center"/>
    </xf>
    <xf numFmtId="0" fontId="2" fillId="112" borderId="0" xfId="0" quotePrefix="1" applyFont="1" applyFill="1" applyAlignment="1">
      <alignment horizontal="center"/>
    </xf>
    <xf numFmtId="166" fontId="20" fillId="0" borderId="0" xfId="0" applyNumberFormat="1" applyFont="1" applyAlignment="1">
      <alignment horizontal="center"/>
    </xf>
    <xf numFmtId="0" fontId="20" fillId="0" borderId="32" xfId="0" applyFont="1" applyBorder="1"/>
    <xf numFmtId="166" fontId="97" fillId="0" borderId="0" xfId="0" applyNumberFormat="1" applyFont="1"/>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0" fillId="0" borderId="0" xfId="49" applyNumberFormat="1" applyFont="1" applyAlignment="1">
      <alignment horizontal="right"/>
    </xf>
    <xf numFmtId="164" fontId="2" fillId="0" borderId="0" xfId="0" applyNumberFormat="1" applyFont="1"/>
    <xf numFmtId="0" fontId="97" fillId="11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2" xfId="0" applyFont="1" applyBorder="1" applyAlignment="1">
      <alignment horizontal="left"/>
    </xf>
    <xf numFmtId="0" fontId="0" fillId="0" borderId="32"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4" fontId="20" fillId="111" borderId="0" xfId="6" applyNumberFormat="1" applyFont="1" applyFill="1" applyAlignment="1">
      <alignment horizontal="center"/>
    </xf>
    <xf numFmtId="0" fontId="0" fillId="11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4" fontId="20" fillId="111" borderId="0" xfId="47" quotePrefix="1" applyNumberFormat="1" applyFont="1" applyFill="1" applyAlignment="1">
      <alignment horizontal="center"/>
    </xf>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111" borderId="0" xfId="0" applyFill="1" applyAlignment="1">
      <alignment wrapText="1"/>
    </xf>
    <xf numFmtId="0" fontId="20" fillId="0" borderId="0" xfId="0" applyFont="1" applyAlignment="1">
      <alignment horizontal="right" indent="1"/>
    </xf>
    <xf numFmtId="14" fontId="0" fillId="0" borderId="0" xfId="0" applyNumberFormat="1"/>
    <xf numFmtId="44" fontId="0" fillId="11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4"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10" fontId="0" fillId="0" borderId="0" xfId="1" applyNumberFormat="1" applyFont="1" applyAlignment="1">
      <alignment vertical="center"/>
    </xf>
    <xf numFmtId="0" fontId="2" fillId="0" borderId="8" xfId="0" applyFont="1" applyBorder="1" applyAlignment="1">
      <alignment horizontal="center"/>
    </xf>
    <xf numFmtId="0" fontId="0" fillId="0" borderId="0" xfId="0" quotePrefix="1"/>
    <xf numFmtId="0" fontId="2" fillId="0" borderId="0" xfId="47" applyFont="1" applyAlignment="1">
      <alignment horizontal="center"/>
    </xf>
    <xf numFmtId="0" fontId="20" fillId="0" borderId="36" xfId="47" applyFont="1" applyBorder="1"/>
    <xf numFmtId="0" fontId="20" fillId="0" borderId="38" xfId="47" applyFont="1" applyBorder="1"/>
    <xf numFmtId="0" fontId="20" fillId="0" borderId="6" xfId="47" applyFont="1" applyBorder="1"/>
    <xf numFmtId="0" fontId="97" fillId="0" borderId="6" xfId="47" applyFont="1" applyBorder="1"/>
    <xf numFmtId="0" fontId="97" fillId="0" borderId="38"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7" xfId="47" applyFont="1" applyBorder="1" applyAlignment="1">
      <alignment horizontal="center"/>
    </xf>
    <xf numFmtId="0" fontId="98" fillId="0" borderId="33" xfId="47" applyFont="1" applyBorder="1" applyAlignment="1">
      <alignment horizontal="center"/>
    </xf>
    <xf numFmtId="0" fontId="20" fillId="0" borderId="33"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111" borderId="0" xfId="0" quotePrefix="1" applyFill="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0" fontId="4" fillId="112" borderId="0" xfId="0" applyFont="1" applyFill="1"/>
    <xf numFmtId="6" fontId="0" fillId="111" borderId="0" xfId="4" applyNumberFormat="1" applyFont="1" applyFill="1" applyBorder="1"/>
    <xf numFmtId="0" fontId="4" fillId="0" borderId="0" xfId="0" applyFont="1" applyAlignment="1">
      <alignment horizontal="left"/>
    </xf>
    <xf numFmtId="0" fontId="4" fillId="11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112" borderId="0" xfId="0" applyNumberFormat="1" applyFill="1" applyAlignment="1">
      <alignment horizontal="right"/>
    </xf>
    <xf numFmtId="10" fontId="20" fillId="112" borderId="0" xfId="9" applyNumberFormat="1" applyFont="1" applyFill="1" applyBorder="1"/>
    <xf numFmtId="5" fontId="2" fillId="0" borderId="34" xfId="0" applyNumberFormat="1" applyFont="1" applyBorder="1"/>
    <xf numFmtId="5" fontId="2" fillId="0" borderId="15" xfId="0" applyNumberFormat="1" applyFont="1" applyBorder="1"/>
    <xf numFmtId="10" fontId="2" fillId="0" borderId="0" xfId="1" applyNumberFormat="1" applyFont="1"/>
    <xf numFmtId="10" fontId="2" fillId="112" borderId="0" xfId="1" applyNumberFormat="1" applyFont="1" applyFill="1"/>
    <xf numFmtId="3" fontId="0" fillId="0" borderId="0" xfId="0" applyNumberFormat="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5" fontId="0" fillId="111" borderId="0" xfId="4" applyNumberFormat="1" applyFont="1" applyFill="1" applyAlignment="1">
      <alignment wrapText="1"/>
    </xf>
    <xf numFmtId="0" fontId="3" fillId="0" borderId="0" xfId="0" applyFont="1" applyAlignment="1">
      <alignment horizontal="center"/>
    </xf>
    <xf numFmtId="166" fontId="0" fillId="0" borderId="0" xfId="4" applyNumberFormat="1" applyFont="1" applyFill="1" applyBorder="1"/>
    <xf numFmtId="166" fontId="0" fillId="111" borderId="32" xfId="4" applyNumberFormat="1" applyFont="1" applyFill="1" applyBorder="1"/>
    <xf numFmtId="201" fontId="0" fillId="111" borderId="0" xfId="4" applyNumberFormat="1" applyFont="1" applyFill="1"/>
    <xf numFmtId="3" fontId="20" fillId="0" borderId="0" xfId="0" applyNumberFormat="1" applyFont="1"/>
    <xf numFmtId="0" fontId="105" fillId="0" borderId="0" xfId="0" applyFont="1"/>
    <xf numFmtId="0" fontId="106" fillId="0" borderId="0" xfId="0" applyFont="1"/>
    <xf numFmtId="3" fontId="20" fillId="111" borderId="32" xfId="0" applyNumberFormat="1" applyFont="1" applyFill="1" applyBorder="1"/>
    <xf numFmtId="0" fontId="20" fillId="0" borderId="0" xfId="0" applyFont="1" applyAlignment="1">
      <alignment horizontal="centerContinuous"/>
    </xf>
    <xf numFmtId="3" fontId="20" fillId="0" borderId="0" xfId="0" applyNumberFormat="1" applyFont="1" applyAlignment="1">
      <alignment horizontal="center"/>
    </xf>
    <xf numFmtId="0" fontId="97" fillId="0" borderId="0" xfId="0" quotePrefix="1" applyFont="1" applyAlignment="1">
      <alignment horizontal="right"/>
    </xf>
    <xf numFmtId="0" fontId="20" fillId="0" borderId="0" xfId="0"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102" fillId="0" borderId="0" xfId="0" applyFont="1" applyAlignment="1">
      <alignment horizontal="center"/>
    </xf>
    <xf numFmtId="0" fontId="97" fillId="0" borderId="40" xfId="0" applyFont="1" applyBorder="1"/>
    <xf numFmtId="166" fontId="20" fillId="111" borderId="0" xfId="8160" applyNumberFormat="1" applyFont="1" applyFill="1" applyBorder="1"/>
    <xf numFmtId="166" fontId="20" fillId="0" borderId="0" xfId="8160" applyNumberFormat="1" applyFont="1" applyFill="1" applyBorder="1"/>
    <xf numFmtId="166" fontId="20" fillId="111" borderId="0" xfId="8160" applyNumberFormat="1" applyFont="1" applyFill="1" applyBorder="1" applyAlignment="1">
      <alignment horizontal="center"/>
    </xf>
    <xf numFmtId="166" fontId="20" fillId="0" borderId="0" xfId="8160" applyNumberFormat="1" applyFont="1" applyFill="1" applyAlignment="1">
      <alignment horizontal="center"/>
    </xf>
    <xf numFmtId="166" fontId="20" fillId="0" borderId="0" xfId="8160" applyNumberFormat="1" applyFont="1" applyFill="1" applyBorder="1" applyAlignment="1">
      <alignment horizontal="center"/>
    </xf>
    <xf numFmtId="37" fontId="20" fillId="111" borderId="0" xfId="8160" applyNumberFormat="1" applyFont="1" applyFill="1" applyBorder="1"/>
    <xf numFmtId="37" fontId="20" fillId="0" borderId="0" xfId="8160" applyNumberFormat="1" applyFont="1" applyFill="1" applyBorder="1"/>
    <xf numFmtId="166" fontId="20" fillId="11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167" fontId="20" fillId="0" borderId="0" xfId="0" applyNumberFormat="1" applyFont="1"/>
    <xf numFmtId="203" fontId="20" fillId="0" borderId="0" xfId="0" applyNumberFormat="1" applyFont="1" applyAlignment="1">
      <alignment horizontal="center"/>
    </xf>
    <xf numFmtId="167" fontId="20" fillId="0" borderId="0" xfId="0" applyNumberFormat="1" applyFont="1" applyAlignment="1">
      <alignment horizontal="center"/>
    </xf>
    <xf numFmtId="0" fontId="20" fillId="0" borderId="0" xfId="0" applyFont="1" applyAlignment="1">
      <alignment horizontal="center" vertical="center"/>
    </xf>
    <xf numFmtId="3" fontId="20" fillId="0" borderId="0" xfId="0" applyNumberFormat="1" applyFont="1" applyAlignment="1">
      <alignment horizontal="centerContinuous"/>
    </xf>
    <xf numFmtId="3" fontId="97" fillId="0" borderId="0" xfId="0" applyNumberFormat="1" applyFont="1"/>
    <xf numFmtId="3" fontId="20" fillId="0" borderId="0" xfId="0" applyNumberFormat="1" applyFont="1" applyAlignment="1">
      <alignment horizontal="left"/>
    </xf>
    <xf numFmtId="10" fontId="20" fillId="0" borderId="0" xfId="1" applyNumberFormat="1" applyFont="1"/>
    <xf numFmtId="0" fontId="97" fillId="11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111" borderId="0" xfId="0" applyFont="1" applyFill="1"/>
    <xf numFmtId="0" fontId="20" fillId="0" borderId="33" xfId="0" applyFont="1" applyBorder="1"/>
    <xf numFmtId="0" fontId="20" fillId="0" borderId="0" xfId="6" quotePrefix="1" applyFont="1" applyAlignment="1">
      <alignment horizontal="center" vertical="center"/>
    </xf>
    <xf numFmtId="0" fontId="20" fillId="111" borderId="0" xfId="0" applyFont="1" applyFill="1" applyAlignment="1">
      <alignment horizontal="left"/>
    </xf>
    <xf numFmtId="0" fontId="0" fillId="0" borderId="0" xfId="0" applyAlignment="1">
      <alignment horizontal="left" wrapText="1"/>
    </xf>
    <xf numFmtId="0" fontId="2" fillId="0" borderId="41" xfId="0" applyFont="1" applyBorder="1" applyAlignment="1">
      <alignment horizontal="center"/>
    </xf>
    <xf numFmtId="0" fontId="0" fillId="0" borderId="42" xfId="0" applyBorder="1"/>
    <xf numFmtId="0" fontId="0" fillId="0" borderId="43" xfId="0" applyBorder="1"/>
    <xf numFmtId="0" fontId="0" fillId="0" borderId="41"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3" xfId="0" applyNumberFormat="1" applyFont="1" applyBorder="1"/>
    <xf numFmtId="5" fontId="20" fillId="111" borderId="0" xfId="6" applyNumberFormat="1" applyFont="1" applyFill="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0" fillId="111" borderId="0" xfId="9" applyNumberFormat="1" applyFont="1" applyFill="1" applyBorder="1"/>
    <xf numFmtId="7" fontId="20" fillId="0" borderId="0" xfId="1" applyNumberFormat="1" applyFont="1" applyBorder="1"/>
    <xf numFmtId="5" fontId="20" fillId="0" borderId="44"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0" fillId="0" borderId="0" xfId="0" applyNumberFormat="1" applyAlignment="1">
      <alignment horizontal="right"/>
    </xf>
    <xf numFmtId="5" fontId="3" fillId="0" borderId="0" xfId="0" applyNumberFormat="1" applyFont="1"/>
    <xf numFmtId="5" fontId="20" fillId="111" borderId="0" xfId="0" applyNumberFormat="1" applyFont="1" applyFill="1"/>
    <xf numFmtId="192" fontId="0" fillId="0" borderId="0" xfId="0" applyNumberFormat="1"/>
    <xf numFmtId="5" fontId="0" fillId="0" borderId="0" xfId="0" applyNumberFormat="1" applyAlignment="1">
      <alignment vertical="center"/>
    </xf>
    <xf numFmtId="10" fontId="0" fillId="11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111" borderId="0" xfId="47" applyNumberFormat="1" applyFont="1" applyFill="1"/>
    <xf numFmtId="5" fontId="20" fillId="111" borderId="32" xfId="47" applyNumberFormat="1" applyFont="1" applyFill="1" applyBorder="1"/>
    <xf numFmtId="44" fontId="0" fillId="0" borderId="0" xfId="0" applyNumberFormat="1" applyAlignment="1">
      <alignment horizontal="left"/>
    </xf>
    <xf numFmtId="44" fontId="0" fillId="112" borderId="0" xfId="0" applyNumberFormat="1" applyFill="1" applyAlignment="1">
      <alignment horizontal="left"/>
    </xf>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2" xfId="4" applyNumberFormat="1" applyFont="1" applyBorder="1"/>
    <xf numFmtId="5" fontId="20" fillId="111" borderId="0" xfId="8160" applyNumberFormat="1" applyFont="1" applyFill="1" applyBorder="1" applyProtection="1">
      <protection locked="0"/>
    </xf>
    <xf numFmtId="5" fontId="20" fillId="111" borderId="32" xfId="8160" applyNumberFormat="1" applyFont="1" applyFill="1" applyBorder="1" applyProtection="1">
      <protection locked="0"/>
    </xf>
    <xf numFmtId="5" fontId="20" fillId="111" borderId="0" xfId="0" applyNumberFormat="1" applyFont="1" applyFill="1" applyProtection="1">
      <protection locked="0"/>
    </xf>
    <xf numFmtId="5" fontId="20" fillId="111" borderId="0" xfId="0" applyNumberFormat="1" applyFont="1" applyFill="1" applyAlignment="1">
      <alignment horizontal="center"/>
    </xf>
    <xf numFmtId="5" fontId="97" fillId="0" borderId="0" xfId="0" applyNumberFormat="1" applyFont="1"/>
    <xf numFmtId="5" fontId="20" fillId="111" borderId="0" xfId="8" applyNumberFormat="1" applyFont="1" applyFill="1"/>
    <xf numFmtId="5" fontId="20" fillId="111" borderId="0" xfId="8" applyNumberFormat="1" applyFont="1" applyFill="1" applyBorder="1"/>
    <xf numFmtId="5" fontId="20" fillId="0" borderId="0" xfId="8" applyNumberFormat="1" applyFont="1" applyFill="1" applyBorder="1"/>
    <xf numFmtId="5" fontId="20" fillId="0" borderId="32" xfId="8" applyNumberFormat="1" applyFont="1" applyFill="1" applyBorder="1"/>
    <xf numFmtId="5" fontId="0" fillId="111" borderId="0" xfId="8" applyNumberFormat="1" applyFont="1" applyFill="1"/>
    <xf numFmtId="5" fontId="20" fillId="111" borderId="32" xfId="8" applyNumberFormat="1" applyFont="1" applyFill="1" applyBorder="1"/>
    <xf numFmtId="5" fontId="0" fillId="0" borderId="32" xfId="8" applyNumberFormat="1" applyFont="1" applyFill="1" applyBorder="1"/>
    <xf numFmtId="5" fontId="0" fillId="0" borderId="0" xfId="8" applyNumberFormat="1" applyFont="1" applyFill="1"/>
    <xf numFmtId="5" fontId="0" fillId="111" borderId="32"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2" xfId="9" applyNumberFormat="1" applyFont="1" applyFill="1" applyBorder="1"/>
    <xf numFmtId="5" fontId="0" fillId="111" borderId="0" xfId="9" applyNumberFormat="1" applyFont="1" applyFill="1"/>
    <xf numFmtId="5" fontId="20" fillId="111" borderId="32" xfId="9" applyNumberFormat="1" applyFont="1" applyFill="1" applyBorder="1"/>
    <xf numFmtId="5" fontId="0" fillId="0" borderId="0" xfId="9" applyNumberFormat="1" applyFont="1" applyFill="1"/>
    <xf numFmtId="5" fontId="0" fillId="111" borderId="0" xfId="8" applyNumberFormat="1" applyFont="1" applyFill="1" applyBorder="1"/>
    <xf numFmtId="5" fontId="0" fillId="0" borderId="0" xfId="49" applyNumberFormat="1" applyFon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0" fillId="0" borderId="32" xfId="0" applyNumberFormat="1" applyFont="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11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111" borderId="0" xfId="0" applyNumberFormat="1" applyFill="1" applyAlignment="1">
      <alignment horizontal="right"/>
    </xf>
    <xf numFmtId="5" fontId="2" fillId="111" borderId="0" xfId="0" applyNumberFormat="1" applyFont="1" applyFill="1"/>
    <xf numFmtId="5" fontId="0" fillId="111" borderId="0" xfId="4" applyNumberFormat="1" applyFont="1" applyFill="1" applyBorder="1"/>
    <xf numFmtId="5" fontId="0" fillId="0" borderId="0" xfId="4" applyNumberFormat="1" applyFont="1" applyBorder="1"/>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10" fontId="2" fillId="0" borderId="32"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199" fontId="20" fillId="0" borderId="0" xfId="0" applyNumberFormat="1" applyFont="1"/>
    <xf numFmtId="5" fontId="97" fillId="0" borderId="33"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0" fillId="0" borderId="33" xfId="0" applyBorder="1"/>
    <xf numFmtId="0" fontId="0" fillId="111" borderId="41"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2" xfId="6" applyNumberFormat="1" applyFont="1" applyBorder="1"/>
    <xf numFmtId="166" fontId="0" fillId="0" borderId="32" xfId="4" applyNumberFormat="1" applyFont="1" applyFill="1" applyBorder="1"/>
    <xf numFmtId="5" fontId="0" fillId="0" borderId="32"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4" fontId="97" fillId="0" borderId="0" xfId="6" applyNumberFormat="1" applyFont="1"/>
    <xf numFmtId="166" fontId="2" fillId="0" borderId="0" xfId="0" applyNumberFormat="1" applyFont="1"/>
    <xf numFmtId="6" fontId="0" fillId="0" borderId="0" xfId="4" applyNumberFormat="1" applyFont="1" applyFill="1"/>
    <xf numFmtId="5" fontId="2" fillId="0" borderId="44" xfId="0" applyNumberFormat="1" applyFont="1" applyBorder="1"/>
    <xf numFmtId="14" fontId="20" fillId="111" borderId="0" xfId="0" quotePrefix="1" applyNumberFormat="1" applyFont="1" applyFill="1" applyAlignment="1">
      <alignment horizontal="right" vertical="center"/>
    </xf>
    <xf numFmtId="14" fontId="20" fillId="111" borderId="0" xfId="0" applyNumberFormat="1" applyFont="1" applyFill="1" applyAlignment="1">
      <alignment horizontal="right" vertical="center"/>
    </xf>
    <xf numFmtId="10" fontId="2" fillId="0" borderId="33" xfId="0" applyNumberFormat="1" applyFont="1" applyBorder="1"/>
    <xf numFmtId="164" fontId="2" fillId="0" borderId="0" xfId="4" applyNumberFormat="1" applyFont="1"/>
    <xf numFmtId="0" fontId="97" fillId="0" borderId="0" xfId="47" applyFont="1" applyAlignment="1">
      <alignment horizontal="left" indent="1"/>
    </xf>
    <xf numFmtId="2" fontId="97" fillId="0" borderId="0" xfId="0" applyNumberFormat="1" applyFont="1" applyAlignment="1">
      <alignment horizontal="left"/>
    </xf>
    <xf numFmtId="5" fontId="97" fillId="0" borderId="0" xfId="0" applyNumberFormat="1" applyFont="1" applyProtection="1">
      <protection locked="0"/>
    </xf>
    <xf numFmtId="10" fontId="97" fillId="111" borderId="0" xfId="1" applyNumberFormat="1" applyFont="1" applyFill="1" applyBorder="1" applyProtection="1">
      <protection locked="0"/>
    </xf>
    <xf numFmtId="2" fontId="98" fillId="0" borderId="0" xfId="0" applyNumberFormat="1" applyFont="1" applyAlignment="1">
      <alignment horizontal="left"/>
    </xf>
    <xf numFmtId="0" fontId="97" fillId="0" borderId="33" xfId="0" applyFont="1" applyBorder="1" applyAlignment="1">
      <alignment horizontal="center" vertical="center" wrapText="1"/>
    </xf>
    <xf numFmtId="5" fontId="97" fillId="0" borderId="33" xfId="8" applyNumberFormat="1" applyFont="1" applyFill="1" applyBorder="1"/>
    <xf numFmtId="0" fontId="97" fillId="0" borderId="33"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2"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2" xfId="47" applyFont="1" applyBorder="1"/>
    <xf numFmtId="0" fontId="20" fillId="0" borderId="32" xfId="47" applyFont="1" applyBorder="1" applyAlignment="1">
      <alignment horizontal="center"/>
    </xf>
    <xf numFmtId="5" fontId="20" fillId="0" borderId="32" xfId="0" applyNumberFormat="1" applyFont="1" applyBorder="1" applyAlignment="1">
      <alignment horizontal="right"/>
    </xf>
    <xf numFmtId="5" fontId="20" fillId="0" borderId="32" xfId="0" quotePrefix="1" applyNumberFormat="1" applyFont="1" applyBorder="1" applyAlignment="1">
      <alignment horizontal="center"/>
    </xf>
    <xf numFmtId="5" fontId="97" fillId="0" borderId="46" xfId="6" applyNumberFormat="1" applyFont="1" applyBorder="1" applyAlignment="1">
      <alignment horizontal="right"/>
    </xf>
    <xf numFmtId="0" fontId="0" fillId="111" borderId="0" xfId="0" applyFill="1" applyAlignment="1">
      <alignment horizontal="left"/>
    </xf>
    <xf numFmtId="10" fontId="0" fillId="0" borderId="32" xfId="1" applyNumberFormat="1" applyFont="1" applyFill="1" applyBorder="1" applyAlignment="1">
      <alignment horizontal="right"/>
    </xf>
    <xf numFmtId="37" fontId="0" fillId="111" borderId="0" xfId="1" applyNumberFormat="1" applyFont="1" applyFill="1" applyAlignment="1">
      <alignment horizontal="right"/>
    </xf>
    <xf numFmtId="37" fontId="0" fillId="111" borderId="32"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111" borderId="0" xfId="4" applyNumberFormat="1" applyFont="1" applyFill="1" applyBorder="1" applyAlignment="1">
      <alignment horizontal="right" indent="1"/>
    </xf>
    <xf numFmtId="14" fontId="20" fillId="111" borderId="0" xfId="0" applyNumberFormat="1" applyFont="1" applyFill="1" applyAlignment="1">
      <alignment horizontal="center"/>
    </xf>
    <xf numFmtId="0" fontId="20" fillId="0" borderId="0" xfId="47" applyFont="1" applyAlignment="1">
      <alignment horizontal="left"/>
    </xf>
    <xf numFmtId="43" fontId="0" fillId="0" borderId="0" xfId="0" applyNumberFormat="1"/>
    <xf numFmtId="5" fontId="0" fillId="0" borderId="0" xfId="0" applyNumberFormat="1" applyAlignment="1">
      <alignment horizontal="left"/>
    </xf>
    <xf numFmtId="5" fontId="2" fillId="0" borderId="33" xfId="4" applyNumberFormat="1" applyFont="1" applyFill="1" applyBorder="1"/>
    <xf numFmtId="10" fontId="2" fillId="0" borderId="0" xfId="0" applyNumberFormat="1" applyFont="1" applyAlignment="1">
      <alignment horizontal="right"/>
    </xf>
    <xf numFmtId="5" fontId="0" fillId="0" borderId="32"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3" fontId="98" fillId="0" borderId="50" xfId="0" quotePrefix="1" applyNumberFormat="1" applyFont="1" applyBorder="1" applyAlignment="1">
      <alignment horizontal="center"/>
    </xf>
    <xf numFmtId="3" fontId="98" fillId="0" borderId="49" xfId="0" quotePrefix="1" applyNumberFormat="1" applyFont="1" applyBorder="1" applyAlignment="1">
      <alignment horizontal="center"/>
    </xf>
    <xf numFmtId="167" fontId="20" fillId="0" borderId="49" xfId="0" applyNumberFormat="1" applyFont="1" applyBorder="1" applyAlignment="1">
      <alignment horizontal="center"/>
    </xf>
    <xf numFmtId="167" fontId="96" fillId="0" borderId="49" xfId="0" applyNumberFormat="1" applyFont="1" applyBorder="1" applyAlignment="1">
      <alignment horizontal="center"/>
    </xf>
    <xf numFmtId="167" fontId="20" fillId="0" borderId="49" xfId="0" applyNumberFormat="1" applyFont="1" applyBorder="1"/>
    <xf numFmtId="10" fontId="97" fillId="0" borderId="46" xfId="1" applyNumberFormat="1" applyFont="1" applyFill="1" applyBorder="1" applyAlignment="1">
      <alignment horizontal="center"/>
    </xf>
    <xf numFmtId="0" fontId="1" fillId="0" borderId="0" xfId="24911"/>
    <xf numFmtId="0" fontId="111" fillId="0" borderId="0" xfId="47" applyFont="1" applyAlignment="1">
      <alignment horizontal="center"/>
    </xf>
    <xf numFmtId="0" fontId="1" fillId="0" borderId="0" xfId="24911" applyAlignment="1">
      <alignment horizontal="center"/>
    </xf>
    <xf numFmtId="0" fontId="110" fillId="0" borderId="0" xfId="31683" applyFont="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110" fillId="0" borderId="0" xfId="31683" quotePrefix="1" applyFont="1" applyAlignment="1">
      <alignment horizontal="center"/>
    </xf>
    <xf numFmtId="0" fontId="110" fillId="0" borderId="0" xfId="31683" applyFont="1" applyAlignment="1">
      <alignment horizontal="center"/>
    </xf>
    <xf numFmtId="39" fontId="97" fillId="0" borderId="0" xfId="31683" quotePrefix="1" applyNumberFormat="1" applyFont="1" applyAlignment="1">
      <alignment horizontal="center"/>
    </xf>
    <xf numFmtId="0" fontId="110" fillId="0" borderId="26" xfId="31683" applyFont="1" applyBorder="1"/>
    <xf numFmtId="14" fontId="11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110" fillId="0" borderId="0" xfId="31683" applyNumberFormat="1" applyFont="1"/>
    <xf numFmtId="37" fontId="20" fillId="0" borderId="0" xfId="31683" applyNumberFormat="1" applyFont="1" applyAlignment="1">
      <alignment horizontal="center"/>
    </xf>
    <xf numFmtId="37" fontId="20" fillId="0" borderId="32" xfId="31683" applyNumberFormat="1" applyFont="1" applyBorder="1" applyAlignment="1">
      <alignment horizontal="right"/>
    </xf>
    <xf numFmtId="37" fontId="110" fillId="0" borderId="32" xfId="31683" applyNumberFormat="1" applyFont="1" applyBorder="1"/>
    <xf numFmtId="0" fontId="110" fillId="0" borderId="0" xfId="24911" applyFont="1"/>
    <xf numFmtId="0" fontId="110" fillId="0" borderId="32" xfId="31683" applyFont="1" applyBorder="1"/>
    <xf numFmtId="0" fontId="20" fillId="0" borderId="0" xfId="47" applyFont="1" applyAlignment="1">
      <alignment horizontal="fill"/>
    </xf>
    <xf numFmtId="0" fontId="20" fillId="0" borderId="32" xfId="16013" applyFont="1" applyBorder="1"/>
    <xf numFmtId="0" fontId="11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1" fillId="0" borderId="0" xfId="47" applyFont="1"/>
    <xf numFmtId="0" fontId="97" fillId="111" borderId="0" xfId="0" applyFont="1" applyFill="1" applyAlignment="1">
      <alignment horizontal="left"/>
    </xf>
    <xf numFmtId="5" fontId="20" fillId="111" borderId="0" xfId="0" applyNumberFormat="1" applyFont="1" applyFill="1" applyAlignment="1">
      <alignment horizontal="right"/>
    </xf>
    <xf numFmtId="37" fontId="110" fillId="113" borderId="0" xfId="31683" applyNumberFormat="1" applyFont="1" applyFill="1"/>
    <xf numFmtId="0" fontId="110" fillId="113" borderId="0" xfId="31683" applyFont="1" applyFill="1" applyAlignment="1">
      <alignment horizontal="center"/>
    </xf>
    <xf numFmtId="0" fontId="110" fillId="113" borderId="0" xfId="31683"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97" fillId="0" borderId="34" xfId="7" applyNumberFormat="1" applyFont="1" applyBorder="1" applyAlignment="1">
      <alignment vertical="center"/>
    </xf>
    <xf numFmtId="5" fontId="20" fillId="0" borderId="0" xfId="7" applyNumberFormat="1" applyFont="1"/>
    <xf numFmtId="0" fontId="20" fillId="0" borderId="0" xfId="0" applyFont="1" applyAlignment="1">
      <alignment horizontal="right" wrapText="1"/>
    </xf>
    <xf numFmtId="0" fontId="96" fillId="0" borderId="0" xfId="6" quotePrefix="1" applyFont="1" applyAlignment="1">
      <alignment horizontal="center"/>
    </xf>
    <xf numFmtId="0" fontId="97" fillId="0" borderId="33" xfId="6" applyFont="1" applyBorder="1" applyAlignment="1">
      <alignment horizontal="left"/>
    </xf>
    <xf numFmtId="0" fontId="97" fillId="0" borderId="33" xfId="6" quotePrefix="1" applyFont="1" applyBorder="1" applyAlignment="1">
      <alignment horizontal="left"/>
    </xf>
    <xf numFmtId="5" fontId="97" fillId="0" borderId="33" xfId="9" applyNumberFormat="1" applyFont="1" applyFill="1" applyBorder="1"/>
    <xf numFmtId="5" fontId="2" fillId="0" borderId="33" xfId="0" applyNumberFormat="1" applyFont="1" applyBorder="1"/>
    <xf numFmtId="6" fontId="100" fillId="0" borderId="0" xfId="0" applyNumberFormat="1" applyFont="1"/>
    <xf numFmtId="0" fontId="20" fillId="113" borderId="0" xfId="11" applyFont="1" applyFill="1" applyAlignment="1">
      <alignment horizontal="left" vertical="center"/>
    </xf>
    <xf numFmtId="5" fontId="20" fillId="0" borderId="0" xfId="6" applyNumberFormat="1" applyFont="1"/>
    <xf numFmtId="5" fontId="0" fillId="0" borderId="0" xfId="9" applyNumberFormat="1" applyFont="1"/>
    <xf numFmtId="5" fontId="20" fillId="111" borderId="0" xfId="9" applyNumberFormat="1" applyFont="1" applyFill="1"/>
    <xf numFmtId="6" fontId="20" fillId="111" borderId="0" xfId="4" applyNumberFormat="1" applyFont="1" applyFill="1"/>
    <xf numFmtId="164" fontId="20" fillId="0" borderId="39" xfId="47" applyNumberFormat="1" applyFont="1" applyBorder="1"/>
    <xf numFmtId="164" fontId="96" fillId="0" borderId="39" xfId="47" applyNumberFormat="1" applyFont="1" applyBorder="1"/>
    <xf numFmtId="164" fontId="96" fillId="0" borderId="0" xfId="47" applyNumberFormat="1" applyFont="1" applyAlignment="1">
      <alignment horizontal="right"/>
    </xf>
    <xf numFmtId="166" fontId="20" fillId="0" borderId="0" xfId="4" applyNumberFormat="1" applyFont="1"/>
    <xf numFmtId="0" fontId="110" fillId="0" borderId="6" xfId="47" applyFont="1" applyBorder="1" applyAlignment="1">
      <alignment horizontal="right"/>
    </xf>
    <xf numFmtId="5" fontId="97" fillId="0" borderId="33"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35" xfId="47" applyNumberFormat="1" applyFont="1" applyBorder="1"/>
    <xf numFmtId="0" fontId="20" fillId="0" borderId="33" xfId="47" applyFont="1" applyBorder="1" applyAlignment="1">
      <alignment horizontal="right"/>
    </xf>
    <xf numFmtId="164" fontId="20" fillId="0" borderId="33" xfId="47" applyNumberFormat="1" applyFont="1" applyBorder="1"/>
    <xf numFmtId="0" fontId="20" fillId="0" borderId="33" xfId="47" applyFont="1" applyBorder="1" applyAlignment="1">
      <alignment horizontal="left" indent="1"/>
    </xf>
    <xf numFmtId="164" fontId="20" fillId="0" borderId="37" xfId="47" applyNumberFormat="1" applyFont="1" applyBorder="1"/>
    <xf numFmtId="5" fontId="97" fillId="0" borderId="15" xfId="47" applyNumberFormat="1" applyFont="1" applyBorder="1"/>
    <xf numFmtId="164" fontId="96" fillId="0" borderId="35" xfId="47" applyNumberFormat="1" applyFont="1" applyBorder="1"/>
    <xf numFmtId="164" fontId="97" fillId="0" borderId="0" xfId="47" applyNumberFormat="1" applyFont="1"/>
    <xf numFmtId="164" fontId="96" fillId="0" borderId="37" xfId="47" applyNumberFormat="1" applyFont="1" applyBorder="1"/>
    <xf numFmtId="5" fontId="97" fillId="111" borderId="0" xfId="47" applyNumberFormat="1" applyFont="1" applyFill="1"/>
    <xf numFmtId="5" fontId="20" fillId="111" borderId="0" xfId="4"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111" borderId="0" xfId="4" applyNumberFormat="1" applyFont="1" applyFill="1"/>
    <xf numFmtId="5" fontId="20" fillId="0" borderId="32" xfId="4" applyNumberFormat="1" applyFont="1" applyFill="1" applyBorder="1"/>
    <xf numFmtId="5" fontId="110" fillId="111" borderId="0" xfId="1" applyNumberFormat="1" applyFont="1" applyFill="1" applyAlignment="1">
      <alignment horizontal="right"/>
    </xf>
    <xf numFmtId="5" fontId="0" fillId="113" borderId="0" xfId="4" applyNumberFormat="1" applyFont="1" applyFill="1"/>
    <xf numFmtId="7" fontId="2" fillId="0" borderId="0" xfId="0" applyNumberFormat="1" applyFont="1" applyAlignment="1">
      <alignment horizontal="right"/>
    </xf>
    <xf numFmtId="10" fontId="2" fillId="0" borderId="32" xfId="0" applyNumberFormat="1" applyFont="1" applyBorder="1" applyAlignment="1">
      <alignment horizontal="right"/>
    </xf>
    <xf numFmtId="5" fontId="2" fillId="0" borderId="33" xfId="4" applyNumberFormat="1" applyFont="1" applyBorder="1"/>
    <xf numFmtId="5" fontId="20" fillId="0" borderId="44" xfId="6" applyNumberFormat="1" applyFont="1" applyBorder="1" applyAlignment="1">
      <alignment horizontal="right"/>
    </xf>
    <xf numFmtId="0" fontId="2" fillId="111" borderId="0" xfId="0" applyFont="1" applyFill="1" applyAlignment="1">
      <alignment horizontal="center"/>
    </xf>
    <xf numFmtId="0" fontId="97" fillId="111" borderId="8" xfId="0" applyFont="1" applyFill="1" applyBorder="1" applyAlignment="1">
      <alignment horizontal="center" wrapText="1"/>
    </xf>
    <xf numFmtId="0" fontId="2" fillId="111" borderId="0" xfId="0" applyFont="1" applyFill="1" applyAlignment="1">
      <alignment horizontal="center" vertical="center"/>
    </xf>
    <xf numFmtId="0" fontId="110" fillId="111" borderId="0" xfId="0" applyFont="1" applyFill="1"/>
    <xf numFmtId="0" fontId="20" fillId="111" borderId="32" xfId="0" applyFont="1" applyFill="1" applyBorder="1"/>
    <xf numFmtId="10" fontId="0" fillId="111" borderId="0" xfId="0" applyNumberFormat="1" applyFill="1"/>
    <xf numFmtId="0" fontId="2" fillId="0" borderId="15" xfId="0" applyFont="1" applyBorder="1" applyAlignment="1">
      <alignment horizontal="center"/>
    </xf>
    <xf numFmtId="0" fontId="0" fillId="0" borderId="32" xfId="0" applyBorder="1" applyAlignment="1">
      <alignment horizontal="left"/>
    </xf>
    <xf numFmtId="5" fontId="0" fillId="0" borderId="32"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2" xfId="0" applyFont="1" applyBorder="1" applyAlignment="1">
      <alignment horizontal="centerContinuous"/>
    </xf>
    <xf numFmtId="37" fontId="0" fillId="0" borderId="32" xfId="0" applyNumberFormat="1" applyBorder="1" applyAlignment="1">
      <alignment horizontal="center"/>
    </xf>
    <xf numFmtId="39" fontId="0" fillId="0" borderId="32" xfId="8" applyNumberFormat="1" applyFont="1" applyFill="1" applyBorder="1"/>
    <xf numFmtId="0" fontId="2" fillId="0" borderId="0" xfId="0" applyFont="1" applyAlignment="1">
      <alignment horizontal="center" vertical="center"/>
    </xf>
    <xf numFmtId="0" fontId="0" fillId="111" borderId="0" xfId="47" applyFont="1" applyFill="1" applyAlignment="1">
      <alignment horizontal="left" indent="1"/>
    </xf>
    <xf numFmtId="0" fontId="2" fillId="0" borderId="0" xfId="0" applyFont="1" applyAlignment="1">
      <alignment wrapText="1"/>
    </xf>
    <xf numFmtId="0" fontId="20" fillId="111" borderId="0" xfId="47" applyFont="1" applyFill="1" applyAlignment="1">
      <alignment horizontal="right"/>
    </xf>
    <xf numFmtId="0" fontId="20" fillId="111" borderId="6" xfId="47" applyFont="1" applyFill="1" applyBorder="1"/>
    <xf numFmtId="0" fontId="0" fillId="114" borderId="0" xfId="0" applyFill="1"/>
    <xf numFmtId="5" fontId="0" fillId="113" borderId="32" xfId="4" applyNumberFormat="1" applyFont="1" applyFill="1" applyBorder="1"/>
    <xf numFmtId="0" fontId="97" fillId="0" borderId="39" xfId="47" applyFont="1" applyBorder="1" applyAlignment="1">
      <alignment horizontal="center"/>
    </xf>
    <xf numFmtId="167" fontId="97" fillId="0" borderId="39" xfId="47" applyNumberFormat="1" applyFont="1" applyBorder="1" applyAlignment="1">
      <alignment horizontal="center"/>
    </xf>
    <xf numFmtId="10" fontId="20" fillId="0" borderId="0" xfId="1" applyNumberFormat="1" applyFont="1" applyBorder="1"/>
    <xf numFmtId="0" fontId="20" fillId="0" borderId="0" xfId="6" applyFont="1" applyAlignment="1">
      <alignment horizontal="left" wrapText="1"/>
    </xf>
    <xf numFmtId="0" fontId="20" fillId="0" borderId="0" xfId="31683" applyFont="1"/>
    <xf numFmtId="0" fontId="5" fillId="0" borderId="0" xfId="31685" applyFont="1" applyAlignment="1">
      <alignment horizontal="right" vertical="top"/>
    </xf>
    <xf numFmtId="0" fontId="5" fillId="0" borderId="0" xfId="31685" applyFont="1"/>
    <xf numFmtId="0" fontId="20" fillId="0" borderId="0" xfId="31683" applyFont="1" applyAlignment="1">
      <alignment horizontal="center"/>
    </xf>
    <xf numFmtId="0" fontId="20" fillId="0" borderId="26" xfId="31683" applyFont="1" applyBorder="1"/>
    <xf numFmtId="14" fontId="20" fillId="0" borderId="26" xfId="31683" applyNumberFormat="1" applyFont="1" applyBorder="1" applyAlignment="1">
      <alignment horizontal="center"/>
    </xf>
    <xf numFmtId="37" fontId="97" fillId="0" borderId="0" xfId="31683" quotePrefix="1" applyNumberFormat="1" applyFont="1" applyAlignment="1">
      <alignment horizontal="center" wrapText="1"/>
    </xf>
    <xf numFmtId="0" fontId="1" fillId="0" borderId="0" xfId="31685"/>
    <xf numFmtId="0" fontId="5" fillId="0" borderId="32" xfId="31685" applyFont="1" applyBorder="1" applyAlignment="1">
      <alignment horizontal="center"/>
    </xf>
    <xf numFmtId="37" fontId="20" fillId="0" borderId="0" xfId="31683" applyNumberFormat="1" applyFont="1"/>
    <xf numFmtId="37" fontId="5" fillId="0" borderId="0" xfId="31685" applyNumberFormat="1" applyFont="1" applyAlignment="1">
      <alignment horizontal="center"/>
    </xf>
    <xf numFmtId="37" fontId="5" fillId="0" borderId="0" xfId="31685" applyNumberFormat="1" applyFont="1"/>
    <xf numFmtId="0" fontId="5" fillId="0" borderId="0" xfId="31685" applyFont="1" applyAlignment="1">
      <alignment horizontal="center"/>
    </xf>
    <xf numFmtId="0" fontId="5" fillId="0" borderId="32" xfId="31685" applyFont="1" applyBorder="1"/>
    <xf numFmtId="0" fontId="97" fillId="0" borderId="15" xfId="31683" applyFont="1" applyBorder="1" applyAlignment="1">
      <alignment horizontal="center"/>
    </xf>
    <xf numFmtId="0" fontId="6" fillId="0" borderId="0" xfId="31685" applyFont="1" applyAlignment="1">
      <alignment horizontal="center"/>
    </xf>
    <xf numFmtId="0" fontId="6" fillId="0" borderId="0" xfId="31685" applyFont="1" applyAlignment="1">
      <alignment horizontal="center" wrapText="1"/>
    </xf>
    <xf numFmtId="203" fontId="20" fillId="0" borderId="0" xfId="31683" applyNumberFormat="1" applyFont="1" applyAlignment="1">
      <alignment horizontal="center"/>
    </xf>
    <xf numFmtId="37" fontId="20" fillId="0" borderId="32" xfId="31683" applyNumberFormat="1" applyFont="1" applyBorder="1"/>
    <xf numFmtId="0" fontId="5" fillId="0" borderId="0" xfId="24911" applyFont="1"/>
    <xf numFmtId="37" fontId="20" fillId="113" borderId="0" xfId="31683" applyNumberFormat="1" applyFont="1" applyFill="1"/>
    <xf numFmtId="37" fontId="118" fillId="0" borderId="0" xfId="31683" quotePrefix="1" applyNumberFormat="1" applyFont="1" applyAlignment="1">
      <alignment horizontal="center"/>
    </xf>
    <xf numFmtId="0" fontId="20" fillId="0" borderId="0" xfId="31683" quotePrefix="1" applyFont="1" applyAlignment="1">
      <alignment horizontal="center"/>
    </xf>
    <xf numFmtId="0" fontId="98" fillId="0" borderId="0" xfId="31685" applyFont="1" applyAlignment="1">
      <alignment horizontal="center"/>
    </xf>
    <xf numFmtId="0" fontId="20" fillId="0" borderId="0" xfId="31685" applyFont="1"/>
    <xf numFmtId="0" fontId="20" fillId="0" borderId="32" xfId="31683" applyFont="1" applyBorder="1"/>
    <xf numFmtId="0" fontId="20" fillId="113" borderId="0" xfId="31683" applyFont="1" applyFill="1" applyAlignment="1">
      <alignment horizontal="left"/>
    </xf>
    <xf numFmtId="0" fontId="20" fillId="113" borderId="0" xfId="31683" applyFont="1" applyFill="1" applyAlignment="1">
      <alignment horizontal="center"/>
    </xf>
    <xf numFmtId="0" fontId="20" fillId="0" borderId="0" xfId="31683" applyFont="1" applyAlignment="1">
      <alignment horizontal="right"/>
    </xf>
    <xf numFmtId="0" fontId="5" fillId="0" borderId="0" xfId="31685" applyFont="1" applyAlignment="1">
      <alignment wrapText="1"/>
    </xf>
    <xf numFmtId="199" fontId="20" fillId="0" borderId="0" xfId="2" applyNumberFormat="1" applyFont="1" applyFill="1" applyBorder="1"/>
    <xf numFmtId="0" fontId="98" fillId="0" borderId="0" xfId="0" applyFont="1" applyAlignment="1">
      <alignment horizontal="right"/>
    </xf>
    <xf numFmtId="0" fontId="109" fillId="0" borderId="0" xfId="0" applyFont="1"/>
    <xf numFmtId="0" fontId="96" fillId="0" borderId="0" xfId="0" applyFont="1" applyAlignment="1">
      <alignment horizontal="center"/>
    </xf>
    <xf numFmtId="0" fontId="97" fillId="0" borderId="32" xfId="0" applyFont="1" applyBorder="1" applyAlignment="1">
      <alignment horizontal="right"/>
    </xf>
    <xf numFmtId="164" fontId="20" fillId="0" borderId="32" xfId="0" applyNumberFormat="1" applyFont="1" applyBorder="1"/>
    <xf numFmtId="3" fontId="20" fillId="0" borderId="32" xfId="0" applyNumberFormat="1" applyFont="1" applyBorder="1"/>
    <xf numFmtId="164" fontId="20" fillId="0" borderId="32" xfId="0" applyNumberFormat="1" applyFont="1" applyBorder="1" applyAlignment="1">
      <alignment horizontal="left"/>
    </xf>
    <xf numFmtId="202" fontId="97" fillId="0" borderId="32" xfId="0" applyNumberFormat="1" applyFont="1" applyBorder="1"/>
    <xf numFmtId="0" fontId="97" fillId="0" borderId="32" xfId="0" quotePrefix="1" applyFont="1" applyBorder="1" applyAlignment="1">
      <alignment horizontal="left"/>
    </xf>
    <xf numFmtId="202" fontId="20" fillId="0" borderId="32" xfId="0" applyNumberFormat="1" applyFont="1" applyBorder="1" applyAlignment="1">
      <alignment horizontal="center"/>
    </xf>
    <xf numFmtId="164" fontId="20" fillId="0" borderId="0" xfId="0" applyNumberFormat="1" applyFont="1" applyAlignment="1">
      <alignment horizontal="left"/>
    </xf>
    <xf numFmtId="202" fontId="97" fillId="0" borderId="0" xfId="0" applyNumberFormat="1" applyFont="1"/>
    <xf numFmtId="3" fontId="20" fillId="111" borderId="0" xfId="0" applyNumberFormat="1" applyFont="1" applyFill="1"/>
    <xf numFmtId="199" fontId="97" fillId="0" borderId="0" xfId="0" applyNumberFormat="1" applyFont="1"/>
    <xf numFmtId="202" fontId="20" fillId="0" borderId="0" xfId="0" applyNumberFormat="1" applyFont="1" applyAlignment="1">
      <alignment horizontal="center"/>
    </xf>
    <xf numFmtId="0" fontId="97" fillId="0" borderId="32" xfId="0" applyFont="1" applyBorder="1"/>
    <xf numFmtId="199" fontId="97" fillId="0" borderId="32" xfId="0" applyNumberFormat="1" applyFont="1" applyBorder="1"/>
    <xf numFmtId="0" fontId="20" fillId="0" borderId="32" xfId="0" applyFont="1" applyBorder="1" applyAlignment="1">
      <alignment horizontal="center"/>
    </xf>
    <xf numFmtId="164" fontId="103" fillId="0" borderId="0" xfId="0" applyNumberFormat="1" applyFont="1"/>
    <xf numFmtId="202" fontId="20" fillId="0" borderId="0" xfId="31682" applyNumberFormat="1" applyFont="1" applyAlignment="1">
      <alignment horizontal="center"/>
    </xf>
    <xf numFmtId="0" fontId="97" fillId="0" borderId="0" xfId="0" quotePrefix="1" applyFont="1" applyAlignment="1">
      <alignment horizontal="left"/>
    </xf>
    <xf numFmtId="0" fontId="20" fillId="0" borderId="0" xfId="31682" applyFont="1" applyAlignment="1">
      <alignment horizontal="center"/>
    </xf>
    <xf numFmtId="202" fontId="20" fillId="0" borderId="32" xfId="31682" applyNumberFormat="1" applyFont="1" applyBorder="1" applyAlignment="1">
      <alignment horizontal="center"/>
    </xf>
    <xf numFmtId="167" fontId="106" fillId="0" borderId="0" xfId="0" applyNumberFormat="1" applyFont="1"/>
    <xf numFmtId="167" fontId="103" fillId="0" borderId="0" xfId="0" applyNumberFormat="1" applyFont="1"/>
    <xf numFmtId="164" fontId="103" fillId="0" borderId="0" xfId="0" applyNumberFormat="1" applyFont="1" applyAlignment="1">
      <alignment horizontal="right"/>
    </xf>
    <xf numFmtId="202" fontId="20" fillId="0" borderId="0" xfId="0" applyNumberFormat="1" applyFont="1"/>
    <xf numFmtId="164" fontId="97" fillId="0" borderId="0" xfId="0" applyNumberFormat="1" applyFont="1"/>
    <xf numFmtId="164" fontId="107" fillId="0" borderId="0" xfId="0" applyNumberFormat="1" applyFont="1"/>
    <xf numFmtId="3" fontId="20" fillId="0" borderId="0" xfId="0" quotePrefix="1" applyNumberFormat="1" applyFont="1" applyAlignment="1">
      <alignment horizontal="center"/>
    </xf>
    <xf numFmtId="3" fontId="20" fillId="0" borderId="49" xfId="0" quotePrefix="1" applyNumberFormat="1" applyFont="1" applyBorder="1" applyAlignment="1">
      <alignment horizontal="center"/>
    </xf>
    <xf numFmtId="3" fontId="20" fillId="0" borderId="0" xfId="0" quotePrefix="1" applyNumberFormat="1" applyFont="1" applyAlignment="1">
      <alignment horizontal="center" vertical="center"/>
    </xf>
    <xf numFmtId="0" fontId="20" fillId="0" borderId="0" xfId="0" quotePrefix="1" applyFont="1" applyAlignment="1">
      <alignment horizontal="center" vertical="center" wrapText="1"/>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203" fontId="20" fillId="111" borderId="0" xfId="0" applyNumberFormat="1" applyFont="1" applyFill="1" applyAlignment="1">
      <alignment horizontal="center"/>
    </xf>
    <xf numFmtId="3" fontId="20" fillId="0" borderId="0" xfId="0" applyNumberFormat="1" applyFont="1" applyAlignment="1">
      <alignment horizontal="right"/>
    </xf>
    <xf numFmtId="10" fontId="20" fillId="0" borderId="0" xfId="31682" applyNumberFormat="1" applyFont="1" applyAlignment="1">
      <alignment horizontal="center"/>
    </xf>
    <xf numFmtId="10" fontId="20" fillId="0" borderId="49" xfId="31682" applyNumberFormat="1" applyFont="1" applyBorder="1" applyAlignment="1">
      <alignment horizontal="center"/>
    </xf>
    <xf numFmtId="10" fontId="20" fillId="0" borderId="0" xfId="0" applyNumberFormat="1" applyFont="1" applyAlignment="1">
      <alignment horizontal="center"/>
    </xf>
    <xf numFmtId="10" fontId="97" fillId="0" borderId="0" xfId="0" applyNumberFormat="1" applyFont="1" applyAlignment="1">
      <alignment horizontal="center"/>
    </xf>
    <xf numFmtId="10" fontId="108" fillId="0" borderId="0" xfId="0" applyNumberFormat="1" applyFont="1" applyAlignment="1">
      <alignment horizontal="center"/>
    </xf>
    <xf numFmtId="10" fontId="108" fillId="0" borderId="49" xfId="31682" applyNumberFormat="1" applyFont="1" applyBorder="1" applyAlignment="1">
      <alignment horizontal="center"/>
    </xf>
    <xf numFmtId="10" fontId="97" fillId="0" borderId="0" xfId="1" applyNumberFormat="1" applyFont="1" applyFill="1" applyBorder="1" applyAlignment="1">
      <alignment horizontal="center"/>
    </xf>
    <xf numFmtId="10" fontId="20" fillId="111" borderId="49" xfId="31682" applyNumberFormat="1" applyFont="1" applyFill="1" applyBorder="1" applyAlignment="1">
      <alignment horizontal="center"/>
    </xf>
    <xf numFmtId="10" fontId="20" fillId="0" borderId="49" xfId="0" applyNumberFormat="1" applyFont="1" applyBorder="1" applyAlignment="1">
      <alignment horizontal="center"/>
    </xf>
    <xf numFmtId="10" fontId="108" fillId="0" borderId="49" xfId="0" applyNumberFormat="1" applyFont="1" applyBorder="1" applyAlignment="1">
      <alignment horizontal="center"/>
    </xf>
    <xf numFmtId="0" fontId="97" fillId="0" borderId="14" xfId="0" applyFont="1" applyBorder="1"/>
    <xf numFmtId="3" fontId="97" fillId="0" borderId="14" xfId="0" applyNumberFormat="1" applyFont="1" applyBorder="1"/>
    <xf numFmtId="5" fontId="97" fillId="0" borderId="45" xfId="0" applyNumberFormat="1" applyFont="1" applyBorder="1"/>
    <xf numFmtId="0" fontId="1" fillId="0" borderId="0" xfId="31685" applyAlignment="1">
      <alignment horizontal="left" vertical="top"/>
    </xf>
    <xf numFmtId="0" fontId="5" fillId="0" borderId="0" xfId="31685" applyFont="1" applyAlignment="1">
      <alignment horizontal="left" vertical="top"/>
    </xf>
    <xf numFmtId="205" fontId="0" fillId="0" borderId="0" xfId="0" applyNumberFormat="1"/>
    <xf numFmtId="206" fontId="0" fillId="0" borderId="0" xfId="0" applyNumberFormat="1"/>
    <xf numFmtId="43" fontId="20" fillId="111" borderId="0" xfId="47" applyNumberFormat="1" applyFont="1" applyFill="1"/>
    <xf numFmtId="0" fontId="20" fillId="111" borderId="0" xfId="0" applyFont="1" applyFill="1" applyAlignment="1">
      <alignment horizontal="right"/>
    </xf>
    <xf numFmtId="0" fontId="97" fillId="111" borderId="0" xfId="0" applyFont="1" applyFill="1" applyAlignment="1">
      <alignment horizontal="center"/>
    </xf>
    <xf numFmtId="166" fontId="0" fillId="113" borderId="32" xfId="4" applyNumberFormat="1" applyFont="1" applyFill="1" applyBorder="1"/>
    <xf numFmtId="166" fontId="0" fillId="113" borderId="0" xfId="4" applyNumberFormat="1" applyFont="1" applyFill="1"/>
    <xf numFmtId="37" fontId="20" fillId="111" borderId="0" xfId="9" applyNumberFormat="1" applyFont="1" applyFill="1" applyBorder="1"/>
    <xf numFmtId="37" fontId="20" fillId="111" borderId="0" xfId="6" applyNumberFormat="1" applyFont="1" applyFill="1"/>
    <xf numFmtId="37" fontId="0" fillId="111" borderId="0" xfId="47" applyNumberFormat="1" applyFont="1" applyFill="1"/>
    <xf numFmtId="37" fontId="0" fillId="111" borderId="0" xfId="0" applyNumberFormat="1" applyFill="1"/>
    <xf numFmtId="5" fontId="99" fillId="111" borderId="0" xfId="47" applyNumberFormat="1" applyFont="1" applyFill="1"/>
    <xf numFmtId="166" fontId="0" fillId="111" borderId="0" xfId="47" applyNumberFormat="1" applyFont="1" applyFill="1"/>
    <xf numFmtId="37" fontId="0" fillId="111" borderId="0" xfId="9" applyNumberFormat="1" applyFont="1" applyFill="1"/>
    <xf numFmtId="166" fontId="110" fillId="113" borderId="0" xfId="31683" applyNumberFormat="1" applyFont="1" applyFill="1"/>
    <xf numFmtId="195" fontId="2" fillId="0" borderId="0" xfId="0" applyNumberFormat="1" applyFont="1"/>
    <xf numFmtId="195" fontId="0" fillId="0" borderId="0" xfId="0" applyNumberFormat="1"/>
    <xf numFmtId="195" fontId="0" fillId="0" borderId="32" xfId="1" applyNumberFormat="1" applyFont="1" applyBorder="1"/>
    <xf numFmtId="195" fontId="0" fillId="0" borderId="0" xfId="1" applyNumberFormat="1" applyFont="1"/>
    <xf numFmtId="10" fontId="0" fillId="113" borderId="0" xfId="1" applyNumberFormat="1" applyFont="1" applyFill="1"/>
    <xf numFmtId="5" fontId="20" fillId="113" borderId="44" xfId="8174" applyNumberFormat="1" applyFont="1" applyFill="1" applyBorder="1"/>
    <xf numFmtId="5" fontId="20" fillId="113" borderId="32" xfId="6" applyNumberFormat="1" applyFont="1" applyFill="1" applyBorder="1" applyAlignment="1">
      <alignment horizontal="right"/>
    </xf>
    <xf numFmtId="167" fontId="97" fillId="0" borderId="49" xfId="31682" applyNumberFormat="1" applyFont="1" applyBorder="1" applyAlignment="1">
      <alignment horizontal="center"/>
    </xf>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35"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20" fillId="0" borderId="0" xfId="0" applyFont="1" applyAlignment="1">
      <alignment horizontal="left" wrapText="1"/>
    </xf>
    <xf numFmtId="0" fontId="20" fillId="0" borderId="0" xfId="0" applyFont="1" applyAlignment="1">
      <alignment horizontal="left"/>
    </xf>
    <xf numFmtId="0" fontId="20" fillId="0" borderId="0" xfId="47" applyFont="1" applyAlignment="1">
      <alignment horizontal="left"/>
    </xf>
    <xf numFmtId="0" fontId="20" fillId="111" borderId="0" xfId="0" applyFont="1" applyFill="1" applyAlignment="1">
      <alignment horizontal="left"/>
    </xf>
    <xf numFmtId="0" fontId="97" fillId="0" borderId="0" xfId="6" applyFont="1" applyAlignment="1">
      <alignment horizontal="center"/>
    </xf>
    <xf numFmtId="0" fontId="97" fillId="38" borderId="47" xfId="0" applyFont="1" applyFill="1" applyBorder="1" applyAlignment="1">
      <alignment horizontal="center"/>
    </xf>
    <xf numFmtId="0" fontId="97" fillId="38" borderId="15" xfId="0" applyFont="1" applyFill="1" applyBorder="1" applyAlignment="1">
      <alignment horizontal="center"/>
    </xf>
    <xf numFmtId="0" fontId="97" fillId="38" borderId="48" xfId="0" applyFont="1" applyFill="1" applyBorder="1" applyAlignment="1">
      <alignment horizontal="center"/>
    </xf>
    <xf numFmtId="0" fontId="97" fillId="0" borderId="32" xfId="0" applyFont="1" applyBorder="1" applyAlignment="1">
      <alignment horizontal="center"/>
    </xf>
    <xf numFmtId="0" fontId="2" fillId="0" borderId="32"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1" fillId="0" borderId="32" xfId="24911" applyBorder="1" applyAlignment="1">
      <alignment horizontal="center"/>
    </xf>
    <xf numFmtId="37" fontId="97" fillId="0" borderId="15" xfId="31683" applyNumberFormat="1" applyFont="1" applyBorder="1" applyAlignment="1">
      <alignment horizontal="center"/>
    </xf>
    <xf numFmtId="0" fontId="112" fillId="0" borderId="15" xfId="0" applyFont="1" applyBorder="1" applyAlignment="1">
      <alignment horizontal="center" vertical="center" wrapText="1"/>
    </xf>
    <xf numFmtId="0" fontId="5" fillId="0" borderId="0" xfId="31685" applyFont="1" applyAlignment="1">
      <alignment horizontal="left" wrapText="1"/>
    </xf>
    <xf numFmtId="0" fontId="1" fillId="0" borderId="0" xfId="31685" applyAlignment="1">
      <alignment horizontal="left" wrapText="1"/>
    </xf>
    <xf numFmtId="0" fontId="5" fillId="0" borderId="32" xfId="31685" applyFont="1" applyBorder="1" applyAlignment="1">
      <alignment horizontal="center"/>
    </xf>
    <xf numFmtId="0" fontId="119" fillId="0" borderId="15" xfId="0" applyFont="1" applyBorder="1" applyAlignment="1">
      <alignment horizontal="center" vertical="center" wrapText="1"/>
    </xf>
    <xf numFmtId="0" fontId="5" fillId="0" borderId="0" xfId="31685" applyFont="1" applyAlignment="1">
      <alignment horizontal="left"/>
    </xf>
    <xf numFmtId="0" fontId="2" fillId="0" borderId="47" xfId="0" applyFont="1" applyBorder="1" applyAlignment="1">
      <alignment horizontal="center"/>
    </xf>
    <xf numFmtId="0" fontId="2" fillId="0" borderId="15" xfId="0" applyFont="1" applyBorder="1" applyAlignment="1">
      <alignment horizontal="center"/>
    </xf>
    <xf numFmtId="0" fontId="2" fillId="0" borderId="48" xfId="0" applyFont="1" applyBorder="1" applyAlignment="1">
      <alignment horizontal="center"/>
    </xf>
    <xf numFmtId="0" fontId="2" fillId="0" borderId="8" xfId="0" applyFont="1" applyBorder="1" applyAlignment="1">
      <alignment horizontal="center"/>
    </xf>
    <xf numFmtId="0" fontId="0" fillId="111" borderId="0" xfId="0" applyFill="1" applyAlignment="1">
      <alignment horizontal="left" wrapText="1"/>
    </xf>
    <xf numFmtId="0" fontId="2" fillId="0" borderId="44" xfId="0" applyFont="1" applyBorder="1" applyAlignment="1">
      <alignment horizontal="right"/>
    </xf>
    <xf numFmtId="0" fontId="2" fillId="0" borderId="41" xfId="0" applyFont="1" applyBorder="1" applyAlignment="1">
      <alignment horizontal="center" wrapText="1"/>
    </xf>
    <xf numFmtId="0" fontId="2" fillId="0" borderId="43" xfId="0" applyFont="1" applyBorder="1" applyAlignment="1">
      <alignment horizontal="center" wrapText="1"/>
    </xf>
    <xf numFmtId="0" fontId="2" fillId="0" borderId="8" xfId="0" applyFont="1" applyBorder="1" applyAlignment="1">
      <alignment horizontal="center" wrapText="1"/>
    </xf>
    <xf numFmtId="0" fontId="20" fillId="0" borderId="6" xfId="47" applyFont="1" applyBorder="1" applyAlignment="1">
      <alignment horizontal="right" wrapText="1"/>
    </xf>
    <xf numFmtId="0" fontId="20" fillId="0" borderId="0" xfId="47" applyFont="1" applyAlignment="1">
      <alignment horizontal="right" wrapText="1"/>
    </xf>
    <xf numFmtId="0" fontId="20" fillId="111" borderId="0" xfId="0" applyFont="1" applyFill="1" applyAlignment="1">
      <alignment horizontal="left" vertical="top" wrapText="1"/>
    </xf>
    <xf numFmtId="3" fontId="20" fillId="0" borderId="0" xfId="0" applyNumberFormat="1" applyFont="1" applyAlignment="1">
      <alignment horizontal="center"/>
    </xf>
    <xf numFmtId="167" fontId="97" fillId="0" borderId="40"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5023">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0 2 2" xfId="31691" xr:uid="{02AB07AB-AFE6-43C5-8D67-035A5ECC87B0}"/>
    <cellStyle name="20% - Accent1 2 10 3" xfId="31690" xr:uid="{85968912-C9DC-47AA-AF2C-76A005BE6C0A}"/>
    <cellStyle name="20% - Accent1 2 11" xfId="126" xr:uid="{00000000-0005-0000-0000-00007E000000}"/>
    <cellStyle name="20% - Accent1 2 11 2" xfId="31692" xr:uid="{0F0C9F53-D90D-473E-AB5C-8F33D20F61A5}"/>
    <cellStyle name="20% - Accent1 2 12" xfId="31689" xr:uid="{716B0899-5C4B-45BB-AB8E-7B87EA5CFD56}"/>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2 2 2" xfId="31696" xr:uid="{849A53E6-6852-4FC1-8CFF-4AE0A39B7634}"/>
    <cellStyle name="20% - Accent1 2 2 3 2 3" xfId="31695" xr:uid="{A6A04B34-1BBC-4174-8611-D83C18872A6D}"/>
    <cellStyle name="20% - Accent1 2 2 3 3" xfId="139" xr:uid="{00000000-0005-0000-0000-00008B000000}"/>
    <cellStyle name="20% - Accent1 2 2 3 3 2" xfId="31697" xr:uid="{A86D8AD0-4715-4546-9F8E-B0B009165597}"/>
    <cellStyle name="20% - Accent1 2 2 3 4" xfId="31694" xr:uid="{35B3AEA7-A5A0-48D6-87D9-EF74A390F10A}"/>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2 2 2" xfId="31701" xr:uid="{B2F354B8-1C30-49F0-A2A5-33795769BFED}"/>
    <cellStyle name="20% - Accent1 2 2 4 2 2 3" xfId="31700" xr:uid="{CAE51521-8F27-4E6F-A8B6-A6FE8FB31141}"/>
    <cellStyle name="20% - Accent1 2 2 4 2 3" xfId="144" xr:uid="{00000000-0005-0000-0000-000090000000}"/>
    <cellStyle name="20% - Accent1 2 2 4 2 3 2" xfId="31702" xr:uid="{A8597181-517B-4FFC-89DF-01C31929DBAB}"/>
    <cellStyle name="20% - Accent1 2 2 4 2 4" xfId="31699" xr:uid="{F1C69F22-90A8-4FED-9621-53B54E16B575}"/>
    <cellStyle name="20% - Accent1 2 2 4 3" xfId="145" xr:uid="{00000000-0005-0000-0000-000091000000}"/>
    <cellStyle name="20% - Accent1 2 2 4 3 2" xfId="146" xr:uid="{00000000-0005-0000-0000-000092000000}"/>
    <cellStyle name="20% - Accent1 2 2 4 3 2 2" xfId="31704" xr:uid="{5F17864D-27B0-4BBE-AF54-7A12F3DF5A08}"/>
    <cellStyle name="20% - Accent1 2 2 4 3 3" xfId="31703" xr:uid="{093A2C99-7290-4A78-9117-CB9BE407B61B}"/>
    <cellStyle name="20% - Accent1 2 2 4 4" xfId="147" xr:uid="{00000000-0005-0000-0000-000093000000}"/>
    <cellStyle name="20% - Accent1 2 2 4 4 2" xfId="31705" xr:uid="{A4226998-891B-47DA-B3A4-BB31D9A08395}"/>
    <cellStyle name="20% - Accent1 2 2 4 5" xfId="31698" xr:uid="{30BB90C2-5A1B-4C3D-924B-B7AAB9A29282}"/>
    <cellStyle name="20% - Accent1 2 2 5" xfId="148" xr:uid="{00000000-0005-0000-0000-000094000000}"/>
    <cellStyle name="20% - Accent1 2 2 5 2" xfId="149" xr:uid="{00000000-0005-0000-0000-000095000000}"/>
    <cellStyle name="20% - Accent1 2 2 5 2 2" xfId="31707" xr:uid="{9E73C9C9-4747-4DB0-A9E6-E42CB06CE7FF}"/>
    <cellStyle name="20% - Accent1 2 2 5 3" xfId="31706" xr:uid="{5A315F28-AB73-40E0-96CF-BAC70DBA1064}"/>
    <cellStyle name="20% - Accent1 2 2 6" xfId="150" xr:uid="{00000000-0005-0000-0000-000096000000}"/>
    <cellStyle name="20% - Accent1 2 2 6 2" xfId="31708" xr:uid="{D4AC8298-743C-4555-9836-CC8851F6E226}"/>
    <cellStyle name="20% - Accent1 2 2 7" xfId="31693" xr:uid="{440E9E15-5E6A-443E-B4CD-755FE0C3A3E5}"/>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2 2 2" xfId="31712" xr:uid="{EC05F790-A83C-4D7F-B4F4-7635A3DF8AA8}"/>
    <cellStyle name="20% - Accent1 2 3 2 2 3" xfId="31711" xr:uid="{BB1D6F54-7DFA-4764-87B8-F7C09C504A89}"/>
    <cellStyle name="20% - Accent1 2 3 2 3" xfId="155" xr:uid="{00000000-0005-0000-0000-00009B000000}"/>
    <cellStyle name="20% - Accent1 2 3 2 3 2" xfId="31713" xr:uid="{87188DB6-32B7-4D6F-BA37-0E4FB503376C}"/>
    <cellStyle name="20% - Accent1 2 3 2 4" xfId="31710" xr:uid="{000B7952-685E-495D-BD79-F12CA04D671E}"/>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2 2 2" xfId="31717" xr:uid="{973E006F-28C5-4558-AA45-DACE24D4762F}"/>
    <cellStyle name="20% - Accent1 2 3 3 2 2 3" xfId="31716" xr:uid="{6F7A765D-4328-4AE8-AEAF-D84668A6E7B0}"/>
    <cellStyle name="20% - Accent1 2 3 3 2 3" xfId="160" xr:uid="{00000000-0005-0000-0000-0000A0000000}"/>
    <cellStyle name="20% - Accent1 2 3 3 2 3 2" xfId="31718" xr:uid="{39EA6B0B-B743-44CE-B794-36EDC60A4485}"/>
    <cellStyle name="20% - Accent1 2 3 3 2 4" xfId="31715" xr:uid="{2F63F5C3-0E8B-42DC-B3CE-447DB6936E0A}"/>
    <cellStyle name="20% - Accent1 2 3 3 3" xfId="161" xr:uid="{00000000-0005-0000-0000-0000A1000000}"/>
    <cellStyle name="20% - Accent1 2 3 3 3 2" xfId="162" xr:uid="{00000000-0005-0000-0000-0000A2000000}"/>
    <cellStyle name="20% - Accent1 2 3 3 3 2 2" xfId="31720" xr:uid="{4ADFACFE-427C-4578-A429-47EA43B50942}"/>
    <cellStyle name="20% - Accent1 2 3 3 3 3" xfId="31719" xr:uid="{08868125-C02B-45DD-A776-EA96A4F866EC}"/>
    <cellStyle name="20% - Accent1 2 3 3 4" xfId="163" xr:uid="{00000000-0005-0000-0000-0000A3000000}"/>
    <cellStyle name="20% - Accent1 2 3 3 4 2" xfId="31721" xr:uid="{2FD767C7-BC3C-47AA-B5BA-FD7E41B16E82}"/>
    <cellStyle name="20% - Accent1 2 3 3 5" xfId="31714" xr:uid="{CEE85D35-E82D-48E9-9276-77BD69EF7FFD}"/>
    <cellStyle name="20% - Accent1 2 3 4" xfId="164" xr:uid="{00000000-0005-0000-0000-0000A4000000}"/>
    <cellStyle name="20% - Accent1 2 3 4 2" xfId="165" xr:uid="{00000000-0005-0000-0000-0000A5000000}"/>
    <cellStyle name="20% - Accent1 2 3 4 2 2" xfId="31723" xr:uid="{D6C06A08-93FB-43ED-B6C6-F1EA0951BC7D}"/>
    <cellStyle name="20% - Accent1 2 3 4 3" xfId="31722" xr:uid="{FDEE1D66-B32D-41FA-B280-55A7F66874CD}"/>
    <cellStyle name="20% - Accent1 2 3 5" xfId="166" xr:uid="{00000000-0005-0000-0000-0000A6000000}"/>
    <cellStyle name="20% - Accent1 2 3 5 2" xfId="31724" xr:uid="{2F377425-07C1-4795-8BCB-4DBE24A41954}"/>
    <cellStyle name="20% - Accent1 2 3 6" xfId="31709" xr:uid="{4F7EAA61-1317-42C7-885A-9FB9B71505BE}"/>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2 2 2" xfId="31728" xr:uid="{BCBFDBB6-9509-4A04-B34B-99DD11A833A5}"/>
    <cellStyle name="20% - Accent1 2 4 2 2 3" xfId="31727" xr:uid="{7D332D68-2C42-400D-A135-9271F9ECD912}"/>
    <cellStyle name="20% - Accent1 2 4 2 3" xfId="171" xr:uid="{00000000-0005-0000-0000-0000AB000000}"/>
    <cellStyle name="20% - Accent1 2 4 2 3 2" xfId="31729" xr:uid="{3EAB2A4A-87FE-4E53-978D-BAE232C78BA1}"/>
    <cellStyle name="20% - Accent1 2 4 2 4" xfId="31726" xr:uid="{32A65C34-66A3-4C93-85A3-1B95359C3610}"/>
    <cellStyle name="20% - Accent1 2 4 3" xfId="172" xr:uid="{00000000-0005-0000-0000-0000AC000000}"/>
    <cellStyle name="20% - Accent1 2 4 3 2" xfId="173" xr:uid="{00000000-0005-0000-0000-0000AD000000}"/>
    <cellStyle name="20% - Accent1 2 4 3 2 2" xfId="31731" xr:uid="{F356D660-F1CB-41E1-AB3D-10C396DB6D6A}"/>
    <cellStyle name="20% - Accent1 2 4 3 3" xfId="31730" xr:uid="{8DA2D29C-5437-4077-BA6A-1342A4E3BF2A}"/>
    <cellStyle name="20% - Accent1 2 4 4" xfId="174" xr:uid="{00000000-0005-0000-0000-0000AE000000}"/>
    <cellStyle name="20% - Accent1 2 4 4 2" xfId="31732" xr:uid="{03BC68F7-D25D-482F-8EFF-3FFB9B0B8432}"/>
    <cellStyle name="20% - Accent1 2 4 5" xfId="31725" xr:uid="{77D3DB46-B150-41E5-9B9F-16903B6F33DC}"/>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2 2 2" xfId="31736" xr:uid="{1BE3DE03-D38A-4900-B2EB-4B760A632416}"/>
    <cellStyle name="20% - Accent1 2 5 2 2 3" xfId="31735" xr:uid="{78915831-AAC3-48B9-BA8F-EB737F6F7CF6}"/>
    <cellStyle name="20% - Accent1 2 5 2 3" xfId="179" xr:uid="{00000000-0005-0000-0000-0000B3000000}"/>
    <cellStyle name="20% - Accent1 2 5 2 3 2" xfId="31737" xr:uid="{7D3959C1-E961-4926-8C7C-95CCA9FBFB9F}"/>
    <cellStyle name="20% - Accent1 2 5 2 4" xfId="31734" xr:uid="{B27D77B3-5F93-4376-B872-1162EAC1A2C9}"/>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2 2 2" xfId="31741" xr:uid="{67C4F401-011B-497B-998E-7328F25725E8}"/>
    <cellStyle name="20% - Accent1 2 5 3 2 2 3" xfId="31740" xr:uid="{D1887855-F177-4AA2-9C1F-7780654D3C59}"/>
    <cellStyle name="20% - Accent1 2 5 3 2 3" xfId="184" xr:uid="{00000000-0005-0000-0000-0000B8000000}"/>
    <cellStyle name="20% - Accent1 2 5 3 2 3 2" xfId="31742" xr:uid="{299BF62B-BF28-4946-919D-6BD7E849A5D1}"/>
    <cellStyle name="20% - Accent1 2 5 3 2 4" xfId="31739" xr:uid="{9277618D-CD1A-4D45-88CE-2841CD6910A7}"/>
    <cellStyle name="20% - Accent1 2 5 3 3" xfId="185" xr:uid="{00000000-0005-0000-0000-0000B9000000}"/>
    <cellStyle name="20% - Accent1 2 5 3 3 2" xfId="186" xr:uid="{00000000-0005-0000-0000-0000BA000000}"/>
    <cellStyle name="20% - Accent1 2 5 3 3 2 2" xfId="31744" xr:uid="{82CA39E1-C015-43A0-8691-8F3F9305EB0C}"/>
    <cellStyle name="20% - Accent1 2 5 3 3 3" xfId="31743" xr:uid="{48FAF0E1-BC47-477C-B8C2-06452FE24AF2}"/>
    <cellStyle name="20% - Accent1 2 5 3 4" xfId="187" xr:uid="{00000000-0005-0000-0000-0000BB000000}"/>
    <cellStyle name="20% - Accent1 2 5 3 4 2" xfId="31745" xr:uid="{88F62A20-8BB3-4DA2-8020-2A9C23FE0E0A}"/>
    <cellStyle name="20% - Accent1 2 5 3 5" xfId="31738" xr:uid="{089A5349-721B-447E-B8D8-E713E5DA6CA4}"/>
    <cellStyle name="20% - Accent1 2 5 4" xfId="188" xr:uid="{00000000-0005-0000-0000-0000BC000000}"/>
    <cellStyle name="20% - Accent1 2 5 4 2" xfId="189" xr:uid="{00000000-0005-0000-0000-0000BD000000}"/>
    <cellStyle name="20% - Accent1 2 5 4 2 2" xfId="31747" xr:uid="{B8885DCA-6A41-424B-BAC2-4C3B1EDAAFEF}"/>
    <cellStyle name="20% - Accent1 2 5 4 3" xfId="31746" xr:uid="{35B049E5-AE76-4242-A4BC-172392822462}"/>
    <cellStyle name="20% - Accent1 2 5 5" xfId="190" xr:uid="{00000000-0005-0000-0000-0000BE000000}"/>
    <cellStyle name="20% - Accent1 2 5 5 2" xfId="31748" xr:uid="{C28411F4-9C6D-402C-BF56-72219C1B2328}"/>
    <cellStyle name="20% - Accent1 2 5 6" xfId="31733" xr:uid="{A3A7F394-AD85-4FDF-B85D-8F1B24B06066}"/>
    <cellStyle name="20% - Accent1 2 6" xfId="191" xr:uid="{00000000-0005-0000-0000-0000BF000000}"/>
    <cellStyle name="20% - Accent1 2 6 2" xfId="192" xr:uid="{00000000-0005-0000-0000-0000C0000000}"/>
    <cellStyle name="20% - Accent1 2 6 2 2" xfId="193" xr:uid="{00000000-0005-0000-0000-0000C1000000}"/>
    <cellStyle name="20% - Accent1 2 6 2 2 2" xfId="31751" xr:uid="{D3EA9C63-725E-4EE4-852E-94BDAB3E85BE}"/>
    <cellStyle name="20% - Accent1 2 6 2 3" xfId="31750" xr:uid="{385C2493-201C-418B-8C45-7144B73F9A9D}"/>
    <cellStyle name="20% - Accent1 2 6 3" xfId="194" xr:uid="{00000000-0005-0000-0000-0000C2000000}"/>
    <cellStyle name="20% - Accent1 2 6 3 2" xfId="31752" xr:uid="{FCE438C9-8FB9-4A8D-809B-0E4D6FA6226D}"/>
    <cellStyle name="20% - Accent1 2 6 4" xfId="31749" xr:uid="{C362EC8D-A86A-4B9A-98AB-E92B98271339}"/>
    <cellStyle name="20% - Accent1 2 7" xfId="195" xr:uid="{00000000-0005-0000-0000-0000C3000000}"/>
    <cellStyle name="20% - Accent1 2 7 2" xfId="196" xr:uid="{00000000-0005-0000-0000-0000C4000000}"/>
    <cellStyle name="20% - Accent1 2 7 2 2" xfId="197" xr:uid="{00000000-0005-0000-0000-0000C5000000}"/>
    <cellStyle name="20% - Accent1 2 7 2 2 2" xfId="31755" xr:uid="{7CACAE89-D527-4D4D-A52C-06A2DD114C8C}"/>
    <cellStyle name="20% - Accent1 2 7 2 3" xfId="31754" xr:uid="{7F712E46-EEDF-465B-8D87-34E345143C28}"/>
    <cellStyle name="20% - Accent1 2 7 3" xfId="198" xr:uid="{00000000-0005-0000-0000-0000C6000000}"/>
    <cellStyle name="20% - Accent1 2 7 3 2" xfId="31756" xr:uid="{20C2F1FE-D867-4766-A637-CE39DEB94027}"/>
    <cellStyle name="20% - Accent1 2 7 4" xfId="31753" xr:uid="{20F6063F-5294-4124-857E-19DD78AFD82A}"/>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2 2 2" xfId="31760" xr:uid="{0D4C0F58-0791-4709-B390-0926DA0BAECC}"/>
    <cellStyle name="20% - Accent1 2 8 2 2 3" xfId="31759" xr:uid="{82B46FB3-1EC8-4EFA-A819-FC33DF5B811D}"/>
    <cellStyle name="20% - Accent1 2 8 2 3" xfId="203" xr:uid="{00000000-0005-0000-0000-0000CB000000}"/>
    <cellStyle name="20% - Accent1 2 8 2 3 2" xfId="31761" xr:uid="{037C6757-4B87-44A9-B789-7AC645311BA0}"/>
    <cellStyle name="20% - Accent1 2 8 2 4" xfId="31758" xr:uid="{7E60F03C-ACA0-498B-9132-D0A99CCB2D80}"/>
    <cellStyle name="20% - Accent1 2 8 3" xfId="204" xr:uid="{00000000-0005-0000-0000-0000CC000000}"/>
    <cellStyle name="20% - Accent1 2 8 3 2" xfId="205" xr:uid="{00000000-0005-0000-0000-0000CD000000}"/>
    <cellStyle name="20% - Accent1 2 8 3 2 2" xfId="31763" xr:uid="{B58A0D6A-2766-4FE5-BEFE-EB2F18297205}"/>
    <cellStyle name="20% - Accent1 2 8 3 3" xfId="31762" xr:uid="{48E7554C-1D21-42A4-AEDA-1B97AE9E7853}"/>
    <cellStyle name="20% - Accent1 2 8 4" xfId="206" xr:uid="{00000000-0005-0000-0000-0000CE000000}"/>
    <cellStyle name="20% - Accent1 2 8 4 2" xfId="31764" xr:uid="{9A340D8E-49B8-4AF2-BC2A-80D516BDBE85}"/>
    <cellStyle name="20% - Accent1 2 8 5" xfId="31757" xr:uid="{7152A051-267B-44E4-925B-A6F82801FE37}"/>
    <cellStyle name="20% - Accent1 2 9" xfId="207" xr:uid="{00000000-0005-0000-0000-0000CF000000}"/>
    <cellStyle name="20% - Accent1 2 9 2" xfId="208" xr:uid="{00000000-0005-0000-0000-0000D0000000}"/>
    <cellStyle name="20% - Accent1 2 9 2 2" xfId="31766" xr:uid="{DDB918F2-FD85-4F8D-A71D-4BDBB9937901}"/>
    <cellStyle name="20% - Accent1 2 9 3" xfId="31765" xr:uid="{F72A1375-2E3E-4D91-8790-DD2C01329B64}"/>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2 2 2" xfId="31770" xr:uid="{4A5987D1-A492-413D-B098-D0286B5D8129}"/>
    <cellStyle name="20% - Accent1 3 2 2 3" xfId="31769" xr:uid="{9C84D244-95F9-4E77-A1BE-42CF29CB067D}"/>
    <cellStyle name="20% - Accent1 3 2 3" xfId="213" xr:uid="{00000000-0005-0000-0000-0000D5000000}"/>
    <cellStyle name="20% - Accent1 3 2 3 2" xfId="31771" xr:uid="{F864065F-BEED-4156-ADEC-5166DD32F9B1}"/>
    <cellStyle name="20% - Accent1 3 2 4" xfId="31768" xr:uid="{04CB00F1-1DDE-4DBA-8506-761C3454F74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3 6" xfId="31767" xr:uid="{99E2579A-16B0-4552-B35B-D04E251079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4 5" xfId="31772" xr:uid="{B7EA1DF3-73A2-4BCB-82AC-B1FF1BCEC4ED}"/>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2 2 2" xfId="31776" xr:uid="{02BC6E1F-BB88-4357-993A-AA5F89BE9750}"/>
    <cellStyle name="20% - Accent1 5 2 2 3" xfId="31775" xr:uid="{29DAD9FA-A590-4C05-80B0-0D4242E3956B}"/>
    <cellStyle name="20% - Accent1 5 2 3" xfId="233" xr:uid="{00000000-0005-0000-0000-0000E9000000}"/>
    <cellStyle name="20% - Accent1 5 2 3 2" xfId="31777" xr:uid="{8C641906-7926-4340-A435-8920473BFB2E}"/>
    <cellStyle name="20% - Accent1 5 2 4" xfId="31774" xr:uid="{BFE8B248-6633-43BB-AA50-3E7BDECE8D5B}"/>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2 2 2" xfId="31781" xr:uid="{17D3A625-EA2D-4357-B358-8E8B39DD90D9}"/>
    <cellStyle name="20% - Accent1 5 3 2 2 3" xfId="31780" xr:uid="{2974B5CF-3ABF-46D7-8B1B-A80D5C94247E}"/>
    <cellStyle name="20% - Accent1 5 3 2 3" xfId="238" xr:uid="{00000000-0005-0000-0000-0000EE000000}"/>
    <cellStyle name="20% - Accent1 5 3 2 3 2" xfId="31782" xr:uid="{FF991923-417A-4741-B499-E079266BF850}"/>
    <cellStyle name="20% - Accent1 5 3 2 4" xfId="31779" xr:uid="{640C315A-2E53-4ACA-A22A-9CE3170F2FA3}"/>
    <cellStyle name="20% - Accent1 5 3 3" xfId="239" xr:uid="{00000000-0005-0000-0000-0000EF000000}"/>
    <cellStyle name="20% - Accent1 5 3 3 2" xfId="240" xr:uid="{00000000-0005-0000-0000-0000F0000000}"/>
    <cellStyle name="20% - Accent1 5 3 3 2 2" xfId="31784" xr:uid="{66C06B0C-28AE-477B-BF24-DF361FB04A98}"/>
    <cellStyle name="20% - Accent1 5 3 3 3" xfId="31783" xr:uid="{1897B216-F831-4966-95E9-E15CF8F0F4C7}"/>
    <cellStyle name="20% - Accent1 5 3 4" xfId="241" xr:uid="{00000000-0005-0000-0000-0000F1000000}"/>
    <cellStyle name="20% - Accent1 5 3 4 2" xfId="31785" xr:uid="{44EAF8FE-34F8-4A90-9DB3-A8451BA4021E}"/>
    <cellStyle name="20% - Accent1 5 3 5" xfId="31778" xr:uid="{CB666AB0-4C6F-4BF4-826D-4DCAE6CB11BA}"/>
    <cellStyle name="20% - Accent1 5 4" xfId="242" xr:uid="{00000000-0005-0000-0000-0000F2000000}"/>
    <cellStyle name="20% - Accent1 5 4 2" xfId="243" xr:uid="{00000000-0005-0000-0000-0000F3000000}"/>
    <cellStyle name="20% - Accent1 5 4 2 2" xfId="31787" xr:uid="{5DB988AA-92D3-436C-B871-B938CBBEBEDA}"/>
    <cellStyle name="20% - Accent1 5 4 3" xfId="31786" xr:uid="{39E534A3-6278-4C85-81D7-EFE631087706}"/>
    <cellStyle name="20% - Accent1 5 5" xfId="244" xr:uid="{00000000-0005-0000-0000-0000F4000000}"/>
    <cellStyle name="20% - Accent1 5 5 2" xfId="31788" xr:uid="{0E726114-AB95-4E84-B8F2-BA559FEFB6DF}"/>
    <cellStyle name="20% - Accent1 5 6" xfId="31773" xr:uid="{BBE50305-AA7B-4BC2-8E36-6BB24597C3AE}"/>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2 2 2" xfId="31792" xr:uid="{C511A784-534D-41F7-8E66-AF478EF9B178}"/>
    <cellStyle name="20% - Accent1 6 2 2 3" xfId="31791" xr:uid="{DC323E49-97F0-498A-8073-0D03BC03D2CC}"/>
    <cellStyle name="20% - Accent1 6 2 3" xfId="249" xr:uid="{00000000-0005-0000-0000-0000F9000000}"/>
    <cellStyle name="20% - Accent1 6 2 3 2" xfId="31793" xr:uid="{1AC1AF3B-B5FF-421B-8048-61EA74723C84}"/>
    <cellStyle name="20% - Accent1 6 2 4" xfId="31790" xr:uid="{60A2BC5C-7961-4D6A-A572-4F76B74FB5A1}"/>
    <cellStyle name="20% - Accent1 6 3" xfId="250" xr:uid="{00000000-0005-0000-0000-0000FA000000}"/>
    <cellStyle name="20% - Accent1 6 3 2" xfId="251" xr:uid="{00000000-0005-0000-0000-0000FB000000}"/>
    <cellStyle name="20% - Accent1 6 3 2 2" xfId="31795" xr:uid="{B9BF741A-9437-44D4-9D50-7F3CEC199573}"/>
    <cellStyle name="20% - Accent1 6 3 3" xfId="31794" xr:uid="{BDE94B27-E49E-4705-9E36-9FEF1D04BBCA}"/>
    <cellStyle name="20% - Accent1 6 4" xfId="252" xr:uid="{00000000-0005-0000-0000-0000FC000000}"/>
    <cellStyle name="20% - Accent1 6 4 2" xfId="31796" xr:uid="{EC9697C6-F8A6-467A-9107-34607106F9B8}"/>
    <cellStyle name="20% - Accent1 6 5" xfId="31789" xr:uid="{46935680-8CED-45CA-9B78-C60DEFCF0209}"/>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11 2" xfId="31798" xr:uid="{F3C193E5-28B0-42A8-AD9E-F06CB61A0955}"/>
    <cellStyle name="20% - Accent2 2 12" xfId="31797" xr:uid="{987F9E16-C735-40EB-A79F-C67DD4CF556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2 2 2" xfId="31802" xr:uid="{AF577ED7-C534-445C-9702-A93B6DE44825}"/>
    <cellStyle name="20% - Accent2 2 2 3 2 3" xfId="31801" xr:uid="{003BF83D-841F-40AC-A0CB-8B9CA8AE7026}"/>
    <cellStyle name="20% - Accent2 2 2 3 3" xfId="271" xr:uid="{00000000-0005-0000-0000-00000F010000}"/>
    <cellStyle name="20% - Accent2 2 2 3 3 2" xfId="31803" xr:uid="{936E3F42-0EEF-4A0A-B281-34196F7D85F9}"/>
    <cellStyle name="20% - Accent2 2 2 3 4" xfId="31800" xr:uid="{551A5481-64A3-4D22-9163-366F917349E4}"/>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2 2 2" xfId="31807" xr:uid="{DB963361-8B3C-4338-80EB-61ADA2EDE8DE}"/>
    <cellStyle name="20% - Accent2 2 2 4 2 2 3" xfId="31806" xr:uid="{59A09223-5887-4D80-8EEC-50C965DEF7EA}"/>
    <cellStyle name="20% - Accent2 2 2 4 2 3" xfId="276" xr:uid="{00000000-0005-0000-0000-000014010000}"/>
    <cellStyle name="20% - Accent2 2 2 4 2 3 2" xfId="31808" xr:uid="{D1306A67-26FD-4506-BA96-CDB49A635648}"/>
    <cellStyle name="20% - Accent2 2 2 4 2 4" xfId="31805" xr:uid="{87D0B4F4-77A2-4C6F-A341-0B3CD9BD4735}"/>
    <cellStyle name="20% - Accent2 2 2 4 3" xfId="277" xr:uid="{00000000-0005-0000-0000-000015010000}"/>
    <cellStyle name="20% - Accent2 2 2 4 3 2" xfId="278" xr:uid="{00000000-0005-0000-0000-000016010000}"/>
    <cellStyle name="20% - Accent2 2 2 4 3 2 2" xfId="31810" xr:uid="{65B95405-B0D7-4F13-8256-14A65092FF03}"/>
    <cellStyle name="20% - Accent2 2 2 4 3 3" xfId="31809" xr:uid="{D08303AC-EB69-4BD5-9253-475FE25C0E8F}"/>
    <cellStyle name="20% - Accent2 2 2 4 4" xfId="279" xr:uid="{00000000-0005-0000-0000-000017010000}"/>
    <cellStyle name="20% - Accent2 2 2 4 4 2" xfId="31811" xr:uid="{ED0F16A8-EE8A-442D-B2CC-DFC9BF0D01D8}"/>
    <cellStyle name="20% - Accent2 2 2 4 5" xfId="31804" xr:uid="{C6A0FE18-C100-4986-B368-55363902D92D}"/>
    <cellStyle name="20% - Accent2 2 2 5" xfId="280" xr:uid="{00000000-0005-0000-0000-000018010000}"/>
    <cellStyle name="20% - Accent2 2 2 5 2" xfId="281" xr:uid="{00000000-0005-0000-0000-000019010000}"/>
    <cellStyle name="20% - Accent2 2 2 5 2 2" xfId="31813" xr:uid="{8F7C6CC8-B792-4AE7-B358-CF51FA329C8D}"/>
    <cellStyle name="20% - Accent2 2 2 5 3" xfId="31812" xr:uid="{5D823F4B-AE3A-428C-B141-C292335A0C61}"/>
    <cellStyle name="20% - Accent2 2 2 6" xfId="282" xr:uid="{00000000-0005-0000-0000-00001A010000}"/>
    <cellStyle name="20% - Accent2 2 2 6 2" xfId="31814" xr:uid="{C19BF979-E9C9-47E4-A466-E60A85265333}"/>
    <cellStyle name="20% - Accent2 2 2 7" xfId="31799" xr:uid="{94296C61-114B-4D48-A1B1-BDD78CE1723F}"/>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2 2 2" xfId="31817" xr:uid="{6B22C479-94D7-4CE6-B0C9-9C414E520C07}"/>
    <cellStyle name="20% - Accent2 2 7 2 3" xfId="31816" xr:uid="{B2314C13-F259-4DB7-A675-AB46A392219D}"/>
    <cellStyle name="20% - Accent2 2 7 3" xfId="330" xr:uid="{00000000-0005-0000-0000-00004A010000}"/>
    <cellStyle name="20% - Accent2 2 7 3 2" xfId="31818" xr:uid="{ED7E5CE8-7A7F-4606-8F64-917BCAEDDC53}"/>
    <cellStyle name="20% - Accent2 2 7 4" xfId="31815" xr:uid="{74E162E9-2C81-4BBC-AE17-428012A39EB7}"/>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2 2 2" xfId="31822" xr:uid="{42CE7826-44F5-4013-BA22-634D3FDA1130}"/>
    <cellStyle name="20% - Accent2 2 8 2 2 3" xfId="31821" xr:uid="{883A3607-81DC-49BA-83A8-76D4FF58899A}"/>
    <cellStyle name="20% - Accent2 2 8 2 3" xfId="335" xr:uid="{00000000-0005-0000-0000-00004F010000}"/>
    <cellStyle name="20% - Accent2 2 8 2 3 2" xfId="31823" xr:uid="{F7E7FF92-73DE-49AD-AB98-E6843606B2BD}"/>
    <cellStyle name="20% - Accent2 2 8 2 4" xfId="31820" xr:uid="{31613B0A-3B8C-490A-8A0E-F7A1C61F99BE}"/>
    <cellStyle name="20% - Accent2 2 8 3" xfId="336" xr:uid="{00000000-0005-0000-0000-000050010000}"/>
    <cellStyle name="20% - Accent2 2 8 3 2" xfId="337" xr:uid="{00000000-0005-0000-0000-000051010000}"/>
    <cellStyle name="20% - Accent2 2 8 3 2 2" xfId="31825" xr:uid="{FA5A4D57-34BB-48E4-9455-55A7421B6858}"/>
    <cellStyle name="20% - Accent2 2 8 3 3" xfId="31824" xr:uid="{99D65303-11EA-40CA-9EBC-86814B7CF79B}"/>
    <cellStyle name="20% - Accent2 2 8 4" xfId="338" xr:uid="{00000000-0005-0000-0000-000052010000}"/>
    <cellStyle name="20% - Accent2 2 8 4 2" xfId="31826" xr:uid="{DDFA78D2-4023-4245-A1BD-2F6A61D78635}"/>
    <cellStyle name="20% - Accent2 2 8 5" xfId="31819" xr:uid="{9CA18C0E-7F0F-4582-A5DC-791997C33547}"/>
    <cellStyle name="20% - Accent2 2 9" xfId="339" xr:uid="{00000000-0005-0000-0000-000053010000}"/>
    <cellStyle name="20% - Accent2 2 9 2" xfId="340" xr:uid="{00000000-0005-0000-0000-000054010000}"/>
    <cellStyle name="20% - Accent2 2 9 2 2" xfId="31828" xr:uid="{7E603FF8-AB8D-4786-A1A5-9543E77D1594}"/>
    <cellStyle name="20% - Accent2 2 9 3" xfId="31827" xr:uid="{9BCE5EB5-D21F-48EE-986A-12513471B549}"/>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3 6" xfId="31829" xr:uid="{5E77D5EC-83F9-4636-B2A8-BC6D685661EB}"/>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4 5" xfId="31830" xr:uid="{BB796511-4DDE-4951-B2BE-FE3FBA134E5B}"/>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2 2 2" xfId="31834" xr:uid="{8D063BDF-5313-4DDD-9399-7C85C579BB99}"/>
    <cellStyle name="20% - Accent2 5 2 2 3" xfId="31833" xr:uid="{80E1242B-CD37-4D33-99B0-2BC9CB1F8E6D}"/>
    <cellStyle name="20% - Accent2 5 2 3" xfId="365" xr:uid="{00000000-0005-0000-0000-00006D010000}"/>
    <cellStyle name="20% - Accent2 5 2 3 2" xfId="31835" xr:uid="{D6B16F7F-FEAF-4046-8DCA-12B75E8CFF1B}"/>
    <cellStyle name="20% - Accent2 5 2 4" xfId="31832" xr:uid="{08A77381-C3E9-4388-BF98-9E81A223BC14}"/>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2 2 2" xfId="31839" xr:uid="{A0E55C67-E9A8-49C2-B8ED-5C84C0F6B7D0}"/>
    <cellStyle name="20% - Accent2 5 3 2 2 3" xfId="31838" xr:uid="{E9CF1CA1-9BBC-4C97-8366-332FC0E2E796}"/>
    <cellStyle name="20% - Accent2 5 3 2 3" xfId="370" xr:uid="{00000000-0005-0000-0000-000072010000}"/>
    <cellStyle name="20% - Accent2 5 3 2 3 2" xfId="31840" xr:uid="{9FACAB08-7603-4FE2-AC57-3D6BD8A055B8}"/>
    <cellStyle name="20% - Accent2 5 3 2 4" xfId="31837" xr:uid="{B0C3257F-30D8-471B-BA4C-A980C62F3171}"/>
    <cellStyle name="20% - Accent2 5 3 3" xfId="371" xr:uid="{00000000-0005-0000-0000-000073010000}"/>
    <cellStyle name="20% - Accent2 5 3 3 2" xfId="372" xr:uid="{00000000-0005-0000-0000-000074010000}"/>
    <cellStyle name="20% - Accent2 5 3 3 2 2" xfId="31842" xr:uid="{CD8F4E43-A988-4E5A-82C5-056A140AE0F7}"/>
    <cellStyle name="20% - Accent2 5 3 3 3" xfId="31841" xr:uid="{B6BE88A3-0845-4780-BFB9-9E5955C305ED}"/>
    <cellStyle name="20% - Accent2 5 3 4" xfId="373" xr:uid="{00000000-0005-0000-0000-000075010000}"/>
    <cellStyle name="20% - Accent2 5 3 4 2" xfId="31843" xr:uid="{771C1817-A854-40C3-BDA6-1D13C7F2DFEB}"/>
    <cellStyle name="20% - Accent2 5 3 5" xfId="31836" xr:uid="{2A644696-13AD-439C-AA8F-617F52602B1D}"/>
    <cellStyle name="20% - Accent2 5 4" xfId="374" xr:uid="{00000000-0005-0000-0000-000076010000}"/>
    <cellStyle name="20% - Accent2 5 4 2" xfId="375" xr:uid="{00000000-0005-0000-0000-000077010000}"/>
    <cellStyle name="20% - Accent2 5 4 2 2" xfId="31845" xr:uid="{894B8623-C09F-4E0C-9AAD-8C488E0EDACF}"/>
    <cellStyle name="20% - Accent2 5 4 3" xfId="31844" xr:uid="{5EE923DE-6149-4858-B41A-79736E4F85C4}"/>
    <cellStyle name="20% - Accent2 5 5" xfId="376" xr:uid="{00000000-0005-0000-0000-000078010000}"/>
    <cellStyle name="20% - Accent2 5 5 2" xfId="31846" xr:uid="{64B5CCCF-F848-4F84-872B-BFD82FD1FA72}"/>
    <cellStyle name="20% - Accent2 5 6" xfId="31831" xr:uid="{B0CF0C3A-88B3-49D5-A008-D399BAA84EBC}"/>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0 2 2" xfId="31849" xr:uid="{A8096ACC-2A33-4C98-BC8C-B87B52F62F03}"/>
    <cellStyle name="20% - Accent3 2 10 3" xfId="31848" xr:uid="{57953E52-9870-4BF8-9392-CDE0B40B2B1A}"/>
    <cellStyle name="20% - Accent3 2 11" xfId="390" xr:uid="{00000000-0005-0000-0000-000086010000}"/>
    <cellStyle name="20% - Accent3 2 11 2" xfId="31850" xr:uid="{36237B26-4F94-42A6-B028-EAE66562578F}"/>
    <cellStyle name="20% - Accent3 2 12" xfId="31847" xr:uid="{78BA772E-C6C4-4870-AF42-0520AF5D52F5}"/>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2 2 2" xfId="31854" xr:uid="{EEB0378D-3A77-468F-95B2-039EA19051AE}"/>
    <cellStyle name="20% - Accent3 2 2 3 2 3" xfId="31853" xr:uid="{94E0CD88-2DC2-4BD3-AEAC-BB403DAF833B}"/>
    <cellStyle name="20% - Accent3 2 2 3 3" xfId="403" xr:uid="{00000000-0005-0000-0000-000093010000}"/>
    <cellStyle name="20% - Accent3 2 2 3 3 2" xfId="31855" xr:uid="{002CF736-ABD3-4AC9-A199-A9AAC7C31A0A}"/>
    <cellStyle name="20% - Accent3 2 2 3 4" xfId="31852" xr:uid="{9665B66B-9A64-4802-8D5E-7D1CA32DD814}"/>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2 2 2" xfId="31859" xr:uid="{2E6F8666-0308-4995-95C2-DC7120FDC903}"/>
    <cellStyle name="20% - Accent3 2 2 4 2 2 3" xfId="31858" xr:uid="{F1D85A1F-61BB-453D-87AD-DF6E8323EF6E}"/>
    <cellStyle name="20% - Accent3 2 2 4 2 3" xfId="408" xr:uid="{00000000-0005-0000-0000-000098010000}"/>
    <cellStyle name="20% - Accent3 2 2 4 2 3 2" xfId="31860" xr:uid="{C7B92B28-8A92-44F6-AE45-731056003C30}"/>
    <cellStyle name="20% - Accent3 2 2 4 2 4" xfId="31857" xr:uid="{C3D303BF-4D05-4FC0-B8B2-16E4A5E1227A}"/>
    <cellStyle name="20% - Accent3 2 2 4 3" xfId="409" xr:uid="{00000000-0005-0000-0000-000099010000}"/>
    <cellStyle name="20% - Accent3 2 2 4 3 2" xfId="410" xr:uid="{00000000-0005-0000-0000-00009A010000}"/>
    <cellStyle name="20% - Accent3 2 2 4 3 2 2" xfId="31862" xr:uid="{BFC953AA-18C6-4579-8ECD-C9F4A38E0ECB}"/>
    <cellStyle name="20% - Accent3 2 2 4 3 3" xfId="31861" xr:uid="{DA0DE84A-D034-4C41-8922-E3F89825CCFA}"/>
    <cellStyle name="20% - Accent3 2 2 4 4" xfId="411" xr:uid="{00000000-0005-0000-0000-00009B010000}"/>
    <cellStyle name="20% - Accent3 2 2 4 4 2" xfId="31863" xr:uid="{E4BB933B-8DC1-4479-985E-129AAD3F6AA0}"/>
    <cellStyle name="20% - Accent3 2 2 4 5" xfId="31856" xr:uid="{2176FE72-2FF6-44DD-BCC6-C2A306FF566E}"/>
    <cellStyle name="20% - Accent3 2 2 5" xfId="412" xr:uid="{00000000-0005-0000-0000-00009C010000}"/>
    <cellStyle name="20% - Accent3 2 2 5 2" xfId="413" xr:uid="{00000000-0005-0000-0000-00009D010000}"/>
    <cellStyle name="20% - Accent3 2 2 5 2 2" xfId="31865" xr:uid="{DC9924BC-CCC0-4DA8-BA8D-457F559F1168}"/>
    <cellStyle name="20% - Accent3 2 2 5 3" xfId="31864" xr:uid="{A7616C17-3515-40B3-A073-60ACA0DCCAA6}"/>
    <cellStyle name="20% - Accent3 2 2 6" xfId="414" xr:uid="{00000000-0005-0000-0000-00009E010000}"/>
    <cellStyle name="20% - Accent3 2 2 6 2" xfId="31866" xr:uid="{FDA90962-839E-4728-B283-BA9EA820D4BA}"/>
    <cellStyle name="20% - Accent3 2 2 7" xfId="31851" xr:uid="{A1A4F9D3-714F-41C6-9A8E-E3B7665A7D33}"/>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2 2 2" xfId="31870" xr:uid="{A8A31F00-D400-4095-8821-16C197F203CD}"/>
    <cellStyle name="20% - Accent3 2 3 2 2 3" xfId="31869" xr:uid="{46737985-090D-41C0-AF54-B72B639F487E}"/>
    <cellStyle name="20% - Accent3 2 3 2 3" xfId="419" xr:uid="{00000000-0005-0000-0000-0000A3010000}"/>
    <cellStyle name="20% - Accent3 2 3 2 3 2" xfId="31871" xr:uid="{019DF694-724B-4DC8-A2D5-0B30DDE0EE32}"/>
    <cellStyle name="20% - Accent3 2 3 2 4" xfId="31868" xr:uid="{AA33CC68-B49C-4DFF-A9ED-44B13DF0C6CB}"/>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2 2 2" xfId="31875" xr:uid="{40E98D3A-0ED3-4E76-8A3E-4498E3B2230E}"/>
    <cellStyle name="20% - Accent3 2 3 3 2 2 3" xfId="31874" xr:uid="{453260D1-ABCA-4516-9506-67C5AE25A15B}"/>
    <cellStyle name="20% - Accent3 2 3 3 2 3" xfId="424" xr:uid="{00000000-0005-0000-0000-0000A8010000}"/>
    <cellStyle name="20% - Accent3 2 3 3 2 3 2" xfId="31876" xr:uid="{F8DEF686-734B-4FDB-A3F4-09026DD378A9}"/>
    <cellStyle name="20% - Accent3 2 3 3 2 4" xfId="31873" xr:uid="{A182EC05-2D93-41A5-9B30-E21A5685DCB9}"/>
    <cellStyle name="20% - Accent3 2 3 3 3" xfId="425" xr:uid="{00000000-0005-0000-0000-0000A9010000}"/>
    <cellStyle name="20% - Accent3 2 3 3 3 2" xfId="426" xr:uid="{00000000-0005-0000-0000-0000AA010000}"/>
    <cellStyle name="20% - Accent3 2 3 3 3 2 2" xfId="31878" xr:uid="{941A69A9-E676-4B09-87D6-8F958A74BC19}"/>
    <cellStyle name="20% - Accent3 2 3 3 3 3" xfId="31877" xr:uid="{64DD575B-3757-48E6-9F7C-44D196C56D36}"/>
    <cellStyle name="20% - Accent3 2 3 3 4" xfId="427" xr:uid="{00000000-0005-0000-0000-0000AB010000}"/>
    <cellStyle name="20% - Accent3 2 3 3 4 2" xfId="31879" xr:uid="{D477F0E1-7F85-46CA-A4C3-7ECC80C6204B}"/>
    <cellStyle name="20% - Accent3 2 3 3 5" xfId="31872" xr:uid="{C725654D-0B6F-478E-B1B5-886CF4CA8D6D}"/>
    <cellStyle name="20% - Accent3 2 3 4" xfId="428" xr:uid="{00000000-0005-0000-0000-0000AC010000}"/>
    <cellStyle name="20% - Accent3 2 3 4 2" xfId="429" xr:uid="{00000000-0005-0000-0000-0000AD010000}"/>
    <cellStyle name="20% - Accent3 2 3 4 2 2" xfId="31881" xr:uid="{F691047C-8594-48B6-BE8A-DCF98C0EB484}"/>
    <cellStyle name="20% - Accent3 2 3 4 3" xfId="31880" xr:uid="{FECF5EE5-30CA-480D-82CA-90860AC6B731}"/>
    <cellStyle name="20% - Accent3 2 3 5" xfId="430" xr:uid="{00000000-0005-0000-0000-0000AE010000}"/>
    <cellStyle name="20% - Accent3 2 3 5 2" xfId="31882" xr:uid="{B3A43EE1-5FE8-4839-B6EB-EEA76CFBA0DF}"/>
    <cellStyle name="20% - Accent3 2 3 6" xfId="31867" xr:uid="{205C2C58-7CEA-421D-8F22-1AB8D2DC3F3A}"/>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2 2 2" xfId="31886" xr:uid="{C0A3D429-B9B7-4BD4-8B16-C1CCF3DD01FF}"/>
    <cellStyle name="20% - Accent3 2 4 2 2 3" xfId="31885" xr:uid="{3CE8FD06-82D0-4E49-B7EB-07A6BF46FFEF}"/>
    <cellStyle name="20% - Accent3 2 4 2 3" xfId="435" xr:uid="{00000000-0005-0000-0000-0000B3010000}"/>
    <cellStyle name="20% - Accent3 2 4 2 3 2" xfId="31887" xr:uid="{665A950D-DC2E-4807-8D4D-39F1FB68E2A2}"/>
    <cellStyle name="20% - Accent3 2 4 2 4" xfId="31884" xr:uid="{AE7C1FE9-A072-494C-AAAA-0D4EAEEFA6CA}"/>
    <cellStyle name="20% - Accent3 2 4 3" xfId="436" xr:uid="{00000000-0005-0000-0000-0000B4010000}"/>
    <cellStyle name="20% - Accent3 2 4 3 2" xfId="437" xr:uid="{00000000-0005-0000-0000-0000B5010000}"/>
    <cellStyle name="20% - Accent3 2 4 3 2 2" xfId="31889" xr:uid="{3020FDA2-BB64-4888-9E65-B80A42E2CE97}"/>
    <cellStyle name="20% - Accent3 2 4 3 3" xfId="31888" xr:uid="{AEDD3EF1-C855-4350-907A-C2FA6C7DB29C}"/>
    <cellStyle name="20% - Accent3 2 4 4" xfId="438" xr:uid="{00000000-0005-0000-0000-0000B6010000}"/>
    <cellStyle name="20% - Accent3 2 4 4 2" xfId="31890" xr:uid="{C48A8E81-BBA6-4066-B2EC-FDF3AD968B35}"/>
    <cellStyle name="20% - Accent3 2 4 5" xfId="31883" xr:uid="{F95B3727-04C3-479F-9B9D-70CEFEE61E45}"/>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2 2 2" xfId="31894" xr:uid="{6B57B89C-0E57-469C-8979-455505A1FC89}"/>
    <cellStyle name="20% - Accent3 2 5 2 2 3" xfId="31893" xr:uid="{F9507C0D-71DE-4553-8BFB-7721C2D08AC4}"/>
    <cellStyle name="20% - Accent3 2 5 2 3" xfId="443" xr:uid="{00000000-0005-0000-0000-0000BB010000}"/>
    <cellStyle name="20% - Accent3 2 5 2 3 2" xfId="31895" xr:uid="{882ED087-7DBF-4F0C-A334-019AC0941C3E}"/>
    <cellStyle name="20% - Accent3 2 5 2 4" xfId="31892" xr:uid="{7EAFB66C-D01E-4DEF-BCA9-2B20CB500B4B}"/>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2 2 2" xfId="31899" xr:uid="{0EC0C47F-A5B3-4075-9FC0-E5E026BBBA73}"/>
    <cellStyle name="20% - Accent3 2 5 3 2 2 3" xfId="31898" xr:uid="{3F6654F5-82DE-4C99-A39A-6DB27D194419}"/>
    <cellStyle name="20% - Accent3 2 5 3 2 3" xfId="448" xr:uid="{00000000-0005-0000-0000-0000C0010000}"/>
    <cellStyle name="20% - Accent3 2 5 3 2 3 2" xfId="31900" xr:uid="{21A53416-C935-4BE5-BA65-31117F1D3A0D}"/>
    <cellStyle name="20% - Accent3 2 5 3 2 4" xfId="31897" xr:uid="{3E64D77F-74FE-40C4-922B-12B13F0C5BBF}"/>
    <cellStyle name="20% - Accent3 2 5 3 3" xfId="449" xr:uid="{00000000-0005-0000-0000-0000C1010000}"/>
    <cellStyle name="20% - Accent3 2 5 3 3 2" xfId="450" xr:uid="{00000000-0005-0000-0000-0000C2010000}"/>
    <cellStyle name="20% - Accent3 2 5 3 3 2 2" xfId="31902" xr:uid="{EB4A7590-CB8B-406B-A7C6-5C173A5F9D63}"/>
    <cellStyle name="20% - Accent3 2 5 3 3 3" xfId="31901" xr:uid="{40F99A6D-F86D-4A5E-BFF7-1281F46E7174}"/>
    <cellStyle name="20% - Accent3 2 5 3 4" xfId="451" xr:uid="{00000000-0005-0000-0000-0000C3010000}"/>
    <cellStyle name="20% - Accent3 2 5 3 4 2" xfId="31903" xr:uid="{CA6E606A-0849-465F-B000-CC39CE8200AC}"/>
    <cellStyle name="20% - Accent3 2 5 3 5" xfId="31896" xr:uid="{D7565D84-3B66-499F-ADC8-B32010EA8C77}"/>
    <cellStyle name="20% - Accent3 2 5 4" xfId="452" xr:uid="{00000000-0005-0000-0000-0000C4010000}"/>
    <cellStyle name="20% - Accent3 2 5 4 2" xfId="453" xr:uid="{00000000-0005-0000-0000-0000C5010000}"/>
    <cellStyle name="20% - Accent3 2 5 4 2 2" xfId="31905" xr:uid="{6235AE9C-4E0E-4EB4-BF5F-5F1402769EAC}"/>
    <cellStyle name="20% - Accent3 2 5 4 3" xfId="31904" xr:uid="{6F922D72-329A-4C0B-8F27-D118C53DF828}"/>
    <cellStyle name="20% - Accent3 2 5 5" xfId="454" xr:uid="{00000000-0005-0000-0000-0000C6010000}"/>
    <cellStyle name="20% - Accent3 2 5 5 2" xfId="31906" xr:uid="{9C0ED2DB-83A5-42B7-9A67-C59D478D974E}"/>
    <cellStyle name="20% - Accent3 2 5 6" xfId="31891" xr:uid="{C6A575E4-9B1F-4D72-9E89-DBF16E1714DE}"/>
    <cellStyle name="20% - Accent3 2 6" xfId="455" xr:uid="{00000000-0005-0000-0000-0000C7010000}"/>
    <cellStyle name="20% - Accent3 2 6 2" xfId="456" xr:uid="{00000000-0005-0000-0000-0000C8010000}"/>
    <cellStyle name="20% - Accent3 2 6 2 2" xfId="457" xr:uid="{00000000-0005-0000-0000-0000C9010000}"/>
    <cellStyle name="20% - Accent3 2 6 2 2 2" xfId="31909" xr:uid="{942CB4CA-E42E-4D4B-823F-9D1E90FBB01D}"/>
    <cellStyle name="20% - Accent3 2 6 2 3" xfId="31908" xr:uid="{F237CB11-177E-430C-A32E-4CEE74161510}"/>
    <cellStyle name="20% - Accent3 2 6 3" xfId="458" xr:uid="{00000000-0005-0000-0000-0000CA010000}"/>
    <cellStyle name="20% - Accent3 2 6 3 2" xfId="31910" xr:uid="{8D8DDA63-F503-4DD1-9897-EA0C3404F484}"/>
    <cellStyle name="20% - Accent3 2 6 4" xfId="31907" xr:uid="{93156437-B66D-43F4-9F6F-896B422510C0}"/>
    <cellStyle name="20% - Accent3 2 7" xfId="459" xr:uid="{00000000-0005-0000-0000-0000CB010000}"/>
    <cellStyle name="20% - Accent3 2 7 2" xfId="460" xr:uid="{00000000-0005-0000-0000-0000CC010000}"/>
    <cellStyle name="20% - Accent3 2 7 2 2" xfId="461" xr:uid="{00000000-0005-0000-0000-0000CD010000}"/>
    <cellStyle name="20% - Accent3 2 7 2 2 2" xfId="31913" xr:uid="{617EEC31-45E8-44DD-B32A-61B118F8B462}"/>
    <cellStyle name="20% - Accent3 2 7 2 3" xfId="31912" xr:uid="{786B6655-159A-4B60-9B80-94D8EEE9C101}"/>
    <cellStyle name="20% - Accent3 2 7 3" xfId="462" xr:uid="{00000000-0005-0000-0000-0000CE010000}"/>
    <cellStyle name="20% - Accent3 2 7 3 2" xfId="31914" xr:uid="{8A43D3B3-4773-4DDB-B44D-78AD179E5C29}"/>
    <cellStyle name="20% - Accent3 2 7 4" xfId="31911" xr:uid="{07D3580A-69E8-4930-A018-620D71E0301E}"/>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2 2 2" xfId="31918" xr:uid="{0A25B943-10E2-489C-88B8-A05C184CEE8F}"/>
    <cellStyle name="20% - Accent3 2 8 2 2 3" xfId="31917" xr:uid="{AE52FF88-4530-43BD-9BA7-90533F85E6D5}"/>
    <cellStyle name="20% - Accent3 2 8 2 3" xfId="467" xr:uid="{00000000-0005-0000-0000-0000D3010000}"/>
    <cellStyle name="20% - Accent3 2 8 2 3 2" xfId="31919" xr:uid="{6A976F14-5C9E-4D56-925B-6866C9629B5D}"/>
    <cellStyle name="20% - Accent3 2 8 2 4" xfId="31916" xr:uid="{472A059F-C209-4665-8A17-E45B13C49E92}"/>
    <cellStyle name="20% - Accent3 2 8 3" xfId="468" xr:uid="{00000000-0005-0000-0000-0000D4010000}"/>
    <cellStyle name="20% - Accent3 2 8 3 2" xfId="469" xr:uid="{00000000-0005-0000-0000-0000D5010000}"/>
    <cellStyle name="20% - Accent3 2 8 3 2 2" xfId="31921" xr:uid="{06CF244F-940A-4936-BB57-4CA44716BCA9}"/>
    <cellStyle name="20% - Accent3 2 8 3 3" xfId="31920" xr:uid="{BD1A7830-5368-4876-A646-F0E4F222F822}"/>
    <cellStyle name="20% - Accent3 2 8 4" xfId="470" xr:uid="{00000000-0005-0000-0000-0000D6010000}"/>
    <cellStyle name="20% - Accent3 2 8 4 2" xfId="31922" xr:uid="{7624FF60-6AD2-4BAF-857B-D7C1BE3146DE}"/>
    <cellStyle name="20% - Accent3 2 8 5" xfId="31915" xr:uid="{4EEDE10F-2F6E-4765-AA27-D32AFF2ADD3E}"/>
    <cellStyle name="20% - Accent3 2 9" xfId="471" xr:uid="{00000000-0005-0000-0000-0000D7010000}"/>
    <cellStyle name="20% - Accent3 2 9 2" xfId="472" xr:uid="{00000000-0005-0000-0000-0000D8010000}"/>
    <cellStyle name="20% - Accent3 2 9 2 2" xfId="31924" xr:uid="{581EBC99-6F95-4FEF-8EB7-BD008C94EC78}"/>
    <cellStyle name="20% - Accent3 2 9 3" xfId="31923" xr:uid="{E4FE1C43-5485-409A-9099-49FE2B57765F}"/>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2 2 2" xfId="31928" xr:uid="{58954AE6-1712-4A15-8349-F486D80EC3DA}"/>
    <cellStyle name="20% - Accent3 3 2 2 3" xfId="31927" xr:uid="{71881B28-A074-4168-A6B5-7973E027AD3D}"/>
    <cellStyle name="20% - Accent3 3 2 3" xfId="477" xr:uid="{00000000-0005-0000-0000-0000DD010000}"/>
    <cellStyle name="20% - Accent3 3 2 3 2" xfId="31929" xr:uid="{029A4EAB-E0A7-4714-A837-3258EED8BE8F}"/>
    <cellStyle name="20% - Accent3 3 2 4" xfId="31926" xr:uid="{5C83B755-7FEB-4FD0-A2E9-BC01F696391F}"/>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3 6" xfId="31925" xr:uid="{666C0246-3363-4387-BC13-09409CA69A1E}"/>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4 5" xfId="31930" xr:uid="{A767CFD0-FC0B-440F-878F-4287835B7DDB}"/>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2 2 2" xfId="31934" xr:uid="{AC5F4BA8-D9CF-436E-A613-6A4A6ABD127C}"/>
    <cellStyle name="20% - Accent3 5 2 2 3" xfId="31933" xr:uid="{2F4BC46B-275A-4A67-8C29-903977A444F8}"/>
    <cellStyle name="20% - Accent3 5 2 3" xfId="497" xr:uid="{00000000-0005-0000-0000-0000F1010000}"/>
    <cellStyle name="20% - Accent3 5 2 3 2" xfId="31935" xr:uid="{CAF1BF7D-2E5D-4E0D-BB85-BE5DE55C2C2B}"/>
    <cellStyle name="20% - Accent3 5 2 4" xfId="31932" xr:uid="{3712E8E6-EA32-497C-A8D1-695788E291E1}"/>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2 2 2" xfId="31939" xr:uid="{467EB5E6-769F-402A-BFE0-C5A0CB07F88B}"/>
    <cellStyle name="20% - Accent3 5 3 2 2 3" xfId="31938" xr:uid="{29149111-C09E-4375-A6B6-DE80BC161E17}"/>
    <cellStyle name="20% - Accent3 5 3 2 3" xfId="502" xr:uid="{00000000-0005-0000-0000-0000F6010000}"/>
    <cellStyle name="20% - Accent3 5 3 2 3 2" xfId="31940" xr:uid="{1324BF62-0FD7-41A4-8E9A-B23E55DEC4DF}"/>
    <cellStyle name="20% - Accent3 5 3 2 4" xfId="31937" xr:uid="{35727358-AD5B-4913-AC3A-8FF0A50F8975}"/>
    <cellStyle name="20% - Accent3 5 3 3" xfId="503" xr:uid="{00000000-0005-0000-0000-0000F7010000}"/>
    <cellStyle name="20% - Accent3 5 3 3 2" xfId="504" xr:uid="{00000000-0005-0000-0000-0000F8010000}"/>
    <cellStyle name="20% - Accent3 5 3 3 2 2" xfId="31942" xr:uid="{F6A9AE47-6BB8-4BBD-A277-1732189AA14E}"/>
    <cellStyle name="20% - Accent3 5 3 3 3" xfId="31941" xr:uid="{6116186F-BF75-4EC8-948C-2BAC47EDE5B2}"/>
    <cellStyle name="20% - Accent3 5 3 4" xfId="505" xr:uid="{00000000-0005-0000-0000-0000F9010000}"/>
    <cellStyle name="20% - Accent3 5 3 4 2" xfId="31943" xr:uid="{143BD16D-91B6-4A3C-AA4F-9BCE1B669521}"/>
    <cellStyle name="20% - Accent3 5 3 5" xfId="31936" xr:uid="{07CEB9E5-15DC-46A3-9A2E-6E8AD42DF07F}"/>
    <cellStyle name="20% - Accent3 5 4" xfId="506" xr:uid="{00000000-0005-0000-0000-0000FA010000}"/>
    <cellStyle name="20% - Accent3 5 4 2" xfId="507" xr:uid="{00000000-0005-0000-0000-0000FB010000}"/>
    <cellStyle name="20% - Accent3 5 4 2 2" xfId="31945" xr:uid="{A7F5AC92-4345-4899-8EB2-EE8BB33DF011}"/>
    <cellStyle name="20% - Accent3 5 4 3" xfId="31944" xr:uid="{5F8A60A7-06E1-4717-93A6-09233A3262D1}"/>
    <cellStyle name="20% - Accent3 5 5" xfId="508" xr:uid="{00000000-0005-0000-0000-0000FC010000}"/>
    <cellStyle name="20% - Accent3 5 5 2" xfId="31946" xr:uid="{2CDDC27B-5929-4591-A335-D0009DD1C422}"/>
    <cellStyle name="20% - Accent3 5 6" xfId="31931" xr:uid="{AB7EFA4D-0853-4C49-AF37-BFFF5374A73B}"/>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2 2 2" xfId="31950" xr:uid="{0D6AE552-2B19-49FF-9AD1-3DEA63047554}"/>
    <cellStyle name="20% - Accent3 6 2 2 3" xfId="31949" xr:uid="{597559FC-8D39-4387-A89F-5BBA4E09BC10}"/>
    <cellStyle name="20% - Accent3 6 2 3" xfId="513" xr:uid="{00000000-0005-0000-0000-000001020000}"/>
    <cellStyle name="20% - Accent3 6 2 3 2" xfId="31951" xr:uid="{D27C8264-4221-4480-B721-C3B1072398EF}"/>
    <cellStyle name="20% - Accent3 6 2 4" xfId="31948" xr:uid="{DDC28A1B-4CEE-4B73-AB36-4D98FEA6533F}"/>
    <cellStyle name="20% - Accent3 6 3" xfId="514" xr:uid="{00000000-0005-0000-0000-000002020000}"/>
    <cellStyle name="20% - Accent3 6 3 2" xfId="515" xr:uid="{00000000-0005-0000-0000-000003020000}"/>
    <cellStyle name="20% - Accent3 6 3 2 2" xfId="31953" xr:uid="{BB04E53F-3F35-464D-B2FB-20BA91F51900}"/>
    <cellStyle name="20% - Accent3 6 3 3" xfId="31952" xr:uid="{F7E034E7-DF44-4B65-A9C8-57B3998FCD3D}"/>
    <cellStyle name="20% - Accent3 6 4" xfId="516" xr:uid="{00000000-0005-0000-0000-000004020000}"/>
    <cellStyle name="20% - Accent3 6 4 2" xfId="31954" xr:uid="{74071EC6-8839-4B8F-9CE5-A36F01134409}"/>
    <cellStyle name="20% - Accent3 6 5" xfId="31947" xr:uid="{F51097F5-B976-4BFD-90F4-94C0B291670F}"/>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0 2 2" xfId="31956" xr:uid="{654FDDA6-73D8-4ABF-BE5F-DC5A6FBBBBCE}"/>
    <cellStyle name="20% - Accent4 2 10 3" xfId="31955" xr:uid="{05F0AB0F-4457-444F-9ED6-1556068C8FAB}"/>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2 2 2" xfId="31960" xr:uid="{D9092E60-578E-4E09-A85B-0CCCFA64EF9A}"/>
    <cellStyle name="20% - Accent4 2 3 2 2 3" xfId="31959" xr:uid="{B31FA6FB-B960-4E16-9CC4-876D7B408E52}"/>
    <cellStyle name="20% - Accent4 2 3 2 3" xfId="551" xr:uid="{00000000-0005-0000-0000-000027020000}"/>
    <cellStyle name="20% - Accent4 2 3 2 3 2" xfId="31961" xr:uid="{4D27C815-D2FB-4E99-994A-332F9CAB4CD1}"/>
    <cellStyle name="20% - Accent4 2 3 2 4" xfId="31958" xr:uid="{B7D81806-29A4-413B-80BA-7449E2C25F1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2 2 2" xfId="31965" xr:uid="{6730A8EF-16B4-4D3A-B878-664A7FA1DB73}"/>
    <cellStyle name="20% - Accent4 2 3 3 2 2 3" xfId="31964" xr:uid="{F8A048A7-7C3D-4A8D-AC28-C43FA484C58A}"/>
    <cellStyle name="20% - Accent4 2 3 3 2 3" xfId="556" xr:uid="{00000000-0005-0000-0000-00002C020000}"/>
    <cellStyle name="20% - Accent4 2 3 3 2 3 2" xfId="31966" xr:uid="{3E5850E1-C1F5-4E8B-835F-20AF289B32F6}"/>
    <cellStyle name="20% - Accent4 2 3 3 2 4" xfId="31963" xr:uid="{6AAF5E8F-E1AC-4F76-9B8C-DFD102ED6EBC}"/>
    <cellStyle name="20% - Accent4 2 3 3 3" xfId="557" xr:uid="{00000000-0005-0000-0000-00002D020000}"/>
    <cellStyle name="20% - Accent4 2 3 3 3 2" xfId="558" xr:uid="{00000000-0005-0000-0000-00002E020000}"/>
    <cellStyle name="20% - Accent4 2 3 3 3 2 2" xfId="31968" xr:uid="{021E459A-C8B3-44D7-868B-DE4F13CA76FF}"/>
    <cellStyle name="20% - Accent4 2 3 3 3 3" xfId="31967" xr:uid="{4B18C891-D737-46D0-A814-8F2CE94319B0}"/>
    <cellStyle name="20% - Accent4 2 3 3 4" xfId="559" xr:uid="{00000000-0005-0000-0000-00002F020000}"/>
    <cellStyle name="20% - Accent4 2 3 3 4 2" xfId="31969" xr:uid="{A4A51428-6589-41D0-87CB-657BC34A2B94}"/>
    <cellStyle name="20% - Accent4 2 3 3 5" xfId="31962" xr:uid="{531A5AED-97A3-4ED4-8ED9-5E0C7D02FFD3}"/>
    <cellStyle name="20% - Accent4 2 3 4" xfId="560" xr:uid="{00000000-0005-0000-0000-000030020000}"/>
    <cellStyle name="20% - Accent4 2 3 4 2" xfId="561" xr:uid="{00000000-0005-0000-0000-000031020000}"/>
    <cellStyle name="20% - Accent4 2 3 4 2 2" xfId="31971" xr:uid="{5582F989-BDC4-4A9B-ABBF-213D5C57F796}"/>
    <cellStyle name="20% - Accent4 2 3 4 3" xfId="31970" xr:uid="{53B52ACC-8CEF-44A4-B96E-9B8FC2E20BED}"/>
    <cellStyle name="20% - Accent4 2 3 5" xfId="562" xr:uid="{00000000-0005-0000-0000-000032020000}"/>
    <cellStyle name="20% - Accent4 2 3 5 2" xfId="31972" xr:uid="{CF1F47E0-166C-41D7-A4A8-588F95BF7304}"/>
    <cellStyle name="20% - Accent4 2 3 6" xfId="31957" xr:uid="{35B28902-6914-4D70-B94F-B306C22753F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2 2 2" xfId="31976" xr:uid="{5934579E-0AFF-4DBD-9ADC-8B739C70C5F8}"/>
    <cellStyle name="20% - Accent4 2 4 2 2 3" xfId="31975" xr:uid="{871EDA74-0585-4C3C-8A17-ECEB3DA0001A}"/>
    <cellStyle name="20% - Accent4 2 4 2 3" xfId="567" xr:uid="{00000000-0005-0000-0000-000037020000}"/>
    <cellStyle name="20% - Accent4 2 4 2 3 2" xfId="31977" xr:uid="{85AF03E2-4DFD-42B2-851A-50E7A4E88EA9}"/>
    <cellStyle name="20% - Accent4 2 4 2 4" xfId="31974" xr:uid="{3B6677B8-CB4C-43B1-878F-CCD8825387EB}"/>
    <cellStyle name="20% - Accent4 2 4 3" xfId="568" xr:uid="{00000000-0005-0000-0000-000038020000}"/>
    <cellStyle name="20% - Accent4 2 4 3 2" xfId="569" xr:uid="{00000000-0005-0000-0000-000039020000}"/>
    <cellStyle name="20% - Accent4 2 4 3 2 2" xfId="31979" xr:uid="{C146CFE3-44D2-411D-BEFB-ACB1C95A8558}"/>
    <cellStyle name="20% - Accent4 2 4 3 3" xfId="31978" xr:uid="{409EC3A0-9A17-4B81-8F4B-A906F883AA53}"/>
    <cellStyle name="20% - Accent4 2 4 4" xfId="570" xr:uid="{00000000-0005-0000-0000-00003A020000}"/>
    <cellStyle name="20% - Accent4 2 4 4 2" xfId="31980" xr:uid="{5565FCBF-287F-4FD8-ACC6-01B1CBA0C842}"/>
    <cellStyle name="20% - Accent4 2 4 5" xfId="31973" xr:uid="{A7AB34EF-230F-43FD-AEED-43E83F6D9B0D}"/>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2 2 2" xfId="31984" xr:uid="{80BD3484-2651-4A28-AEB6-D2D23BAB2275}"/>
    <cellStyle name="20% - Accent4 2 5 2 2 3" xfId="31983" xr:uid="{F4A3D4ED-358A-4BE0-971A-4039298A7DD2}"/>
    <cellStyle name="20% - Accent4 2 5 2 3" xfId="575" xr:uid="{00000000-0005-0000-0000-00003F020000}"/>
    <cellStyle name="20% - Accent4 2 5 2 3 2" xfId="31985" xr:uid="{F448346D-9855-4082-AF40-C6EDB19B1F01}"/>
    <cellStyle name="20% - Accent4 2 5 2 4" xfId="31982" xr:uid="{CEEFA8E6-94DC-44C6-BA9A-9570D6AE544E}"/>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2 2 2" xfId="31989" xr:uid="{9826608C-0CCD-405A-8C96-5B323AA4F13E}"/>
    <cellStyle name="20% - Accent4 2 5 3 2 2 3" xfId="31988" xr:uid="{DC13DCF9-0701-42F6-8C84-03053B8828C6}"/>
    <cellStyle name="20% - Accent4 2 5 3 2 3" xfId="580" xr:uid="{00000000-0005-0000-0000-000044020000}"/>
    <cellStyle name="20% - Accent4 2 5 3 2 3 2" xfId="31990" xr:uid="{1DFB975C-3EFB-477F-9003-61A36C4FAF10}"/>
    <cellStyle name="20% - Accent4 2 5 3 2 4" xfId="31987" xr:uid="{9C92A39F-1913-4302-AF08-FE2D9E26A1AC}"/>
    <cellStyle name="20% - Accent4 2 5 3 3" xfId="581" xr:uid="{00000000-0005-0000-0000-000045020000}"/>
    <cellStyle name="20% - Accent4 2 5 3 3 2" xfId="582" xr:uid="{00000000-0005-0000-0000-000046020000}"/>
    <cellStyle name="20% - Accent4 2 5 3 3 2 2" xfId="31992" xr:uid="{7310BBBD-72D9-4A39-8A4E-FA7F3B9A4255}"/>
    <cellStyle name="20% - Accent4 2 5 3 3 3" xfId="31991" xr:uid="{631CBC74-61EB-40A9-A00E-8554D762773C}"/>
    <cellStyle name="20% - Accent4 2 5 3 4" xfId="583" xr:uid="{00000000-0005-0000-0000-000047020000}"/>
    <cellStyle name="20% - Accent4 2 5 3 4 2" xfId="31993" xr:uid="{0AE6E3A2-543C-4BDC-BA62-CC7A7606B946}"/>
    <cellStyle name="20% - Accent4 2 5 3 5" xfId="31986" xr:uid="{DE9FEFDA-AA16-4E37-9B06-B9D223A97CC7}"/>
    <cellStyle name="20% - Accent4 2 5 4" xfId="584" xr:uid="{00000000-0005-0000-0000-000048020000}"/>
    <cellStyle name="20% - Accent4 2 5 4 2" xfId="585" xr:uid="{00000000-0005-0000-0000-000049020000}"/>
    <cellStyle name="20% - Accent4 2 5 4 2 2" xfId="31995" xr:uid="{70F14B81-50A2-4A70-A29E-CD72EA2A858C}"/>
    <cellStyle name="20% - Accent4 2 5 4 3" xfId="31994" xr:uid="{47DC44ED-537D-4805-A0BB-812A312F07B1}"/>
    <cellStyle name="20% - Accent4 2 5 5" xfId="586" xr:uid="{00000000-0005-0000-0000-00004A020000}"/>
    <cellStyle name="20% - Accent4 2 5 5 2" xfId="31996" xr:uid="{A6D6BFDC-5A5B-422A-8C26-75706F8395B7}"/>
    <cellStyle name="20% - Accent4 2 5 6" xfId="31981" xr:uid="{8B73A64E-8435-49FC-8B01-07B9F48E4E7A}"/>
    <cellStyle name="20% - Accent4 2 6" xfId="587" xr:uid="{00000000-0005-0000-0000-00004B020000}"/>
    <cellStyle name="20% - Accent4 2 6 2" xfId="588" xr:uid="{00000000-0005-0000-0000-00004C020000}"/>
    <cellStyle name="20% - Accent4 2 6 2 2" xfId="589" xr:uid="{00000000-0005-0000-0000-00004D020000}"/>
    <cellStyle name="20% - Accent4 2 6 2 2 2" xfId="31999" xr:uid="{898BD0B7-F2BC-4F1B-B65A-F76ADD73189E}"/>
    <cellStyle name="20% - Accent4 2 6 2 3" xfId="31998" xr:uid="{6E6E8321-5620-42AD-AB3F-93DE5D23E853}"/>
    <cellStyle name="20% - Accent4 2 6 3" xfId="590" xr:uid="{00000000-0005-0000-0000-00004E020000}"/>
    <cellStyle name="20% - Accent4 2 6 3 2" xfId="32000" xr:uid="{B4E97943-B3BC-4EF3-9589-E013020E0660}"/>
    <cellStyle name="20% - Accent4 2 6 4" xfId="31997" xr:uid="{A41DB932-9075-451A-AD13-1F6533A49FA9}"/>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2 2 2" xfId="32003" xr:uid="{8AD3057B-0C38-4826-A271-8518E2F309DE}"/>
    <cellStyle name="20% - Accent4 3 2 2 3" xfId="32002" xr:uid="{5ADF6190-4FCF-40F8-B218-7EC8C0F8C4E8}"/>
    <cellStyle name="20% - Accent4 3 2 3" xfId="609" xr:uid="{00000000-0005-0000-0000-000061020000}"/>
    <cellStyle name="20% - Accent4 3 2 3 2" xfId="32004" xr:uid="{922F4712-1426-4BE3-9FDA-A8FD7AE92841}"/>
    <cellStyle name="20% - Accent4 3 2 4" xfId="32001" xr:uid="{0472CB5E-DC9F-41B0-8337-DFE7E5B38B71}"/>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2 2 2" xfId="32008" xr:uid="{1D5A4042-BC56-4429-B361-CC8935D47206}"/>
    <cellStyle name="20% - Accent4 6 2 2 3" xfId="32007" xr:uid="{FDC1E0C3-BE01-4812-92E7-CBA1B5294C00}"/>
    <cellStyle name="20% - Accent4 6 2 3" xfId="645" xr:uid="{00000000-0005-0000-0000-000085020000}"/>
    <cellStyle name="20% - Accent4 6 2 3 2" xfId="32009" xr:uid="{0EE75EF5-4123-4D20-B899-2DF3ACF6FAF2}"/>
    <cellStyle name="20% - Accent4 6 2 4" xfId="32006" xr:uid="{0517068E-BF15-4DF6-AED8-46DCBECE2A51}"/>
    <cellStyle name="20% - Accent4 6 3" xfId="646" xr:uid="{00000000-0005-0000-0000-000086020000}"/>
    <cellStyle name="20% - Accent4 6 3 2" xfId="647" xr:uid="{00000000-0005-0000-0000-000087020000}"/>
    <cellStyle name="20% - Accent4 6 3 2 2" xfId="32011" xr:uid="{5F5FFD31-AE42-4013-B569-037B774E1329}"/>
    <cellStyle name="20% - Accent4 6 3 3" xfId="32010" xr:uid="{75D846FB-0678-49E6-A9D9-3BB077062EA7}"/>
    <cellStyle name="20% - Accent4 6 4" xfId="648" xr:uid="{00000000-0005-0000-0000-000088020000}"/>
    <cellStyle name="20% - Accent4 6 4 2" xfId="32012" xr:uid="{0CA15FD4-D78F-4E1A-A719-AD24B40F83E1}"/>
    <cellStyle name="20% - Accent4 6 5" xfId="32005" xr:uid="{B2B123E5-CEC6-44F5-A2B2-2E5BA88ADABC}"/>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0 2 2" xfId="32014" xr:uid="{06CD4AA3-C6A6-4B59-AD44-53DCB6D01FAB}"/>
    <cellStyle name="20% - Accent5 2 10 3" xfId="32013" xr:uid="{4CC6E5C1-E0A3-4874-81BB-287AB7B09A4E}"/>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2 2 2" xfId="32018" xr:uid="{C1BFD50C-EFA1-4BF0-BB49-DAAF6B402AF3}"/>
    <cellStyle name="20% - Accent5 2 3 2 2 3" xfId="32017" xr:uid="{8E9B87CB-F99C-4833-8321-BC80FFEB04AF}"/>
    <cellStyle name="20% - Accent5 2 3 2 3" xfId="683" xr:uid="{00000000-0005-0000-0000-0000AB020000}"/>
    <cellStyle name="20% - Accent5 2 3 2 3 2" xfId="32019" xr:uid="{44CE143E-1B06-4FC9-890F-C0E414C5AC45}"/>
    <cellStyle name="20% - Accent5 2 3 2 4" xfId="32016" xr:uid="{8B8077F3-312D-44DB-8C0F-59543E6C46E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2 2 2" xfId="32023" xr:uid="{5DD477FC-6D58-4B4A-BE2C-920323967428}"/>
    <cellStyle name="20% - Accent5 2 3 3 2 2 3" xfId="32022" xr:uid="{A49337EA-681B-408F-AD52-2F9E12987756}"/>
    <cellStyle name="20% - Accent5 2 3 3 2 3" xfId="688" xr:uid="{00000000-0005-0000-0000-0000B0020000}"/>
    <cellStyle name="20% - Accent5 2 3 3 2 3 2" xfId="32024" xr:uid="{213DDF4C-B387-4F42-AE2E-D6377F183D76}"/>
    <cellStyle name="20% - Accent5 2 3 3 2 4" xfId="32021" xr:uid="{3993C464-0529-4F8A-9BB2-A695A2321F37}"/>
    <cellStyle name="20% - Accent5 2 3 3 3" xfId="689" xr:uid="{00000000-0005-0000-0000-0000B1020000}"/>
    <cellStyle name="20% - Accent5 2 3 3 3 2" xfId="690" xr:uid="{00000000-0005-0000-0000-0000B2020000}"/>
    <cellStyle name="20% - Accent5 2 3 3 3 2 2" xfId="32026" xr:uid="{8DA6BAC7-70B7-4FC9-B0AC-DB9F7C4A09F3}"/>
    <cellStyle name="20% - Accent5 2 3 3 3 3" xfId="32025" xr:uid="{1B39812F-B3D4-4227-B0C8-0DDD8C3BDD98}"/>
    <cellStyle name="20% - Accent5 2 3 3 4" xfId="691" xr:uid="{00000000-0005-0000-0000-0000B3020000}"/>
    <cellStyle name="20% - Accent5 2 3 3 4 2" xfId="32027" xr:uid="{4B4BE80E-923A-4BE5-8079-E9130B56554B}"/>
    <cellStyle name="20% - Accent5 2 3 3 5" xfId="32020" xr:uid="{37082906-CB31-43E2-9B1D-0B682EEF0C0D}"/>
    <cellStyle name="20% - Accent5 2 3 4" xfId="692" xr:uid="{00000000-0005-0000-0000-0000B4020000}"/>
    <cellStyle name="20% - Accent5 2 3 4 2" xfId="693" xr:uid="{00000000-0005-0000-0000-0000B5020000}"/>
    <cellStyle name="20% - Accent5 2 3 4 2 2" xfId="32029" xr:uid="{A8793D79-448C-4D3C-9B3D-651BC4947C5E}"/>
    <cellStyle name="20% - Accent5 2 3 4 3" xfId="32028" xr:uid="{C1E33FD5-1C14-40F7-932A-AB6B49C25F84}"/>
    <cellStyle name="20% - Accent5 2 3 5" xfId="694" xr:uid="{00000000-0005-0000-0000-0000B6020000}"/>
    <cellStyle name="20% - Accent5 2 3 5 2" xfId="32030" xr:uid="{9E76A553-B897-4653-9B7E-F0755D717F5A}"/>
    <cellStyle name="20% - Accent5 2 3 6" xfId="32015" xr:uid="{42BF6133-F123-410E-AC44-A0AD4FC9EC51}"/>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2 2 2" xfId="32034" xr:uid="{55335C25-FC0D-43EC-9FA9-19ADD6D08395}"/>
    <cellStyle name="20% - Accent5 2 4 2 2 3" xfId="32033" xr:uid="{BE0F5D51-BA17-40DE-9D9D-D6464E397824}"/>
    <cellStyle name="20% - Accent5 2 4 2 3" xfId="699" xr:uid="{00000000-0005-0000-0000-0000BB020000}"/>
    <cellStyle name="20% - Accent5 2 4 2 3 2" xfId="32035" xr:uid="{D65C5349-13E6-4651-B46C-D1A25B5C8BE2}"/>
    <cellStyle name="20% - Accent5 2 4 2 4" xfId="32032" xr:uid="{3351F5C8-7088-4B63-9A58-7712F559A964}"/>
    <cellStyle name="20% - Accent5 2 4 3" xfId="700" xr:uid="{00000000-0005-0000-0000-0000BC020000}"/>
    <cellStyle name="20% - Accent5 2 4 3 2" xfId="701" xr:uid="{00000000-0005-0000-0000-0000BD020000}"/>
    <cellStyle name="20% - Accent5 2 4 3 2 2" xfId="32037" xr:uid="{40168DC9-6E5C-4D9D-9B3C-29AB71B0E014}"/>
    <cellStyle name="20% - Accent5 2 4 3 3" xfId="32036" xr:uid="{8C4BBA6D-89B0-40FF-AE11-0658A742E477}"/>
    <cellStyle name="20% - Accent5 2 4 4" xfId="702" xr:uid="{00000000-0005-0000-0000-0000BE020000}"/>
    <cellStyle name="20% - Accent5 2 4 4 2" xfId="32038" xr:uid="{497E2116-4B1B-42B3-9CDE-7AEBE3055663}"/>
    <cellStyle name="20% - Accent5 2 4 5" xfId="32031" xr:uid="{8707085E-0200-4273-A7FC-11F1943400E1}"/>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2 2 2" xfId="32042" xr:uid="{98778F45-8C15-4B94-B04C-F852440F676D}"/>
    <cellStyle name="20% - Accent5 2 5 2 2 3" xfId="32041" xr:uid="{26C7BE3E-928C-4C4E-AEE6-6C55194DFB23}"/>
    <cellStyle name="20% - Accent5 2 5 2 3" xfId="707" xr:uid="{00000000-0005-0000-0000-0000C3020000}"/>
    <cellStyle name="20% - Accent5 2 5 2 3 2" xfId="32043" xr:uid="{E7C463F6-1F39-4CB8-943D-01215DA20C48}"/>
    <cellStyle name="20% - Accent5 2 5 2 4" xfId="32040" xr:uid="{5E25830E-903F-4E66-ACDC-6E5761915DF8}"/>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2 2 2" xfId="32047" xr:uid="{55050F9B-792D-484D-8209-54A4506FA526}"/>
    <cellStyle name="20% - Accent5 2 5 3 2 2 3" xfId="32046" xr:uid="{003AB0C1-8B82-417C-9B5E-5C2993282286}"/>
    <cellStyle name="20% - Accent5 2 5 3 2 3" xfId="712" xr:uid="{00000000-0005-0000-0000-0000C8020000}"/>
    <cellStyle name="20% - Accent5 2 5 3 2 3 2" xfId="32048" xr:uid="{0236843F-3CE2-4BD2-AE47-CA703949AF2B}"/>
    <cellStyle name="20% - Accent5 2 5 3 2 4" xfId="32045" xr:uid="{25B14698-1860-424D-AD4E-CBF4629B896D}"/>
    <cellStyle name="20% - Accent5 2 5 3 3" xfId="713" xr:uid="{00000000-0005-0000-0000-0000C9020000}"/>
    <cellStyle name="20% - Accent5 2 5 3 3 2" xfId="714" xr:uid="{00000000-0005-0000-0000-0000CA020000}"/>
    <cellStyle name="20% - Accent5 2 5 3 3 2 2" xfId="32050" xr:uid="{6423848C-8974-4FC1-8971-2829C7957416}"/>
    <cellStyle name="20% - Accent5 2 5 3 3 3" xfId="32049" xr:uid="{B6CAC0CD-91D8-4DFA-B2B3-F7F30A29D502}"/>
    <cellStyle name="20% - Accent5 2 5 3 4" xfId="715" xr:uid="{00000000-0005-0000-0000-0000CB020000}"/>
    <cellStyle name="20% - Accent5 2 5 3 4 2" xfId="32051" xr:uid="{6AD21435-156B-4749-9350-5E70A407FD79}"/>
    <cellStyle name="20% - Accent5 2 5 3 5" xfId="32044" xr:uid="{67348506-7073-4E15-8355-BBCB11836F5B}"/>
    <cellStyle name="20% - Accent5 2 5 4" xfId="716" xr:uid="{00000000-0005-0000-0000-0000CC020000}"/>
    <cellStyle name="20% - Accent5 2 5 4 2" xfId="717" xr:uid="{00000000-0005-0000-0000-0000CD020000}"/>
    <cellStyle name="20% - Accent5 2 5 4 2 2" xfId="32053" xr:uid="{BA09C652-3EBA-4F05-8C6F-EFA9614D8782}"/>
    <cellStyle name="20% - Accent5 2 5 4 3" xfId="32052" xr:uid="{B81EC241-17A9-47EF-9511-D517644BC0A2}"/>
    <cellStyle name="20% - Accent5 2 5 5" xfId="718" xr:uid="{00000000-0005-0000-0000-0000CE020000}"/>
    <cellStyle name="20% - Accent5 2 5 5 2" xfId="32054" xr:uid="{68766BB8-9B4D-4BA8-99BC-31ACD14593BF}"/>
    <cellStyle name="20% - Accent5 2 5 6" xfId="32039" xr:uid="{C6614E9D-F6D1-4797-9EED-21D0409CF50B}"/>
    <cellStyle name="20% - Accent5 2 6" xfId="719" xr:uid="{00000000-0005-0000-0000-0000CF020000}"/>
    <cellStyle name="20% - Accent5 2 6 2" xfId="720" xr:uid="{00000000-0005-0000-0000-0000D0020000}"/>
    <cellStyle name="20% - Accent5 2 6 2 2" xfId="721" xr:uid="{00000000-0005-0000-0000-0000D1020000}"/>
    <cellStyle name="20% - Accent5 2 6 2 2 2" xfId="32057" xr:uid="{EBF5741A-3A77-489D-8D73-57C315C970F6}"/>
    <cellStyle name="20% - Accent5 2 6 2 3" xfId="32056" xr:uid="{0E6999CB-ADC8-442C-B319-4F5D5BFC5A5B}"/>
    <cellStyle name="20% - Accent5 2 6 3" xfId="722" xr:uid="{00000000-0005-0000-0000-0000D2020000}"/>
    <cellStyle name="20% - Accent5 2 6 3 2" xfId="32058" xr:uid="{A738B464-87CE-4181-B267-70870013BD78}"/>
    <cellStyle name="20% - Accent5 2 6 4" xfId="32055" xr:uid="{9AEB1F80-FE74-429A-A1D7-3B2A44F85807}"/>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2 2 2" xfId="32061" xr:uid="{2BC73F02-FD0B-4A69-8060-4AFB7CD3578B}"/>
    <cellStyle name="20% - Accent5 3 2 2 3" xfId="32060" xr:uid="{842AE095-1513-4CB2-B88C-930E2EFEF8B6}"/>
    <cellStyle name="20% - Accent5 3 2 3" xfId="741" xr:uid="{00000000-0005-0000-0000-0000E5020000}"/>
    <cellStyle name="20% - Accent5 3 2 3 2" xfId="32062" xr:uid="{5DA7F59F-60F4-4D65-AFAD-152D0B125EB9}"/>
    <cellStyle name="20% - Accent5 3 2 4" xfId="32059" xr:uid="{18AC2704-12C4-4956-9E20-C7E2D55BE406}"/>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2 2 2" xfId="32066" xr:uid="{803546A9-5D42-4B79-A14A-8E6F997615E8}"/>
    <cellStyle name="20% - Accent5 6 2 2 3" xfId="32065" xr:uid="{20C13286-C4AD-468B-B54F-0DDA90CFF041}"/>
    <cellStyle name="20% - Accent5 6 2 3" xfId="777" xr:uid="{00000000-0005-0000-0000-000009030000}"/>
    <cellStyle name="20% - Accent5 6 2 3 2" xfId="32067" xr:uid="{B0B35E24-03D1-4EFA-A0BD-77032B3C9ACC}"/>
    <cellStyle name="20% - Accent5 6 2 4" xfId="32064" xr:uid="{DA5D8E0E-63A0-4FCF-BB13-E6B20013BB6E}"/>
    <cellStyle name="20% - Accent5 6 3" xfId="778" xr:uid="{00000000-0005-0000-0000-00000A030000}"/>
    <cellStyle name="20% - Accent5 6 3 2" xfId="779" xr:uid="{00000000-0005-0000-0000-00000B030000}"/>
    <cellStyle name="20% - Accent5 6 3 2 2" xfId="32069" xr:uid="{BA1C9B4A-917E-44C3-A51C-62A44B3E4E3B}"/>
    <cellStyle name="20% - Accent5 6 3 3" xfId="32068" xr:uid="{54A1E6A0-D223-4BC5-A7DF-3382B5C8DE39}"/>
    <cellStyle name="20% - Accent5 6 4" xfId="780" xr:uid="{00000000-0005-0000-0000-00000C030000}"/>
    <cellStyle name="20% - Accent5 6 4 2" xfId="32070" xr:uid="{12C440D1-43EF-4444-ADE1-BB84D3C4D008}"/>
    <cellStyle name="20% - Accent5 6 5" xfId="32063" xr:uid="{6E0B2B26-1F07-46BF-92F4-9505F8531927}"/>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0 2 2" xfId="32073" xr:uid="{103276C7-0DAB-4C9F-BCBC-4CE0CC4E55C1}"/>
    <cellStyle name="20% - Accent6 2 10 3" xfId="32072" xr:uid="{C2550420-00C0-494F-9141-73346D285FB2}"/>
    <cellStyle name="20% - Accent6 2 11" xfId="786" xr:uid="{00000000-0005-0000-0000-000012030000}"/>
    <cellStyle name="20% - Accent6 2 11 2" xfId="32074" xr:uid="{D9362935-2FC0-478E-9341-29F270D783C2}"/>
    <cellStyle name="20% - Accent6 2 12" xfId="32071" xr:uid="{900E0D35-9055-41F4-B38A-9E98D3AA6191}"/>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2 2 2" xfId="32078" xr:uid="{4F89778C-A368-4952-9138-4B51986815D5}"/>
    <cellStyle name="20% - Accent6 2 2 3 2 3" xfId="32077" xr:uid="{A3FF56EA-DC17-4A10-BD71-38B4A29927F8}"/>
    <cellStyle name="20% - Accent6 2 2 3 3" xfId="799" xr:uid="{00000000-0005-0000-0000-00001F030000}"/>
    <cellStyle name="20% - Accent6 2 2 3 3 2" xfId="32079" xr:uid="{1C01C061-1388-405D-BC8C-F73C0BBFFFEE}"/>
    <cellStyle name="20% - Accent6 2 2 3 4" xfId="32076" xr:uid="{EA284528-93D6-4354-A212-208267B98738}"/>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2 2 2" xfId="32083" xr:uid="{3CDB6268-B0C8-4F71-9A93-73395FE05A43}"/>
    <cellStyle name="20% - Accent6 2 2 4 2 2 3" xfId="32082" xr:uid="{736D6B23-4ABA-4CEA-873E-6A6DC80651E8}"/>
    <cellStyle name="20% - Accent6 2 2 4 2 3" xfId="804" xr:uid="{00000000-0005-0000-0000-000024030000}"/>
    <cellStyle name="20% - Accent6 2 2 4 2 3 2" xfId="32084" xr:uid="{119D710F-4828-47AB-A539-AE80C0AA63F9}"/>
    <cellStyle name="20% - Accent6 2 2 4 2 4" xfId="32081" xr:uid="{FC6B08FD-7F22-4B51-8487-2790FC4EC21D}"/>
    <cellStyle name="20% - Accent6 2 2 4 3" xfId="805" xr:uid="{00000000-0005-0000-0000-000025030000}"/>
    <cellStyle name="20% - Accent6 2 2 4 3 2" xfId="806" xr:uid="{00000000-0005-0000-0000-000026030000}"/>
    <cellStyle name="20% - Accent6 2 2 4 3 2 2" xfId="32086" xr:uid="{4B3FED77-EA05-427D-8E68-732405E008EB}"/>
    <cellStyle name="20% - Accent6 2 2 4 3 3" xfId="32085" xr:uid="{AD5C6101-9D86-4DC5-AEAB-69EC72FBF863}"/>
    <cellStyle name="20% - Accent6 2 2 4 4" xfId="807" xr:uid="{00000000-0005-0000-0000-000027030000}"/>
    <cellStyle name="20% - Accent6 2 2 4 4 2" xfId="32087" xr:uid="{C5127786-1F94-4B4D-8149-6E90CDA454E6}"/>
    <cellStyle name="20% - Accent6 2 2 4 5" xfId="32080" xr:uid="{3CA6D40C-9C94-4874-B8CA-9A5772177AF9}"/>
    <cellStyle name="20% - Accent6 2 2 5" xfId="808" xr:uid="{00000000-0005-0000-0000-000028030000}"/>
    <cellStyle name="20% - Accent6 2 2 5 2" xfId="809" xr:uid="{00000000-0005-0000-0000-000029030000}"/>
    <cellStyle name="20% - Accent6 2 2 5 2 2" xfId="32089" xr:uid="{435FB2ED-B84E-47FC-BF91-FAEF9A94FEA9}"/>
    <cellStyle name="20% - Accent6 2 2 5 3" xfId="32088" xr:uid="{04EA4018-D2E6-46F9-8041-670415666BE2}"/>
    <cellStyle name="20% - Accent6 2 2 6" xfId="810" xr:uid="{00000000-0005-0000-0000-00002A030000}"/>
    <cellStyle name="20% - Accent6 2 2 6 2" xfId="32090" xr:uid="{62911D2E-B9D8-4F68-8300-BE9024268A0E}"/>
    <cellStyle name="20% - Accent6 2 2 7" xfId="32075" xr:uid="{FDFDAB95-9D01-453D-81BB-CA9778E99144}"/>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2 2 2" xfId="32094" xr:uid="{3F73358B-99A7-4957-BD64-E1780B8CF722}"/>
    <cellStyle name="20% - Accent6 2 3 2 2 3" xfId="32093" xr:uid="{BB515B61-18E8-460D-842B-3BAC0058D2CC}"/>
    <cellStyle name="20% - Accent6 2 3 2 3" xfId="815" xr:uid="{00000000-0005-0000-0000-00002F030000}"/>
    <cellStyle name="20% - Accent6 2 3 2 3 2" xfId="32095" xr:uid="{9D72286B-02CE-4995-B224-D4B8C33572A8}"/>
    <cellStyle name="20% - Accent6 2 3 2 4" xfId="32092" xr:uid="{E67982E0-2A04-4722-BA9E-A60418897C97}"/>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2 2 2" xfId="32099" xr:uid="{B2B621E7-AD87-431C-A2E9-478F535332A1}"/>
    <cellStyle name="20% - Accent6 2 3 3 2 2 3" xfId="32098" xr:uid="{3E313AF4-E224-4C67-9F6D-AE2681B624FD}"/>
    <cellStyle name="20% - Accent6 2 3 3 2 3" xfId="820" xr:uid="{00000000-0005-0000-0000-000034030000}"/>
    <cellStyle name="20% - Accent6 2 3 3 2 3 2" xfId="32100" xr:uid="{EBEA9271-8B2D-4F1D-9A6B-FBADD9B4AE2D}"/>
    <cellStyle name="20% - Accent6 2 3 3 2 4" xfId="32097" xr:uid="{C8B17861-3B18-46FD-8DD3-F0A2DC4AE624}"/>
    <cellStyle name="20% - Accent6 2 3 3 3" xfId="821" xr:uid="{00000000-0005-0000-0000-000035030000}"/>
    <cellStyle name="20% - Accent6 2 3 3 3 2" xfId="822" xr:uid="{00000000-0005-0000-0000-000036030000}"/>
    <cellStyle name="20% - Accent6 2 3 3 3 2 2" xfId="32102" xr:uid="{61215955-1585-4D45-A53A-138F57CC2AE2}"/>
    <cellStyle name="20% - Accent6 2 3 3 3 3" xfId="32101" xr:uid="{43C69FB7-4411-4E99-865D-7F47E3A5D3BD}"/>
    <cellStyle name="20% - Accent6 2 3 3 4" xfId="823" xr:uid="{00000000-0005-0000-0000-000037030000}"/>
    <cellStyle name="20% - Accent6 2 3 3 4 2" xfId="32103" xr:uid="{584973AA-1598-4E48-B752-8812D9778048}"/>
    <cellStyle name="20% - Accent6 2 3 3 5" xfId="32096" xr:uid="{E79F232E-770C-4CA1-AD6B-3D9D84C08402}"/>
    <cellStyle name="20% - Accent6 2 3 4" xfId="824" xr:uid="{00000000-0005-0000-0000-000038030000}"/>
    <cellStyle name="20% - Accent6 2 3 4 2" xfId="825" xr:uid="{00000000-0005-0000-0000-000039030000}"/>
    <cellStyle name="20% - Accent6 2 3 4 2 2" xfId="32105" xr:uid="{EAA20004-4F49-4E2B-9AE9-EEEE203481D6}"/>
    <cellStyle name="20% - Accent6 2 3 4 3" xfId="32104" xr:uid="{CEFF00F0-1F61-4441-B2DA-3295533262E4}"/>
    <cellStyle name="20% - Accent6 2 3 5" xfId="826" xr:uid="{00000000-0005-0000-0000-00003A030000}"/>
    <cellStyle name="20% - Accent6 2 3 5 2" xfId="32106" xr:uid="{C279381A-1600-4A7D-A2A6-FE4F978123B1}"/>
    <cellStyle name="20% - Accent6 2 3 6" xfId="32091" xr:uid="{4870328B-70C2-497E-BAE7-34AD7A80E8BC}"/>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2 2 2" xfId="32110" xr:uid="{6CB0D347-C18C-4CB5-BF72-C7F61180D811}"/>
    <cellStyle name="20% - Accent6 2 4 2 2 3" xfId="32109" xr:uid="{CC235761-FA3C-4A8C-B023-375AE52242B3}"/>
    <cellStyle name="20% - Accent6 2 4 2 3" xfId="831" xr:uid="{00000000-0005-0000-0000-00003F030000}"/>
    <cellStyle name="20% - Accent6 2 4 2 3 2" xfId="32111" xr:uid="{0A28A72D-AE0D-4D4C-B2DD-59E48ED7A70E}"/>
    <cellStyle name="20% - Accent6 2 4 2 4" xfId="32108" xr:uid="{08DE64E5-F182-4CC7-BA45-5CCDFB54BABF}"/>
    <cellStyle name="20% - Accent6 2 4 3" xfId="832" xr:uid="{00000000-0005-0000-0000-000040030000}"/>
    <cellStyle name="20% - Accent6 2 4 3 2" xfId="833" xr:uid="{00000000-0005-0000-0000-000041030000}"/>
    <cellStyle name="20% - Accent6 2 4 3 2 2" xfId="32113" xr:uid="{A160CB80-68B8-4231-BED3-976B59FE05F1}"/>
    <cellStyle name="20% - Accent6 2 4 3 3" xfId="32112" xr:uid="{FACC1C11-752B-4782-8596-66F6F28D4EDC}"/>
    <cellStyle name="20% - Accent6 2 4 4" xfId="834" xr:uid="{00000000-0005-0000-0000-000042030000}"/>
    <cellStyle name="20% - Accent6 2 4 4 2" xfId="32114" xr:uid="{5585EA20-ABE6-4F01-882D-BC81FD5D748C}"/>
    <cellStyle name="20% - Accent6 2 4 5" xfId="32107" xr:uid="{49927EA7-D340-4ABA-A9AB-25C99BA34212}"/>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2 2 2" xfId="32118" xr:uid="{0FD5EDD4-F745-4CB6-969C-5A99A1216A23}"/>
    <cellStyle name="20% - Accent6 2 5 2 2 3" xfId="32117" xr:uid="{B3AB164E-5E7C-4ECD-9AA8-59F34F317555}"/>
    <cellStyle name="20% - Accent6 2 5 2 3" xfId="839" xr:uid="{00000000-0005-0000-0000-000047030000}"/>
    <cellStyle name="20% - Accent6 2 5 2 3 2" xfId="32119" xr:uid="{FA2EA018-ADF7-48DE-8321-48791CE0245E}"/>
    <cellStyle name="20% - Accent6 2 5 2 4" xfId="32116" xr:uid="{D9A96946-1537-4072-96C8-4278405865C8}"/>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2 2 2" xfId="32123" xr:uid="{28F7E83F-6DF2-4176-9619-606408C2021B}"/>
    <cellStyle name="20% - Accent6 2 5 3 2 2 3" xfId="32122" xr:uid="{4F0D9B00-DA97-4D17-8953-543AA91175B5}"/>
    <cellStyle name="20% - Accent6 2 5 3 2 3" xfId="844" xr:uid="{00000000-0005-0000-0000-00004C030000}"/>
    <cellStyle name="20% - Accent6 2 5 3 2 3 2" xfId="32124" xr:uid="{CBBBC936-CFEE-4A0C-8495-BDD865D69AB0}"/>
    <cellStyle name="20% - Accent6 2 5 3 2 4" xfId="32121" xr:uid="{322C34B8-5D88-4A33-895D-82655E2E6CEC}"/>
    <cellStyle name="20% - Accent6 2 5 3 3" xfId="845" xr:uid="{00000000-0005-0000-0000-00004D030000}"/>
    <cellStyle name="20% - Accent6 2 5 3 3 2" xfId="846" xr:uid="{00000000-0005-0000-0000-00004E030000}"/>
    <cellStyle name="20% - Accent6 2 5 3 3 2 2" xfId="32126" xr:uid="{3C953AE1-BE9F-40D1-903A-8CA538AACC75}"/>
    <cellStyle name="20% - Accent6 2 5 3 3 3" xfId="32125" xr:uid="{B169AE41-3F6B-4E14-B448-7CF65BB3F42D}"/>
    <cellStyle name="20% - Accent6 2 5 3 4" xfId="847" xr:uid="{00000000-0005-0000-0000-00004F030000}"/>
    <cellStyle name="20% - Accent6 2 5 3 4 2" xfId="32127" xr:uid="{0DA1FB2B-3E79-4150-9361-5C3E3CFCE23F}"/>
    <cellStyle name="20% - Accent6 2 5 3 5" xfId="32120" xr:uid="{6E8AC6BB-E1C6-48A1-9805-7A98D1BD4742}"/>
    <cellStyle name="20% - Accent6 2 5 4" xfId="848" xr:uid="{00000000-0005-0000-0000-000050030000}"/>
    <cellStyle name="20% - Accent6 2 5 4 2" xfId="849" xr:uid="{00000000-0005-0000-0000-000051030000}"/>
    <cellStyle name="20% - Accent6 2 5 4 2 2" xfId="32129" xr:uid="{E7FC58CA-BA91-43DB-B2B4-890C830381D8}"/>
    <cellStyle name="20% - Accent6 2 5 4 3" xfId="32128" xr:uid="{54E5E5B6-6D0E-4B70-926C-38891E77226C}"/>
    <cellStyle name="20% - Accent6 2 5 5" xfId="850" xr:uid="{00000000-0005-0000-0000-000052030000}"/>
    <cellStyle name="20% - Accent6 2 5 5 2" xfId="32130" xr:uid="{3EB86118-0101-4FCB-BCC3-7D3380F956D7}"/>
    <cellStyle name="20% - Accent6 2 5 6" xfId="32115" xr:uid="{E38FBB83-E9A2-4668-AA17-1AF389B4EA46}"/>
    <cellStyle name="20% - Accent6 2 6" xfId="851" xr:uid="{00000000-0005-0000-0000-000053030000}"/>
    <cellStyle name="20% - Accent6 2 6 2" xfId="852" xr:uid="{00000000-0005-0000-0000-000054030000}"/>
    <cellStyle name="20% - Accent6 2 6 2 2" xfId="853" xr:uid="{00000000-0005-0000-0000-000055030000}"/>
    <cellStyle name="20% - Accent6 2 6 2 2 2" xfId="32133" xr:uid="{CF58C818-4385-4EB7-A713-55A91ABF0491}"/>
    <cellStyle name="20% - Accent6 2 6 2 3" xfId="32132" xr:uid="{66FFA332-7E4D-4CAC-AD28-9DFAB32F2733}"/>
    <cellStyle name="20% - Accent6 2 6 3" xfId="854" xr:uid="{00000000-0005-0000-0000-000056030000}"/>
    <cellStyle name="20% - Accent6 2 6 3 2" xfId="32134" xr:uid="{C1CC9644-7DB4-4A84-B3D1-FD7BB93D875D}"/>
    <cellStyle name="20% - Accent6 2 6 4" xfId="32131" xr:uid="{6A53DCE9-598C-4FE2-AE1A-017F7AF44EC4}"/>
    <cellStyle name="20% - Accent6 2 7" xfId="855" xr:uid="{00000000-0005-0000-0000-000057030000}"/>
    <cellStyle name="20% - Accent6 2 7 2" xfId="856" xr:uid="{00000000-0005-0000-0000-000058030000}"/>
    <cellStyle name="20% - Accent6 2 7 2 2" xfId="857" xr:uid="{00000000-0005-0000-0000-000059030000}"/>
    <cellStyle name="20% - Accent6 2 7 2 2 2" xfId="32137" xr:uid="{25BE6E3E-5BD2-425A-BD34-CB86F15739B3}"/>
    <cellStyle name="20% - Accent6 2 7 2 3" xfId="32136" xr:uid="{48317212-117B-42F5-A5EC-12177117C8C5}"/>
    <cellStyle name="20% - Accent6 2 7 3" xfId="858" xr:uid="{00000000-0005-0000-0000-00005A030000}"/>
    <cellStyle name="20% - Accent6 2 7 3 2" xfId="32138" xr:uid="{F02573EE-E93F-4EFF-80E6-94347D0EB4DF}"/>
    <cellStyle name="20% - Accent6 2 7 4" xfId="32135" xr:uid="{4610BC1A-FB39-4F4B-86F4-82DE1FD948E3}"/>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2 2 2" xfId="32142" xr:uid="{359B5DC6-DC6B-4313-9013-86304EAF9A7E}"/>
    <cellStyle name="20% - Accent6 2 8 2 2 3" xfId="32141" xr:uid="{5F65C25A-50E3-45BD-BEB0-68E7684C002E}"/>
    <cellStyle name="20% - Accent6 2 8 2 3" xfId="863" xr:uid="{00000000-0005-0000-0000-00005F030000}"/>
    <cellStyle name="20% - Accent6 2 8 2 3 2" xfId="32143" xr:uid="{9D5B0EAD-E20B-4F05-9E8F-F1D3AD80CD0B}"/>
    <cellStyle name="20% - Accent6 2 8 2 4" xfId="32140" xr:uid="{E69F0801-E2A0-494B-B993-B1806270158A}"/>
    <cellStyle name="20% - Accent6 2 8 3" xfId="864" xr:uid="{00000000-0005-0000-0000-000060030000}"/>
    <cellStyle name="20% - Accent6 2 8 3 2" xfId="865" xr:uid="{00000000-0005-0000-0000-000061030000}"/>
    <cellStyle name="20% - Accent6 2 8 3 2 2" xfId="32145" xr:uid="{11A5C92D-D18B-420A-88BD-3A97E2A16A9E}"/>
    <cellStyle name="20% - Accent6 2 8 3 3" xfId="32144" xr:uid="{19339CF4-7B74-48E6-B595-C7A4155C8F35}"/>
    <cellStyle name="20% - Accent6 2 8 4" xfId="866" xr:uid="{00000000-0005-0000-0000-000062030000}"/>
    <cellStyle name="20% - Accent6 2 8 4 2" xfId="32146" xr:uid="{14C81CB8-09A2-43C9-B647-CAE89A699D2C}"/>
    <cellStyle name="20% - Accent6 2 8 5" xfId="32139" xr:uid="{6F0BC9D2-864F-413D-950F-4A5F42671492}"/>
    <cellStyle name="20% - Accent6 2 9" xfId="867" xr:uid="{00000000-0005-0000-0000-000063030000}"/>
    <cellStyle name="20% - Accent6 2 9 2" xfId="868" xr:uid="{00000000-0005-0000-0000-000064030000}"/>
    <cellStyle name="20% - Accent6 2 9 2 2" xfId="32148" xr:uid="{28BFB2A0-BD97-4F08-8C5B-91842894A39F}"/>
    <cellStyle name="20% - Accent6 2 9 3" xfId="32147" xr:uid="{C52D3E00-6EF7-4A1B-9272-5E5879C9E05A}"/>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2 2 2" xfId="32152" xr:uid="{F99E4230-DA20-4929-8185-72078DDFC6DC}"/>
    <cellStyle name="20% - Accent6 3 2 2 3" xfId="32151" xr:uid="{42C8BD52-CD30-40D1-9876-DF1166CF9A9C}"/>
    <cellStyle name="20% - Accent6 3 2 3" xfId="873" xr:uid="{00000000-0005-0000-0000-000069030000}"/>
    <cellStyle name="20% - Accent6 3 2 3 2" xfId="32153" xr:uid="{25E1F1E5-C81F-48B5-BE7B-EFFB5DB53216}"/>
    <cellStyle name="20% - Accent6 3 2 4" xfId="32150" xr:uid="{7D1A51D9-B532-41DE-BD28-50DF7A5784EB}"/>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3 6" xfId="32149" xr:uid="{8E0A7DB9-DB73-4AD5-96DB-50F04158B923}"/>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4 5" xfId="32154" xr:uid="{10AE806A-C5A3-4742-93BA-175E28FA6F4D}"/>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2 2 2" xfId="32158" xr:uid="{E39D40F6-73B9-455D-8A3D-53EB2A38C980}"/>
    <cellStyle name="20% - Accent6 5 2 2 3" xfId="32157" xr:uid="{7A58A420-9556-4F5B-8B33-03902B883E03}"/>
    <cellStyle name="20% - Accent6 5 2 3" xfId="893" xr:uid="{00000000-0005-0000-0000-00007D030000}"/>
    <cellStyle name="20% - Accent6 5 2 3 2" xfId="32159" xr:uid="{EF7E7FB5-0D93-4C50-B5BC-5337009F83D4}"/>
    <cellStyle name="20% - Accent6 5 2 4" xfId="32156" xr:uid="{18747AF3-155B-44AA-A8E8-019ED7F865D1}"/>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2 2 2" xfId="32163" xr:uid="{4E1336A2-080C-4EC1-8976-2EDBA5EFD67D}"/>
    <cellStyle name="20% - Accent6 5 3 2 2 3" xfId="32162" xr:uid="{FB9B91BF-9763-4AF4-8332-3039BE1210F5}"/>
    <cellStyle name="20% - Accent6 5 3 2 3" xfId="898" xr:uid="{00000000-0005-0000-0000-000082030000}"/>
    <cellStyle name="20% - Accent6 5 3 2 3 2" xfId="32164" xr:uid="{7E34D4B9-4808-4FDC-898B-622046F25699}"/>
    <cellStyle name="20% - Accent6 5 3 2 4" xfId="32161" xr:uid="{6203B623-E3F5-4670-92EA-58BEF840351E}"/>
    <cellStyle name="20% - Accent6 5 3 3" xfId="899" xr:uid="{00000000-0005-0000-0000-000083030000}"/>
    <cellStyle name="20% - Accent6 5 3 3 2" xfId="900" xr:uid="{00000000-0005-0000-0000-000084030000}"/>
    <cellStyle name="20% - Accent6 5 3 3 2 2" xfId="32166" xr:uid="{58640B34-8D67-47B4-873D-18E33DE69860}"/>
    <cellStyle name="20% - Accent6 5 3 3 3" xfId="32165" xr:uid="{4CE35638-5035-4D29-8D11-E4147FC4880E}"/>
    <cellStyle name="20% - Accent6 5 3 4" xfId="901" xr:uid="{00000000-0005-0000-0000-000085030000}"/>
    <cellStyle name="20% - Accent6 5 3 4 2" xfId="32167" xr:uid="{19EF975B-A381-4A09-9706-4640120BBF04}"/>
    <cellStyle name="20% - Accent6 5 3 5" xfId="32160" xr:uid="{7D6A22A1-C1E0-472A-86F8-A8DF85163A64}"/>
    <cellStyle name="20% - Accent6 5 4" xfId="902" xr:uid="{00000000-0005-0000-0000-000086030000}"/>
    <cellStyle name="20% - Accent6 5 4 2" xfId="903" xr:uid="{00000000-0005-0000-0000-000087030000}"/>
    <cellStyle name="20% - Accent6 5 4 2 2" xfId="32169" xr:uid="{E11854DA-2E12-4DDC-B567-1D617B4755FE}"/>
    <cellStyle name="20% - Accent6 5 4 3" xfId="32168" xr:uid="{AE57A241-07AA-4159-B392-A51DFEEAA614}"/>
    <cellStyle name="20% - Accent6 5 5" xfId="904" xr:uid="{00000000-0005-0000-0000-000088030000}"/>
    <cellStyle name="20% - Accent6 5 5 2" xfId="32170" xr:uid="{4F697BA9-7381-4372-ACE5-64DDC0F60276}"/>
    <cellStyle name="20% - Accent6 5 6" xfId="32155" xr:uid="{CAC516A5-F893-4634-918C-DABA2A2C0B59}"/>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2 2 2" xfId="32174" xr:uid="{99D4B3F4-6141-419A-9ABB-F9FF451CA99B}"/>
    <cellStyle name="20% - Accent6 6 2 2 3" xfId="32173" xr:uid="{C60E7838-25FB-48CE-B2D3-58317703EEAC}"/>
    <cellStyle name="20% - Accent6 6 2 3" xfId="909" xr:uid="{00000000-0005-0000-0000-00008D030000}"/>
    <cellStyle name="20% - Accent6 6 2 3 2" xfId="32175" xr:uid="{AE824F22-7B6F-4109-8FD0-60F6BB0F52F7}"/>
    <cellStyle name="20% - Accent6 6 2 4" xfId="32172" xr:uid="{514EDA5F-2C12-4D9A-AA3A-272CE1A0B8E5}"/>
    <cellStyle name="20% - Accent6 6 3" xfId="910" xr:uid="{00000000-0005-0000-0000-00008E030000}"/>
    <cellStyle name="20% - Accent6 6 3 2" xfId="911" xr:uid="{00000000-0005-0000-0000-00008F030000}"/>
    <cellStyle name="20% - Accent6 6 3 2 2" xfId="32177" xr:uid="{72094AF2-9B09-43A3-B80B-31F1E26CF255}"/>
    <cellStyle name="20% - Accent6 6 3 3" xfId="32176" xr:uid="{5A72CA96-55CE-4DC0-9D0D-91BA27C1FCF1}"/>
    <cellStyle name="20% - Accent6 6 4" xfId="912" xr:uid="{00000000-0005-0000-0000-000090030000}"/>
    <cellStyle name="20% - Accent6 6 4 2" xfId="32178" xr:uid="{B62E77B3-DA3C-4D13-9CB2-D36D52FCBE7A}"/>
    <cellStyle name="20% - Accent6 6 5" xfId="32171" xr:uid="{D748DD61-B835-415D-A10A-9EA4953E67AF}"/>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0 2 2" xfId="32181" xr:uid="{8C94F3B1-C07C-4E81-BBA8-F0E326C498D9}"/>
    <cellStyle name="40% - Accent1 2 10 3" xfId="32180" xr:uid="{1AD0C581-190E-4166-AFBF-900DB6D00B00}"/>
    <cellStyle name="40% - Accent1 2 11" xfId="918" xr:uid="{00000000-0005-0000-0000-000096030000}"/>
    <cellStyle name="40% - Accent1 2 11 2" xfId="32182" xr:uid="{674353CE-78F7-4698-BBCD-9E63F44E8543}"/>
    <cellStyle name="40% - Accent1 2 12" xfId="32179" xr:uid="{AB89ED6E-3362-495D-9F71-B1B30BB23B53}"/>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2 2 2" xfId="32186" xr:uid="{D568DF8E-B5B3-4797-81F9-07C1A4A6B0A2}"/>
    <cellStyle name="40% - Accent1 2 2 3 2 3" xfId="32185" xr:uid="{F5E41016-0206-47E5-AA54-C0C874D7B1AF}"/>
    <cellStyle name="40% - Accent1 2 2 3 3" xfId="931" xr:uid="{00000000-0005-0000-0000-0000A3030000}"/>
    <cellStyle name="40% - Accent1 2 2 3 3 2" xfId="32187" xr:uid="{63D957A8-93D9-4144-9F89-E322EE19D830}"/>
    <cellStyle name="40% - Accent1 2 2 3 4" xfId="32184" xr:uid="{3FC9DCE7-1349-4CF9-8F59-A3BBABA18FC5}"/>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2 2 2" xfId="32191" xr:uid="{8816F647-234B-4DCF-B001-A2C2A4B11A9C}"/>
    <cellStyle name="40% - Accent1 2 2 4 2 2 3" xfId="32190" xr:uid="{CC3CC186-E72A-4158-A4A7-07020144ED7D}"/>
    <cellStyle name="40% - Accent1 2 2 4 2 3" xfId="936" xr:uid="{00000000-0005-0000-0000-0000A8030000}"/>
    <cellStyle name="40% - Accent1 2 2 4 2 3 2" xfId="32192" xr:uid="{10E2A29B-4DA4-46E9-AD6C-9DA926768A06}"/>
    <cellStyle name="40% - Accent1 2 2 4 2 4" xfId="32189" xr:uid="{71E1AF83-B026-4462-A018-8B049A748639}"/>
    <cellStyle name="40% - Accent1 2 2 4 3" xfId="937" xr:uid="{00000000-0005-0000-0000-0000A9030000}"/>
    <cellStyle name="40% - Accent1 2 2 4 3 2" xfId="938" xr:uid="{00000000-0005-0000-0000-0000AA030000}"/>
    <cellStyle name="40% - Accent1 2 2 4 3 2 2" xfId="32194" xr:uid="{D436D0FD-D0DE-49E9-8FC8-CBFC52EA846C}"/>
    <cellStyle name="40% - Accent1 2 2 4 3 3" xfId="32193" xr:uid="{38E3F1EF-C5A7-48BE-8990-1B4642A55D6C}"/>
    <cellStyle name="40% - Accent1 2 2 4 4" xfId="939" xr:uid="{00000000-0005-0000-0000-0000AB030000}"/>
    <cellStyle name="40% - Accent1 2 2 4 4 2" xfId="32195" xr:uid="{E8423605-94C9-43E2-BC83-87274AE3A36B}"/>
    <cellStyle name="40% - Accent1 2 2 4 5" xfId="32188" xr:uid="{9CC9AAF3-3CAC-4360-9E19-DFC7642FA737}"/>
    <cellStyle name="40% - Accent1 2 2 5" xfId="940" xr:uid="{00000000-0005-0000-0000-0000AC030000}"/>
    <cellStyle name="40% - Accent1 2 2 5 2" xfId="941" xr:uid="{00000000-0005-0000-0000-0000AD030000}"/>
    <cellStyle name="40% - Accent1 2 2 5 2 2" xfId="32197" xr:uid="{E4F46DC1-2E17-474B-9E5E-8B125938EE5B}"/>
    <cellStyle name="40% - Accent1 2 2 5 3" xfId="32196" xr:uid="{34C511BC-9355-4770-A7F8-DADFAE5211EE}"/>
    <cellStyle name="40% - Accent1 2 2 6" xfId="942" xr:uid="{00000000-0005-0000-0000-0000AE030000}"/>
    <cellStyle name="40% - Accent1 2 2 6 2" xfId="32198" xr:uid="{6EFFE228-649D-4644-8F18-9C3A7639B2A3}"/>
    <cellStyle name="40% - Accent1 2 2 7" xfId="32183" xr:uid="{CDDD0D64-A644-4B56-AB7D-6904DD3069F8}"/>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2 2 2" xfId="32202" xr:uid="{533C7165-E869-452D-9C47-BB0C2CBAE8F7}"/>
    <cellStyle name="40% - Accent1 2 3 2 2 3" xfId="32201" xr:uid="{AB7E3AAE-9CF3-4231-A979-8F6241B1F7EF}"/>
    <cellStyle name="40% - Accent1 2 3 2 3" xfId="947" xr:uid="{00000000-0005-0000-0000-0000B3030000}"/>
    <cellStyle name="40% - Accent1 2 3 2 3 2" xfId="32203" xr:uid="{0218822B-F272-46EE-90E4-611386904168}"/>
    <cellStyle name="40% - Accent1 2 3 2 4" xfId="32200" xr:uid="{81615449-1DC4-4E61-8DD9-6630742AB045}"/>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2 2 2" xfId="32207" xr:uid="{431FE376-308B-4140-B576-2AFEC7186845}"/>
    <cellStyle name="40% - Accent1 2 3 3 2 2 3" xfId="32206" xr:uid="{82C76498-4213-444A-ABC4-7A7A334E4C76}"/>
    <cellStyle name="40% - Accent1 2 3 3 2 3" xfId="952" xr:uid="{00000000-0005-0000-0000-0000B8030000}"/>
    <cellStyle name="40% - Accent1 2 3 3 2 3 2" xfId="32208" xr:uid="{A58841F7-723F-49E7-9E01-268B6761119F}"/>
    <cellStyle name="40% - Accent1 2 3 3 2 4" xfId="32205" xr:uid="{A3A871ED-8224-4E1D-8785-6A441FDEA7EC}"/>
    <cellStyle name="40% - Accent1 2 3 3 3" xfId="953" xr:uid="{00000000-0005-0000-0000-0000B9030000}"/>
    <cellStyle name="40% - Accent1 2 3 3 3 2" xfId="954" xr:uid="{00000000-0005-0000-0000-0000BA030000}"/>
    <cellStyle name="40% - Accent1 2 3 3 3 2 2" xfId="32210" xr:uid="{596E433F-3B28-400A-BE29-32A7BE9237D9}"/>
    <cellStyle name="40% - Accent1 2 3 3 3 3" xfId="32209" xr:uid="{F1C15E59-3615-4689-9DF6-547C4CE564B7}"/>
    <cellStyle name="40% - Accent1 2 3 3 4" xfId="955" xr:uid="{00000000-0005-0000-0000-0000BB030000}"/>
    <cellStyle name="40% - Accent1 2 3 3 4 2" xfId="32211" xr:uid="{C1458EE8-B7FC-4A72-8937-B0E33097FA31}"/>
    <cellStyle name="40% - Accent1 2 3 3 5" xfId="32204" xr:uid="{00EAC0B4-CD9A-481A-B7FD-B4D453C6D814}"/>
    <cellStyle name="40% - Accent1 2 3 4" xfId="956" xr:uid="{00000000-0005-0000-0000-0000BC030000}"/>
    <cellStyle name="40% - Accent1 2 3 4 2" xfId="957" xr:uid="{00000000-0005-0000-0000-0000BD030000}"/>
    <cellStyle name="40% - Accent1 2 3 4 2 2" xfId="32213" xr:uid="{D868FE08-C235-4889-9BCC-530439DDC289}"/>
    <cellStyle name="40% - Accent1 2 3 4 3" xfId="32212" xr:uid="{EFDC743E-70D3-412E-B599-FBF32BDC6E20}"/>
    <cellStyle name="40% - Accent1 2 3 5" xfId="958" xr:uid="{00000000-0005-0000-0000-0000BE030000}"/>
    <cellStyle name="40% - Accent1 2 3 5 2" xfId="32214" xr:uid="{49FCCDFC-A1E6-4EF8-8643-4F6573674283}"/>
    <cellStyle name="40% - Accent1 2 3 6" xfId="32199" xr:uid="{59CD69E5-6820-433A-A147-DB07DFCB7B3B}"/>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2 2 2" xfId="32218" xr:uid="{BACBA121-53BB-46CA-BE74-D5A7A5D2D0A6}"/>
    <cellStyle name="40% - Accent1 2 4 2 2 3" xfId="32217" xr:uid="{F430F0C3-8C7E-4EA8-96FD-CFF78A8CA68F}"/>
    <cellStyle name="40% - Accent1 2 4 2 3" xfId="963" xr:uid="{00000000-0005-0000-0000-0000C3030000}"/>
    <cellStyle name="40% - Accent1 2 4 2 3 2" xfId="32219" xr:uid="{7383F0CC-03F9-4DC1-ADFB-F695389B68D9}"/>
    <cellStyle name="40% - Accent1 2 4 2 4" xfId="32216" xr:uid="{F0B12852-0C05-4075-9AA1-3783B6C9E6CB}"/>
    <cellStyle name="40% - Accent1 2 4 3" xfId="964" xr:uid="{00000000-0005-0000-0000-0000C4030000}"/>
    <cellStyle name="40% - Accent1 2 4 3 2" xfId="965" xr:uid="{00000000-0005-0000-0000-0000C5030000}"/>
    <cellStyle name="40% - Accent1 2 4 3 2 2" xfId="32221" xr:uid="{76F0DE20-168D-4C52-B4F9-5FBD416D19A9}"/>
    <cellStyle name="40% - Accent1 2 4 3 3" xfId="32220" xr:uid="{3D79B6EC-ABE1-44D5-9580-8520976BF43E}"/>
    <cellStyle name="40% - Accent1 2 4 4" xfId="966" xr:uid="{00000000-0005-0000-0000-0000C6030000}"/>
    <cellStyle name="40% - Accent1 2 4 4 2" xfId="32222" xr:uid="{E9A9BED2-AC13-4ABD-8208-F2777F934587}"/>
    <cellStyle name="40% - Accent1 2 4 5" xfId="32215" xr:uid="{F012F03D-7811-44A5-87C9-DA164A48C3E3}"/>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2 2 2" xfId="32226" xr:uid="{99A17C4E-D853-48DA-AFB4-D2F10C5C9A11}"/>
    <cellStyle name="40% - Accent1 2 5 2 2 3" xfId="32225" xr:uid="{2AA98FEA-4993-463C-A318-C30D54CA579A}"/>
    <cellStyle name="40% - Accent1 2 5 2 3" xfId="971" xr:uid="{00000000-0005-0000-0000-0000CB030000}"/>
    <cellStyle name="40% - Accent1 2 5 2 3 2" xfId="32227" xr:uid="{92C11D67-C5B7-4D3A-95E2-4B5CF1B2682B}"/>
    <cellStyle name="40% - Accent1 2 5 2 4" xfId="32224" xr:uid="{29E160A9-F55A-4817-A5DB-37A570F2C231}"/>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2 2 2" xfId="32231" xr:uid="{D2CED431-EF48-4072-B13D-9B755BD3BA12}"/>
    <cellStyle name="40% - Accent1 2 5 3 2 2 3" xfId="32230" xr:uid="{B6869F70-605E-4F71-9660-48B13CBBC0B5}"/>
    <cellStyle name="40% - Accent1 2 5 3 2 3" xfId="976" xr:uid="{00000000-0005-0000-0000-0000D0030000}"/>
    <cellStyle name="40% - Accent1 2 5 3 2 3 2" xfId="32232" xr:uid="{4B2EDCC4-3E58-4267-A729-08D7529D73D0}"/>
    <cellStyle name="40% - Accent1 2 5 3 2 4" xfId="32229" xr:uid="{C18B59AA-C68D-4907-A193-F2BB20A9A356}"/>
    <cellStyle name="40% - Accent1 2 5 3 3" xfId="977" xr:uid="{00000000-0005-0000-0000-0000D1030000}"/>
    <cellStyle name="40% - Accent1 2 5 3 3 2" xfId="978" xr:uid="{00000000-0005-0000-0000-0000D2030000}"/>
    <cellStyle name="40% - Accent1 2 5 3 3 2 2" xfId="32234" xr:uid="{7146C135-31FA-4E2D-9C84-504460B5D7D7}"/>
    <cellStyle name="40% - Accent1 2 5 3 3 3" xfId="32233" xr:uid="{F0C1A4D1-CE55-4A29-AAFC-7954526D6198}"/>
    <cellStyle name="40% - Accent1 2 5 3 4" xfId="979" xr:uid="{00000000-0005-0000-0000-0000D3030000}"/>
    <cellStyle name="40% - Accent1 2 5 3 4 2" xfId="32235" xr:uid="{7BF1202E-E223-45F1-989E-A212975E3A6C}"/>
    <cellStyle name="40% - Accent1 2 5 3 5" xfId="32228" xr:uid="{784D3C2F-DB61-4B89-B0DF-860932DD57B1}"/>
    <cellStyle name="40% - Accent1 2 5 4" xfId="980" xr:uid="{00000000-0005-0000-0000-0000D4030000}"/>
    <cellStyle name="40% - Accent1 2 5 4 2" xfId="981" xr:uid="{00000000-0005-0000-0000-0000D5030000}"/>
    <cellStyle name="40% - Accent1 2 5 4 2 2" xfId="32237" xr:uid="{13EF9E79-EF34-41C4-BB88-F1843BC625FE}"/>
    <cellStyle name="40% - Accent1 2 5 4 3" xfId="32236" xr:uid="{68D36F52-9816-47BF-8024-685CA812D058}"/>
    <cellStyle name="40% - Accent1 2 5 5" xfId="982" xr:uid="{00000000-0005-0000-0000-0000D6030000}"/>
    <cellStyle name="40% - Accent1 2 5 5 2" xfId="32238" xr:uid="{B1196F9D-BA68-41F7-8DD1-044853670D2F}"/>
    <cellStyle name="40% - Accent1 2 5 6" xfId="32223" xr:uid="{908819BB-EDF6-430A-B7BA-4CD241102E8B}"/>
    <cellStyle name="40% - Accent1 2 6" xfId="983" xr:uid="{00000000-0005-0000-0000-0000D7030000}"/>
    <cellStyle name="40% - Accent1 2 6 2" xfId="984" xr:uid="{00000000-0005-0000-0000-0000D8030000}"/>
    <cellStyle name="40% - Accent1 2 6 2 2" xfId="985" xr:uid="{00000000-0005-0000-0000-0000D9030000}"/>
    <cellStyle name="40% - Accent1 2 6 2 2 2" xfId="32241" xr:uid="{EFBFDDA6-52D6-4D31-81B2-B6006957F07D}"/>
    <cellStyle name="40% - Accent1 2 6 2 3" xfId="32240" xr:uid="{FC9DC566-906C-4AAA-A4D2-436BE4CD4224}"/>
    <cellStyle name="40% - Accent1 2 6 3" xfId="986" xr:uid="{00000000-0005-0000-0000-0000DA030000}"/>
    <cellStyle name="40% - Accent1 2 6 3 2" xfId="32242" xr:uid="{55D099A9-151C-4604-8513-F0C72E337548}"/>
    <cellStyle name="40% - Accent1 2 6 4" xfId="32239" xr:uid="{CF80A5E2-D5D7-49B9-AEFE-04FBF4CAD4BC}"/>
    <cellStyle name="40% - Accent1 2 7" xfId="987" xr:uid="{00000000-0005-0000-0000-0000DB030000}"/>
    <cellStyle name="40% - Accent1 2 7 2" xfId="988" xr:uid="{00000000-0005-0000-0000-0000DC030000}"/>
    <cellStyle name="40% - Accent1 2 7 2 2" xfId="989" xr:uid="{00000000-0005-0000-0000-0000DD030000}"/>
    <cellStyle name="40% - Accent1 2 7 2 2 2" xfId="32245" xr:uid="{98BC752A-32DE-4078-9116-2BF6FF675DD6}"/>
    <cellStyle name="40% - Accent1 2 7 2 3" xfId="32244" xr:uid="{34833585-9314-4BA4-9483-6335CB178B54}"/>
    <cellStyle name="40% - Accent1 2 7 3" xfId="990" xr:uid="{00000000-0005-0000-0000-0000DE030000}"/>
    <cellStyle name="40% - Accent1 2 7 3 2" xfId="32246" xr:uid="{28D53937-3496-425F-9C20-053B616BC3BD}"/>
    <cellStyle name="40% - Accent1 2 7 4" xfId="32243" xr:uid="{711B277C-88C3-419F-9A3C-55FF27A4C0CC}"/>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2 2 2" xfId="32250" xr:uid="{00F2A5ED-17AA-4E6C-9A01-AA3A26D8F2ED}"/>
    <cellStyle name="40% - Accent1 2 8 2 2 3" xfId="32249" xr:uid="{8DC9B5E6-DFF5-499D-A286-255B019CF27D}"/>
    <cellStyle name="40% - Accent1 2 8 2 3" xfId="995" xr:uid="{00000000-0005-0000-0000-0000E3030000}"/>
    <cellStyle name="40% - Accent1 2 8 2 3 2" xfId="32251" xr:uid="{3589A265-4D84-46C0-98A5-EB9D12373BE7}"/>
    <cellStyle name="40% - Accent1 2 8 2 4" xfId="32248" xr:uid="{26D4CA50-1869-4DEE-B92E-FE87AF3786E7}"/>
    <cellStyle name="40% - Accent1 2 8 3" xfId="996" xr:uid="{00000000-0005-0000-0000-0000E4030000}"/>
    <cellStyle name="40% - Accent1 2 8 3 2" xfId="997" xr:uid="{00000000-0005-0000-0000-0000E5030000}"/>
    <cellStyle name="40% - Accent1 2 8 3 2 2" xfId="32253" xr:uid="{C2808FE0-8C74-44E1-9F17-2AA7B11AAEC9}"/>
    <cellStyle name="40% - Accent1 2 8 3 3" xfId="32252" xr:uid="{5BD56FBA-D7E8-4D9C-AC5F-E37581B779C8}"/>
    <cellStyle name="40% - Accent1 2 8 4" xfId="998" xr:uid="{00000000-0005-0000-0000-0000E6030000}"/>
    <cellStyle name="40% - Accent1 2 8 4 2" xfId="32254" xr:uid="{4A02C616-3EF4-4DF7-B37B-DB40BCC547D4}"/>
    <cellStyle name="40% - Accent1 2 8 5" xfId="32247" xr:uid="{2B48AA1B-1FF9-4771-A791-0864B7F6EF41}"/>
    <cellStyle name="40% - Accent1 2 9" xfId="999" xr:uid="{00000000-0005-0000-0000-0000E7030000}"/>
    <cellStyle name="40% - Accent1 2 9 2" xfId="1000" xr:uid="{00000000-0005-0000-0000-0000E8030000}"/>
    <cellStyle name="40% - Accent1 2 9 2 2" xfId="32256" xr:uid="{6B406D59-C753-433D-B923-79E36B27BCB6}"/>
    <cellStyle name="40% - Accent1 2 9 3" xfId="32255" xr:uid="{FF4E5491-8F62-4B8C-B9FA-1763FBE75595}"/>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2 2 2" xfId="32260" xr:uid="{9B2DFE4D-7D5B-479C-9141-9D07C9ADE540}"/>
    <cellStyle name="40% - Accent1 3 2 2 3" xfId="32259" xr:uid="{0A9DA7E3-4583-4B43-8A1B-E810DF28F9AB}"/>
    <cellStyle name="40% - Accent1 3 2 3" xfId="1005" xr:uid="{00000000-0005-0000-0000-0000ED030000}"/>
    <cellStyle name="40% - Accent1 3 2 3 2" xfId="32261" xr:uid="{371CDFEA-6193-431D-A79C-6B3851691556}"/>
    <cellStyle name="40% - Accent1 3 2 4" xfId="32258" xr:uid="{4BDE8A38-FA6A-46EB-BCDF-DEACEC1BDC66}"/>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3 6" xfId="32257" xr:uid="{0EB96B75-8F11-4CD4-91EB-FF60FE9A5154}"/>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4 5" xfId="32262" xr:uid="{3DE5AB40-9AC2-430B-8874-F448F512BB3A}"/>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2 2 2" xfId="32266" xr:uid="{4C1682A0-64DB-4F3A-9ECE-7B603A6365A5}"/>
    <cellStyle name="40% - Accent1 5 2 2 3" xfId="32265" xr:uid="{36C5568D-D17F-49B6-80BC-BC9648B32708}"/>
    <cellStyle name="40% - Accent1 5 2 3" xfId="1025" xr:uid="{00000000-0005-0000-0000-000001040000}"/>
    <cellStyle name="40% - Accent1 5 2 3 2" xfId="32267" xr:uid="{FFA52C2E-1037-4238-886E-BDD9F3352898}"/>
    <cellStyle name="40% - Accent1 5 2 4" xfId="32264" xr:uid="{BC5336EF-FBE6-4514-A23A-0852F09AF2D5}"/>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2 2 2" xfId="32271" xr:uid="{49C187C3-3E65-497A-B9F9-24A532C6C628}"/>
    <cellStyle name="40% - Accent1 5 3 2 2 3" xfId="32270" xr:uid="{3BC03810-32FE-46A0-B7CF-7AE07EC1A5C4}"/>
    <cellStyle name="40% - Accent1 5 3 2 3" xfId="1030" xr:uid="{00000000-0005-0000-0000-000006040000}"/>
    <cellStyle name="40% - Accent1 5 3 2 3 2" xfId="32272" xr:uid="{0ADD282E-710D-47DB-8D81-23AA07D8F145}"/>
    <cellStyle name="40% - Accent1 5 3 2 4" xfId="32269" xr:uid="{2FAF379D-8262-4257-A0CC-30DA40B7C2C1}"/>
    <cellStyle name="40% - Accent1 5 3 3" xfId="1031" xr:uid="{00000000-0005-0000-0000-000007040000}"/>
    <cellStyle name="40% - Accent1 5 3 3 2" xfId="1032" xr:uid="{00000000-0005-0000-0000-000008040000}"/>
    <cellStyle name="40% - Accent1 5 3 3 2 2" xfId="32274" xr:uid="{54E27F16-CFDF-4F57-A4C6-1A53368BE4F9}"/>
    <cellStyle name="40% - Accent1 5 3 3 3" xfId="32273" xr:uid="{B2AF7CA7-7F6C-428A-8E59-8A4BA60FD864}"/>
    <cellStyle name="40% - Accent1 5 3 4" xfId="1033" xr:uid="{00000000-0005-0000-0000-000009040000}"/>
    <cellStyle name="40% - Accent1 5 3 4 2" xfId="32275" xr:uid="{AA925E85-ED34-4AE7-89B9-8F06F7452E47}"/>
    <cellStyle name="40% - Accent1 5 3 5" xfId="32268" xr:uid="{4359AA44-4954-4565-886A-6BFAD8D7181F}"/>
    <cellStyle name="40% - Accent1 5 4" xfId="1034" xr:uid="{00000000-0005-0000-0000-00000A040000}"/>
    <cellStyle name="40% - Accent1 5 4 2" xfId="1035" xr:uid="{00000000-0005-0000-0000-00000B040000}"/>
    <cellStyle name="40% - Accent1 5 4 2 2" xfId="32277" xr:uid="{33973581-432A-45B1-B801-A0A01041F742}"/>
    <cellStyle name="40% - Accent1 5 4 3" xfId="32276" xr:uid="{8D5ED892-4458-4CA3-A714-C1883369F4D7}"/>
    <cellStyle name="40% - Accent1 5 5" xfId="1036" xr:uid="{00000000-0005-0000-0000-00000C040000}"/>
    <cellStyle name="40% - Accent1 5 5 2" xfId="32278" xr:uid="{1B4DD7B5-0183-4748-A3C4-9EFC3E6A6E5A}"/>
    <cellStyle name="40% - Accent1 5 6" xfId="32263" xr:uid="{7C9A5FC4-9CF5-434A-96BA-210794B2A6DF}"/>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2 2 2" xfId="32282" xr:uid="{86855286-D056-471E-977F-47DA854372C4}"/>
    <cellStyle name="40% - Accent1 6 2 2 3" xfId="32281" xr:uid="{51389148-45CB-4361-9733-BB2DB86AC8FF}"/>
    <cellStyle name="40% - Accent1 6 2 3" xfId="1041" xr:uid="{00000000-0005-0000-0000-000011040000}"/>
    <cellStyle name="40% - Accent1 6 2 3 2" xfId="32283" xr:uid="{78D3A309-52F5-4F07-9715-9DCC6847B875}"/>
    <cellStyle name="40% - Accent1 6 2 4" xfId="32280" xr:uid="{00D27063-9CAD-4E83-AC9C-62FB081E4E46}"/>
    <cellStyle name="40% - Accent1 6 3" xfId="1042" xr:uid="{00000000-0005-0000-0000-000012040000}"/>
    <cellStyle name="40% - Accent1 6 3 2" xfId="1043" xr:uid="{00000000-0005-0000-0000-000013040000}"/>
    <cellStyle name="40% - Accent1 6 3 2 2" xfId="32285" xr:uid="{966589E7-87DE-4BD3-A8CB-8A9D0F5F16BB}"/>
    <cellStyle name="40% - Accent1 6 3 3" xfId="32284" xr:uid="{39683D74-F54C-4C6B-B50A-813683EB403A}"/>
    <cellStyle name="40% - Accent1 6 4" xfId="1044" xr:uid="{00000000-0005-0000-0000-000014040000}"/>
    <cellStyle name="40% - Accent1 6 4 2" xfId="32286" xr:uid="{446FD43B-CDA3-4194-B71A-0D52E6EA8FAC}"/>
    <cellStyle name="40% - Accent1 6 5" xfId="32279" xr:uid="{CEB9AD55-6043-4394-A8FE-476BE8E96F23}"/>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0 2 2" xfId="32289" xr:uid="{8A2800E3-CAC6-480A-A245-FE0847BB5D60}"/>
    <cellStyle name="40% - Accent3 2 10 3" xfId="32288" xr:uid="{9DB9856C-7B03-473C-B2FF-43038C38370E}"/>
    <cellStyle name="40% - Accent3 2 11" xfId="1182" xr:uid="{00000000-0005-0000-0000-00009E040000}"/>
    <cellStyle name="40% - Accent3 2 11 2" xfId="32290" xr:uid="{43C8EB04-6603-4B7F-A8F8-A292D4773E3E}"/>
    <cellStyle name="40% - Accent3 2 12" xfId="32287" xr:uid="{76397F91-EF83-4928-9920-27EC3C007814}"/>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2 2 2" xfId="32294" xr:uid="{DCA7D15B-74CC-4E92-94B6-BF2857D82C50}"/>
    <cellStyle name="40% - Accent3 2 2 3 2 3" xfId="32293" xr:uid="{672429D0-5EA9-4442-A0DF-C794A27395C6}"/>
    <cellStyle name="40% - Accent3 2 2 3 3" xfId="1195" xr:uid="{00000000-0005-0000-0000-0000AB040000}"/>
    <cellStyle name="40% - Accent3 2 2 3 3 2" xfId="32295" xr:uid="{BAA75764-0ECB-47A5-A8B0-F4ECFD184E98}"/>
    <cellStyle name="40% - Accent3 2 2 3 4" xfId="32292" xr:uid="{8856916E-AE46-49C9-ADD2-83A6F71A0062}"/>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2 2 2" xfId="32299" xr:uid="{5929A36B-076E-49CA-BC38-511C1B787CF9}"/>
    <cellStyle name="40% - Accent3 2 2 4 2 2 3" xfId="32298" xr:uid="{9F891382-78DC-449F-AC78-A62145BF5DF0}"/>
    <cellStyle name="40% - Accent3 2 2 4 2 3" xfId="1200" xr:uid="{00000000-0005-0000-0000-0000B0040000}"/>
    <cellStyle name="40% - Accent3 2 2 4 2 3 2" xfId="32300" xr:uid="{1162D012-3A42-47AA-A5A8-C77F42827950}"/>
    <cellStyle name="40% - Accent3 2 2 4 2 4" xfId="32297" xr:uid="{10B80814-C6F4-4666-B8B3-CB4E908EF246}"/>
    <cellStyle name="40% - Accent3 2 2 4 3" xfId="1201" xr:uid="{00000000-0005-0000-0000-0000B1040000}"/>
    <cellStyle name="40% - Accent3 2 2 4 3 2" xfId="1202" xr:uid="{00000000-0005-0000-0000-0000B2040000}"/>
    <cellStyle name="40% - Accent3 2 2 4 3 2 2" xfId="32302" xr:uid="{0CFDDD3F-AEC6-4969-9D47-4CE105E0E36E}"/>
    <cellStyle name="40% - Accent3 2 2 4 3 3" xfId="32301" xr:uid="{7A4C28E7-73E3-4D80-9B89-4D7B8AF2BC8C}"/>
    <cellStyle name="40% - Accent3 2 2 4 4" xfId="1203" xr:uid="{00000000-0005-0000-0000-0000B3040000}"/>
    <cellStyle name="40% - Accent3 2 2 4 4 2" xfId="32303" xr:uid="{3FCDB33D-41E9-4C59-8F91-CE099D53E98D}"/>
    <cellStyle name="40% - Accent3 2 2 4 5" xfId="32296" xr:uid="{BC287452-EE85-4F0E-9EF9-6DCF0D8B68D3}"/>
    <cellStyle name="40% - Accent3 2 2 5" xfId="1204" xr:uid="{00000000-0005-0000-0000-0000B4040000}"/>
    <cellStyle name="40% - Accent3 2 2 5 2" xfId="1205" xr:uid="{00000000-0005-0000-0000-0000B5040000}"/>
    <cellStyle name="40% - Accent3 2 2 5 2 2" xfId="32305" xr:uid="{5FA2A20C-0244-4195-B75A-23ED03B0785B}"/>
    <cellStyle name="40% - Accent3 2 2 5 3" xfId="32304" xr:uid="{E9F64DDE-647D-493D-8998-B7AF0F625522}"/>
    <cellStyle name="40% - Accent3 2 2 6" xfId="1206" xr:uid="{00000000-0005-0000-0000-0000B6040000}"/>
    <cellStyle name="40% - Accent3 2 2 6 2" xfId="32306" xr:uid="{ADB3A636-4FBC-4BA8-B51B-FB6A7138CDD7}"/>
    <cellStyle name="40% - Accent3 2 2 7" xfId="32291" xr:uid="{3303E71B-C211-4A92-B3CF-ECCD56D5F484}"/>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2 2 2" xfId="32310" xr:uid="{C00DA261-B0F7-47E5-9A0C-F5DB4F1736BC}"/>
    <cellStyle name="40% - Accent3 2 3 2 2 3" xfId="32309" xr:uid="{73236E69-ADD7-4A67-A6F6-4CFA31069A9C}"/>
    <cellStyle name="40% - Accent3 2 3 2 3" xfId="1211" xr:uid="{00000000-0005-0000-0000-0000BB040000}"/>
    <cellStyle name="40% - Accent3 2 3 2 3 2" xfId="32311" xr:uid="{3A001238-795D-472B-8992-A7317768B062}"/>
    <cellStyle name="40% - Accent3 2 3 2 4" xfId="32308" xr:uid="{CA94BB01-4936-4C20-9114-BDCC20505293}"/>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2 2 2" xfId="32315" xr:uid="{85B8B3DE-F5AF-4F60-865D-A58298C6B845}"/>
    <cellStyle name="40% - Accent3 2 3 3 2 2 3" xfId="32314" xr:uid="{207D17F4-8F6B-4952-AE4C-EFBDA0291704}"/>
    <cellStyle name="40% - Accent3 2 3 3 2 3" xfId="1216" xr:uid="{00000000-0005-0000-0000-0000C0040000}"/>
    <cellStyle name="40% - Accent3 2 3 3 2 3 2" xfId="32316" xr:uid="{5C591F3C-6C81-4781-A8CF-94D1A04386C4}"/>
    <cellStyle name="40% - Accent3 2 3 3 2 4" xfId="32313" xr:uid="{3A34C505-6794-45EE-B8B6-E9F636C1E2A9}"/>
    <cellStyle name="40% - Accent3 2 3 3 3" xfId="1217" xr:uid="{00000000-0005-0000-0000-0000C1040000}"/>
    <cellStyle name="40% - Accent3 2 3 3 3 2" xfId="1218" xr:uid="{00000000-0005-0000-0000-0000C2040000}"/>
    <cellStyle name="40% - Accent3 2 3 3 3 2 2" xfId="32318" xr:uid="{26431FD9-6F04-425A-83F5-74CC9A0B3484}"/>
    <cellStyle name="40% - Accent3 2 3 3 3 3" xfId="32317" xr:uid="{18F7C1BD-1229-4BA3-A493-643FDB19E420}"/>
    <cellStyle name="40% - Accent3 2 3 3 4" xfId="1219" xr:uid="{00000000-0005-0000-0000-0000C3040000}"/>
    <cellStyle name="40% - Accent3 2 3 3 4 2" xfId="32319" xr:uid="{9CAB7F83-38CC-4EA1-B6BF-1F4AD7BBCC1C}"/>
    <cellStyle name="40% - Accent3 2 3 3 5" xfId="32312" xr:uid="{075AA6DE-60E0-4C38-9417-615B2F7B291B}"/>
    <cellStyle name="40% - Accent3 2 3 4" xfId="1220" xr:uid="{00000000-0005-0000-0000-0000C4040000}"/>
    <cellStyle name="40% - Accent3 2 3 4 2" xfId="1221" xr:uid="{00000000-0005-0000-0000-0000C5040000}"/>
    <cellStyle name="40% - Accent3 2 3 4 2 2" xfId="32321" xr:uid="{782E9D1D-801D-47AA-A2EE-000074BA417B}"/>
    <cellStyle name="40% - Accent3 2 3 4 3" xfId="32320" xr:uid="{4246C908-67D2-49A4-97D6-54F533CC3A34}"/>
    <cellStyle name="40% - Accent3 2 3 5" xfId="1222" xr:uid="{00000000-0005-0000-0000-0000C6040000}"/>
    <cellStyle name="40% - Accent3 2 3 5 2" xfId="32322" xr:uid="{0B3CCF33-6532-4B03-A8DF-DEEF0F98F6D7}"/>
    <cellStyle name="40% - Accent3 2 3 6" xfId="32307" xr:uid="{20249356-D737-4CD0-836E-210CF6C53BD9}"/>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2 2 2" xfId="32326" xr:uid="{D6D77244-AEDA-466C-AD5E-6DBA0C119325}"/>
    <cellStyle name="40% - Accent3 2 4 2 2 3" xfId="32325" xr:uid="{01D4F2DC-4594-4E17-8555-C08656234950}"/>
    <cellStyle name="40% - Accent3 2 4 2 3" xfId="1227" xr:uid="{00000000-0005-0000-0000-0000CB040000}"/>
    <cellStyle name="40% - Accent3 2 4 2 3 2" xfId="32327" xr:uid="{DCBC3F41-4A5D-4A48-B6E2-85D79201E3D2}"/>
    <cellStyle name="40% - Accent3 2 4 2 4" xfId="32324" xr:uid="{867394F8-F24E-4D79-9E5A-08E996B046E1}"/>
    <cellStyle name="40% - Accent3 2 4 3" xfId="1228" xr:uid="{00000000-0005-0000-0000-0000CC040000}"/>
    <cellStyle name="40% - Accent3 2 4 3 2" xfId="1229" xr:uid="{00000000-0005-0000-0000-0000CD040000}"/>
    <cellStyle name="40% - Accent3 2 4 3 2 2" xfId="32329" xr:uid="{2CF84E60-910A-471A-A7A9-09941DFD385A}"/>
    <cellStyle name="40% - Accent3 2 4 3 3" xfId="32328" xr:uid="{6933DB2D-70D7-4212-8F6E-D5361D864318}"/>
    <cellStyle name="40% - Accent3 2 4 4" xfId="1230" xr:uid="{00000000-0005-0000-0000-0000CE040000}"/>
    <cellStyle name="40% - Accent3 2 4 4 2" xfId="32330" xr:uid="{367D9678-B261-4DEC-A561-9C16FD16FE92}"/>
    <cellStyle name="40% - Accent3 2 4 5" xfId="32323" xr:uid="{DF5EB408-1820-47B6-BD1B-BACE920FCC46}"/>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2 2 2" xfId="32334" xr:uid="{7711ED9A-834B-4A51-92E5-2E5B6318200B}"/>
    <cellStyle name="40% - Accent3 2 5 2 2 3" xfId="32333" xr:uid="{69E15197-56EF-456F-ABFC-A749703C69EE}"/>
    <cellStyle name="40% - Accent3 2 5 2 3" xfId="1235" xr:uid="{00000000-0005-0000-0000-0000D3040000}"/>
    <cellStyle name="40% - Accent3 2 5 2 3 2" xfId="32335" xr:uid="{C890CACB-2CC7-4BE2-A2B3-151FB7499CAE}"/>
    <cellStyle name="40% - Accent3 2 5 2 4" xfId="32332" xr:uid="{1F997DF3-4DD1-47D4-BA2F-B1F124634302}"/>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2 2 2" xfId="32339" xr:uid="{57AB513A-EFDF-4A62-B0FD-66D702C0D5D0}"/>
    <cellStyle name="40% - Accent3 2 5 3 2 2 3" xfId="32338" xr:uid="{068BC24C-15AB-4BB9-82BF-BB012CE357AF}"/>
    <cellStyle name="40% - Accent3 2 5 3 2 3" xfId="1240" xr:uid="{00000000-0005-0000-0000-0000D8040000}"/>
    <cellStyle name="40% - Accent3 2 5 3 2 3 2" xfId="32340" xr:uid="{F4534975-1849-4CA7-B0A7-EADB67157AE7}"/>
    <cellStyle name="40% - Accent3 2 5 3 2 4" xfId="32337" xr:uid="{63E424F1-BF04-493E-805B-1E9B3EEABB81}"/>
    <cellStyle name="40% - Accent3 2 5 3 3" xfId="1241" xr:uid="{00000000-0005-0000-0000-0000D9040000}"/>
    <cellStyle name="40% - Accent3 2 5 3 3 2" xfId="1242" xr:uid="{00000000-0005-0000-0000-0000DA040000}"/>
    <cellStyle name="40% - Accent3 2 5 3 3 2 2" xfId="32342" xr:uid="{F4F3F99E-024F-4B86-B625-1C2EE8095476}"/>
    <cellStyle name="40% - Accent3 2 5 3 3 3" xfId="32341" xr:uid="{1DB19638-212A-4CB1-A662-F79F89323D12}"/>
    <cellStyle name="40% - Accent3 2 5 3 4" xfId="1243" xr:uid="{00000000-0005-0000-0000-0000DB040000}"/>
    <cellStyle name="40% - Accent3 2 5 3 4 2" xfId="32343" xr:uid="{F42D13AD-F41F-43E6-9944-350CAA7C87A9}"/>
    <cellStyle name="40% - Accent3 2 5 3 5" xfId="32336" xr:uid="{B1AC425C-2ACB-4806-861C-9E2A73EDD742}"/>
    <cellStyle name="40% - Accent3 2 5 4" xfId="1244" xr:uid="{00000000-0005-0000-0000-0000DC040000}"/>
    <cellStyle name="40% - Accent3 2 5 4 2" xfId="1245" xr:uid="{00000000-0005-0000-0000-0000DD040000}"/>
    <cellStyle name="40% - Accent3 2 5 4 2 2" xfId="32345" xr:uid="{6FA1A4E1-EA75-4948-86EE-A26F9AD3FE53}"/>
    <cellStyle name="40% - Accent3 2 5 4 3" xfId="32344" xr:uid="{A098FA41-FEBD-45DC-927C-C6212FDE23E5}"/>
    <cellStyle name="40% - Accent3 2 5 5" xfId="1246" xr:uid="{00000000-0005-0000-0000-0000DE040000}"/>
    <cellStyle name="40% - Accent3 2 5 5 2" xfId="32346" xr:uid="{E614102D-54C8-421A-B0C1-0CA16F934F6B}"/>
    <cellStyle name="40% - Accent3 2 5 6" xfId="32331" xr:uid="{DF628D94-03D0-4299-A71C-313C01981495}"/>
    <cellStyle name="40% - Accent3 2 6" xfId="1247" xr:uid="{00000000-0005-0000-0000-0000DF040000}"/>
    <cellStyle name="40% - Accent3 2 6 2" xfId="1248" xr:uid="{00000000-0005-0000-0000-0000E0040000}"/>
    <cellStyle name="40% - Accent3 2 6 2 2" xfId="1249" xr:uid="{00000000-0005-0000-0000-0000E1040000}"/>
    <cellStyle name="40% - Accent3 2 6 2 2 2" xfId="32349" xr:uid="{AC43675C-F002-4F55-8232-323C3C7714EB}"/>
    <cellStyle name="40% - Accent3 2 6 2 3" xfId="32348" xr:uid="{D2868161-BD47-45AD-B144-3CE0E677FA66}"/>
    <cellStyle name="40% - Accent3 2 6 3" xfId="1250" xr:uid="{00000000-0005-0000-0000-0000E2040000}"/>
    <cellStyle name="40% - Accent3 2 6 3 2" xfId="32350" xr:uid="{C6E48D57-3876-4A7B-B2AF-5E6A7CD44F74}"/>
    <cellStyle name="40% - Accent3 2 6 4" xfId="32347" xr:uid="{207DA408-E84F-4956-B0EB-9D0671E3F4D5}"/>
    <cellStyle name="40% - Accent3 2 7" xfId="1251" xr:uid="{00000000-0005-0000-0000-0000E3040000}"/>
    <cellStyle name="40% - Accent3 2 7 2" xfId="1252" xr:uid="{00000000-0005-0000-0000-0000E4040000}"/>
    <cellStyle name="40% - Accent3 2 7 2 2" xfId="1253" xr:uid="{00000000-0005-0000-0000-0000E5040000}"/>
    <cellStyle name="40% - Accent3 2 7 2 2 2" xfId="32353" xr:uid="{91AD6928-0198-4C97-8510-D1A5D0F7E230}"/>
    <cellStyle name="40% - Accent3 2 7 2 3" xfId="32352" xr:uid="{B0ACC257-4692-41FD-BB8D-B5E211DBABA9}"/>
    <cellStyle name="40% - Accent3 2 7 3" xfId="1254" xr:uid="{00000000-0005-0000-0000-0000E6040000}"/>
    <cellStyle name="40% - Accent3 2 7 3 2" xfId="32354" xr:uid="{297A4C45-3860-4A85-8981-D142CC9039A6}"/>
    <cellStyle name="40% - Accent3 2 7 4" xfId="32351" xr:uid="{5977C5AE-4E07-4869-9DDC-584A029F42ED}"/>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2 2 2" xfId="32358" xr:uid="{BE232C81-80FF-42BC-AD22-3474F0A9F016}"/>
    <cellStyle name="40% - Accent3 2 8 2 2 3" xfId="32357" xr:uid="{3D978C49-0CD3-4A2C-A5F0-4EF42F7D79F0}"/>
    <cellStyle name="40% - Accent3 2 8 2 3" xfId="1259" xr:uid="{00000000-0005-0000-0000-0000EB040000}"/>
    <cellStyle name="40% - Accent3 2 8 2 3 2" xfId="32359" xr:uid="{16257DA9-B5CB-486D-A869-3A292E22C0F0}"/>
    <cellStyle name="40% - Accent3 2 8 2 4" xfId="32356" xr:uid="{B5F8B02D-0353-4133-B2FE-08F08929DDC1}"/>
    <cellStyle name="40% - Accent3 2 8 3" xfId="1260" xr:uid="{00000000-0005-0000-0000-0000EC040000}"/>
    <cellStyle name="40% - Accent3 2 8 3 2" xfId="1261" xr:uid="{00000000-0005-0000-0000-0000ED040000}"/>
    <cellStyle name="40% - Accent3 2 8 3 2 2" xfId="32361" xr:uid="{C40B855D-E4A4-419C-AB5C-9667B80CDD73}"/>
    <cellStyle name="40% - Accent3 2 8 3 3" xfId="32360" xr:uid="{E4026827-3882-45C2-9EDC-2C63D4C4803B}"/>
    <cellStyle name="40% - Accent3 2 8 4" xfId="1262" xr:uid="{00000000-0005-0000-0000-0000EE040000}"/>
    <cellStyle name="40% - Accent3 2 8 4 2" xfId="32362" xr:uid="{0811D50D-77A1-4940-BB9A-C7EFD3539C2C}"/>
    <cellStyle name="40% - Accent3 2 8 5" xfId="32355" xr:uid="{98322BF9-DCE6-4355-B26D-0FC6B1637833}"/>
    <cellStyle name="40% - Accent3 2 9" xfId="1263" xr:uid="{00000000-0005-0000-0000-0000EF040000}"/>
    <cellStyle name="40% - Accent3 2 9 2" xfId="1264" xr:uid="{00000000-0005-0000-0000-0000F0040000}"/>
    <cellStyle name="40% - Accent3 2 9 2 2" xfId="32364" xr:uid="{38A29E56-3003-4678-9FBF-377D086C2444}"/>
    <cellStyle name="40% - Accent3 2 9 3" xfId="32363" xr:uid="{3EFF9AE9-276B-44F5-9F16-0485C67EA139}"/>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2 2 2" xfId="32368" xr:uid="{88E15E0F-E08E-46B6-8714-3A24AB495CFB}"/>
    <cellStyle name="40% - Accent3 3 2 2 3" xfId="32367" xr:uid="{FF77555F-C46F-46AD-A231-24094EA8C1B1}"/>
    <cellStyle name="40% - Accent3 3 2 3" xfId="1269" xr:uid="{00000000-0005-0000-0000-0000F5040000}"/>
    <cellStyle name="40% - Accent3 3 2 3 2" xfId="32369" xr:uid="{6CF89FDD-3F46-4802-8B44-840DA7ECFEA7}"/>
    <cellStyle name="40% - Accent3 3 2 4" xfId="32366" xr:uid="{A47544D4-5111-4221-80FE-46DEA6DA0655}"/>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3 6" xfId="32365" xr:uid="{E4FCF91C-12AB-4B37-B762-154793891F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4 5" xfId="32370" xr:uid="{B474F493-2C13-4E36-B69E-2B1060489263}"/>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2 2 2" xfId="32374" xr:uid="{986FE74A-1155-4691-B838-93FA424F23BC}"/>
    <cellStyle name="40% - Accent3 5 2 2 3" xfId="32373" xr:uid="{ED66942E-4F58-4557-8D7C-BC2263D71152}"/>
    <cellStyle name="40% - Accent3 5 2 3" xfId="1289" xr:uid="{00000000-0005-0000-0000-000009050000}"/>
    <cellStyle name="40% - Accent3 5 2 3 2" xfId="32375" xr:uid="{3557A4B2-E88B-4A9B-9EA4-25A9A6F50A99}"/>
    <cellStyle name="40% - Accent3 5 2 4" xfId="32372" xr:uid="{0C24EC2D-3A47-43FF-97F6-D80967EFBD34}"/>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2 2 2" xfId="32379" xr:uid="{AE4F9FA4-6C33-4953-A2F9-7A81ABC5FE05}"/>
    <cellStyle name="40% - Accent3 5 3 2 2 3" xfId="32378" xr:uid="{8BA2F5B8-1489-49F5-A0BE-19EBEE8857EC}"/>
    <cellStyle name="40% - Accent3 5 3 2 3" xfId="1294" xr:uid="{00000000-0005-0000-0000-00000E050000}"/>
    <cellStyle name="40% - Accent3 5 3 2 3 2" xfId="32380" xr:uid="{85DB25B5-CA9B-4659-BCDB-F99B7F8B7D53}"/>
    <cellStyle name="40% - Accent3 5 3 2 4" xfId="32377" xr:uid="{104B5F49-CB0A-4ECC-90B2-8A00E850D6A6}"/>
    <cellStyle name="40% - Accent3 5 3 3" xfId="1295" xr:uid="{00000000-0005-0000-0000-00000F050000}"/>
    <cellStyle name="40% - Accent3 5 3 3 2" xfId="1296" xr:uid="{00000000-0005-0000-0000-000010050000}"/>
    <cellStyle name="40% - Accent3 5 3 3 2 2" xfId="32382" xr:uid="{5E58AA8C-DC63-4F4A-93BC-88E50DAD86F0}"/>
    <cellStyle name="40% - Accent3 5 3 3 3" xfId="32381" xr:uid="{4273688A-6708-4B32-8878-8E0B2156E04A}"/>
    <cellStyle name="40% - Accent3 5 3 4" xfId="1297" xr:uid="{00000000-0005-0000-0000-000011050000}"/>
    <cellStyle name="40% - Accent3 5 3 4 2" xfId="32383" xr:uid="{BD6EC04D-48C8-4300-8944-B5410AD1CBB1}"/>
    <cellStyle name="40% - Accent3 5 3 5" xfId="32376" xr:uid="{51A748DE-8143-4C7B-A848-9DD798FEA0A3}"/>
    <cellStyle name="40% - Accent3 5 4" xfId="1298" xr:uid="{00000000-0005-0000-0000-000012050000}"/>
    <cellStyle name="40% - Accent3 5 4 2" xfId="1299" xr:uid="{00000000-0005-0000-0000-000013050000}"/>
    <cellStyle name="40% - Accent3 5 4 2 2" xfId="32385" xr:uid="{3D1F0C98-6D4B-4E94-936A-E8E952B94F8B}"/>
    <cellStyle name="40% - Accent3 5 4 3" xfId="32384" xr:uid="{D552F13E-2D91-4F61-98E4-22C3E287AA6D}"/>
    <cellStyle name="40% - Accent3 5 5" xfId="1300" xr:uid="{00000000-0005-0000-0000-000014050000}"/>
    <cellStyle name="40% - Accent3 5 5 2" xfId="32386" xr:uid="{B0170580-0CBB-46F5-8BA1-7AA22C74C94C}"/>
    <cellStyle name="40% - Accent3 5 6" xfId="32371" xr:uid="{E862EDEA-86D2-4F9C-8C32-F3D5CEC302A5}"/>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2 2 2" xfId="32390" xr:uid="{094CEC72-365A-46B9-9FDB-92088A021348}"/>
    <cellStyle name="40% - Accent3 6 2 2 3" xfId="32389" xr:uid="{5C276B12-D0D2-4533-9461-7AFBF764DA8F}"/>
    <cellStyle name="40% - Accent3 6 2 3" xfId="1305" xr:uid="{00000000-0005-0000-0000-000019050000}"/>
    <cellStyle name="40% - Accent3 6 2 3 2" xfId="32391" xr:uid="{73F83E2E-C23E-4752-9A82-86F512F5E1C4}"/>
    <cellStyle name="40% - Accent3 6 2 4" xfId="32388" xr:uid="{DAF35DA1-7964-4D87-A93C-72DB41C2A197}"/>
    <cellStyle name="40% - Accent3 6 3" xfId="1306" xr:uid="{00000000-0005-0000-0000-00001A050000}"/>
    <cellStyle name="40% - Accent3 6 3 2" xfId="1307" xr:uid="{00000000-0005-0000-0000-00001B050000}"/>
    <cellStyle name="40% - Accent3 6 3 2 2" xfId="32393" xr:uid="{0C31E157-09C9-4107-A5CD-8CC38E0266E7}"/>
    <cellStyle name="40% - Accent3 6 3 3" xfId="32392" xr:uid="{0122F8E0-842E-49CF-A1DA-39C30978BFAE}"/>
    <cellStyle name="40% - Accent3 6 4" xfId="1308" xr:uid="{00000000-0005-0000-0000-00001C050000}"/>
    <cellStyle name="40% - Accent3 6 4 2" xfId="32394" xr:uid="{B2C0A92F-2433-4FB8-8F63-E72F7D820D7A}"/>
    <cellStyle name="40% - Accent3 6 5" xfId="32387" xr:uid="{C57BB914-F196-436E-8D0F-02CC40E749C7}"/>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0 2 2" xfId="32396" xr:uid="{5EC4F2C2-0A46-47D2-9FF4-84F54E6395C5}"/>
    <cellStyle name="40% - Accent4 2 10 3" xfId="32395" xr:uid="{AF3BFCF6-9EA8-4789-9CF1-ED5ACC882984}"/>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2 2 2" xfId="32400" xr:uid="{2FACA4A5-9047-4E71-A4FB-8B248DA180DE}"/>
    <cellStyle name="40% - Accent4 2 3 2 2 3" xfId="32399" xr:uid="{5CE580D2-8886-4ED5-A8E6-18EAF9AE2ADD}"/>
    <cellStyle name="40% - Accent4 2 3 2 3" xfId="1343" xr:uid="{00000000-0005-0000-0000-00003F050000}"/>
    <cellStyle name="40% - Accent4 2 3 2 3 2" xfId="32401" xr:uid="{F1228237-523B-487A-92E9-8A78C1CF49D6}"/>
    <cellStyle name="40% - Accent4 2 3 2 4" xfId="32398" xr:uid="{679BCA85-CD23-4473-B7B1-18FBC015FCBB}"/>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2 2 2" xfId="32405" xr:uid="{D46BC782-CBA4-4C5D-A89D-236DBC3B1B8B}"/>
    <cellStyle name="40% - Accent4 2 3 3 2 2 3" xfId="32404" xr:uid="{2184675E-4E36-42D7-864A-D2B73DDFE33C}"/>
    <cellStyle name="40% - Accent4 2 3 3 2 3" xfId="1348" xr:uid="{00000000-0005-0000-0000-000044050000}"/>
    <cellStyle name="40% - Accent4 2 3 3 2 3 2" xfId="32406" xr:uid="{4DDD3436-4662-48E1-AB9F-9C6D3C1BAF9A}"/>
    <cellStyle name="40% - Accent4 2 3 3 2 4" xfId="32403" xr:uid="{90673FC6-B9D1-468A-889E-1FD4E4E76EA6}"/>
    <cellStyle name="40% - Accent4 2 3 3 3" xfId="1349" xr:uid="{00000000-0005-0000-0000-000045050000}"/>
    <cellStyle name="40% - Accent4 2 3 3 3 2" xfId="1350" xr:uid="{00000000-0005-0000-0000-000046050000}"/>
    <cellStyle name="40% - Accent4 2 3 3 3 2 2" xfId="32408" xr:uid="{A97CFF64-CC84-42CD-952E-A80398FD12AF}"/>
    <cellStyle name="40% - Accent4 2 3 3 3 3" xfId="32407" xr:uid="{CA9A03CB-DAE0-415B-AFBA-0142F59833E0}"/>
    <cellStyle name="40% - Accent4 2 3 3 4" xfId="1351" xr:uid="{00000000-0005-0000-0000-000047050000}"/>
    <cellStyle name="40% - Accent4 2 3 3 4 2" xfId="32409" xr:uid="{521D1B2C-7B04-41F8-9C41-934068124C62}"/>
    <cellStyle name="40% - Accent4 2 3 3 5" xfId="32402" xr:uid="{76746C8B-6660-4D6E-BCAF-CE34021DA96A}"/>
    <cellStyle name="40% - Accent4 2 3 4" xfId="1352" xr:uid="{00000000-0005-0000-0000-000048050000}"/>
    <cellStyle name="40% - Accent4 2 3 4 2" xfId="1353" xr:uid="{00000000-0005-0000-0000-000049050000}"/>
    <cellStyle name="40% - Accent4 2 3 4 2 2" xfId="32411" xr:uid="{5165803C-1B28-44F0-8A17-A3141326170F}"/>
    <cellStyle name="40% - Accent4 2 3 4 3" xfId="32410" xr:uid="{2192D263-73CF-4CA6-84E7-D43BFF52ACE7}"/>
    <cellStyle name="40% - Accent4 2 3 5" xfId="1354" xr:uid="{00000000-0005-0000-0000-00004A050000}"/>
    <cellStyle name="40% - Accent4 2 3 5 2" xfId="32412" xr:uid="{41E383D5-2259-4BFE-88D2-A314890411C6}"/>
    <cellStyle name="40% - Accent4 2 3 6" xfId="32397" xr:uid="{BC67A96E-FF3B-40F3-A108-369CE6D2FDDD}"/>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2 2 2" xfId="32416" xr:uid="{CE97C2AA-C0C1-48EB-AB86-8973FF8B08D0}"/>
    <cellStyle name="40% - Accent4 2 4 2 2 3" xfId="32415" xr:uid="{09CFEFB6-7B8B-4626-9B2D-C6FF21FAF654}"/>
    <cellStyle name="40% - Accent4 2 4 2 3" xfId="1359" xr:uid="{00000000-0005-0000-0000-00004F050000}"/>
    <cellStyle name="40% - Accent4 2 4 2 3 2" xfId="32417" xr:uid="{24E68D89-6F2C-4237-978E-266E10D3B4D9}"/>
    <cellStyle name="40% - Accent4 2 4 2 4" xfId="32414" xr:uid="{2AC1E50A-E850-424B-B948-A6ACE0B7973F}"/>
    <cellStyle name="40% - Accent4 2 4 3" xfId="1360" xr:uid="{00000000-0005-0000-0000-000050050000}"/>
    <cellStyle name="40% - Accent4 2 4 3 2" xfId="1361" xr:uid="{00000000-0005-0000-0000-000051050000}"/>
    <cellStyle name="40% - Accent4 2 4 3 2 2" xfId="32419" xr:uid="{ED21DB6A-C4FC-4236-8C74-4A4C10929D6D}"/>
    <cellStyle name="40% - Accent4 2 4 3 3" xfId="32418" xr:uid="{A218F7CB-1F68-4902-94C8-FB40567209CB}"/>
    <cellStyle name="40% - Accent4 2 4 4" xfId="1362" xr:uid="{00000000-0005-0000-0000-000052050000}"/>
    <cellStyle name="40% - Accent4 2 4 4 2" xfId="32420" xr:uid="{F2F68743-2F56-4EEF-BEC3-19AC0219F0A0}"/>
    <cellStyle name="40% - Accent4 2 4 5" xfId="32413" xr:uid="{A48DE908-D11D-4909-BC41-513D0B8B77A1}"/>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2 2 2" xfId="32424" xr:uid="{77D32C29-BD0D-442C-8F15-35AA4F9EA924}"/>
    <cellStyle name="40% - Accent4 2 5 2 2 3" xfId="32423" xr:uid="{DD513C72-D726-497A-8EC1-97ECD57FF3B8}"/>
    <cellStyle name="40% - Accent4 2 5 2 3" xfId="1367" xr:uid="{00000000-0005-0000-0000-000057050000}"/>
    <cellStyle name="40% - Accent4 2 5 2 3 2" xfId="32425" xr:uid="{E1657FBC-DA4E-4F1C-80DF-08C6CFF48285}"/>
    <cellStyle name="40% - Accent4 2 5 2 4" xfId="32422" xr:uid="{2F9E6241-F1C9-4C63-945F-7BEA62AC025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2 2 2" xfId="32429" xr:uid="{E5C5D462-D9B4-433D-8276-7075019AC60F}"/>
    <cellStyle name="40% - Accent4 2 5 3 2 2 3" xfId="32428" xr:uid="{1411086B-E427-4D4F-AE07-E1E133AF6396}"/>
    <cellStyle name="40% - Accent4 2 5 3 2 3" xfId="1372" xr:uid="{00000000-0005-0000-0000-00005C050000}"/>
    <cellStyle name="40% - Accent4 2 5 3 2 3 2" xfId="32430" xr:uid="{69DFF065-A0CF-422D-A4E4-6F227C786393}"/>
    <cellStyle name="40% - Accent4 2 5 3 2 4" xfId="32427" xr:uid="{52C9E140-44FE-4D33-8C77-CF19072F4AB5}"/>
    <cellStyle name="40% - Accent4 2 5 3 3" xfId="1373" xr:uid="{00000000-0005-0000-0000-00005D050000}"/>
    <cellStyle name="40% - Accent4 2 5 3 3 2" xfId="1374" xr:uid="{00000000-0005-0000-0000-00005E050000}"/>
    <cellStyle name="40% - Accent4 2 5 3 3 2 2" xfId="32432" xr:uid="{31B7F1FE-B981-4294-B7F3-F3003728729F}"/>
    <cellStyle name="40% - Accent4 2 5 3 3 3" xfId="32431" xr:uid="{15F1B689-7E92-4DE1-8210-FEE3EAE6798F}"/>
    <cellStyle name="40% - Accent4 2 5 3 4" xfId="1375" xr:uid="{00000000-0005-0000-0000-00005F050000}"/>
    <cellStyle name="40% - Accent4 2 5 3 4 2" xfId="32433" xr:uid="{63774462-B6C4-4E62-A6F7-54246B9CFED8}"/>
    <cellStyle name="40% - Accent4 2 5 3 5" xfId="32426" xr:uid="{894C10D1-F9CB-4C54-B4B1-706BCF6112A1}"/>
    <cellStyle name="40% - Accent4 2 5 4" xfId="1376" xr:uid="{00000000-0005-0000-0000-000060050000}"/>
    <cellStyle name="40% - Accent4 2 5 4 2" xfId="1377" xr:uid="{00000000-0005-0000-0000-000061050000}"/>
    <cellStyle name="40% - Accent4 2 5 4 2 2" xfId="32435" xr:uid="{269746AA-BAD8-436E-B766-259AEE913F79}"/>
    <cellStyle name="40% - Accent4 2 5 4 3" xfId="32434" xr:uid="{1FA0FC95-F617-44AC-8B7D-FF5A4DB457D8}"/>
    <cellStyle name="40% - Accent4 2 5 5" xfId="1378" xr:uid="{00000000-0005-0000-0000-000062050000}"/>
    <cellStyle name="40% - Accent4 2 5 5 2" xfId="32436" xr:uid="{31758914-35DC-4BAB-B3E9-4E10B9CE8BFE}"/>
    <cellStyle name="40% - Accent4 2 5 6" xfId="32421" xr:uid="{AFD6205E-E9D0-46CC-B193-61481F07A0BC}"/>
    <cellStyle name="40% - Accent4 2 6" xfId="1379" xr:uid="{00000000-0005-0000-0000-000063050000}"/>
    <cellStyle name="40% - Accent4 2 6 2" xfId="1380" xr:uid="{00000000-0005-0000-0000-000064050000}"/>
    <cellStyle name="40% - Accent4 2 6 2 2" xfId="1381" xr:uid="{00000000-0005-0000-0000-000065050000}"/>
    <cellStyle name="40% - Accent4 2 6 2 2 2" xfId="32439" xr:uid="{549575ED-A3ED-47A7-897E-5F63A574A6F7}"/>
    <cellStyle name="40% - Accent4 2 6 2 3" xfId="32438" xr:uid="{5CE79ABA-51FD-4DEC-AE0B-7616D3741569}"/>
    <cellStyle name="40% - Accent4 2 6 3" xfId="1382" xr:uid="{00000000-0005-0000-0000-000066050000}"/>
    <cellStyle name="40% - Accent4 2 6 3 2" xfId="32440" xr:uid="{596A54B6-0125-43CE-BF9D-7FCA326F5F17}"/>
    <cellStyle name="40% - Accent4 2 6 4" xfId="32437" xr:uid="{A1877B3D-0939-4A62-994B-4AB54FB0167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2 2 2" xfId="32443" xr:uid="{3A0965B9-AE48-4AAB-80A4-9DF2166A7425}"/>
    <cellStyle name="40% - Accent4 3 2 2 3" xfId="32442" xr:uid="{F6608F8A-84FF-4364-A41F-5E3B3CDCF602}"/>
    <cellStyle name="40% - Accent4 3 2 3" xfId="1401" xr:uid="{00000000-0005-0000-0000-000079050000}"/>
    <cellStyle name="40% - Accent4 3 2 3 2" xfId="32444" xr:uid="{1BAA9E3A-7E75-4900-A2FF-CB3463BCDD0B}"/>
    <cellStyle name="40% - Accent4 3 2 4" xfId="32441" xr:uid="{8FF87154-A956-488A-855A-AB10D0DDFB24}"/>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2 2 2" xfId="32448" xr:uid="{52CBA65B-A73D-4B25-8F82-D21A1299E2D1}"/>
    <cellStyle name="40% - Accent4 6 2 2 3" xfId="32447" xr:uid="{798E6F3C-1E3F-45E0-A1EC-E0B39F287B78}"/>
    <cellStyle name="40% - Accent4 6 2 3" xfId="1437" xr:uid="{00000000-0005-0000-0000-00009D050000}"/>
    <cellStyle name="40% - Accent4 6 2 3 2" xfId="32449" xr:uid="{ACEB0894-36CC-4092-94C7-E439783DEAC1}"/>
    <cellStyle name="40% - Accent4 6 2 4" xfId="32446" xr:uid="{EDABF149-B822-49DB-9181-F39B784ACB17}"/>
    <cellStyle name="40% - Accent4 6 3" xfId="1438" xr:uid="{00000000-0005-0000-0000-00009E050000}"/>
    <cellStyle name="40% - Accent4 6 3 2" xfId="1439" xr:uid="{00000000-0005-0000-0000-00009F050000}"/>
    <cellStyle name="40% - Accent4 6 3 2 2" xfId="32451" xr:uid="{659A6CED-1BEB-404D-A581-8B3E7EB439AF}"/>
    <cellStyle name="40% - Accent4 6 3 3" xfId="32450" xr:uid="{2CDDDD9F-AF20-4E30-A4E2-9B7274B81491}"/>
    <cellStyle name="40% - Accent4 6 4" xfId="1440" xr:uid="{00000000-0005-0000-0000-0000A0050000}"/>
    <cellStyle name="40% - Accent4 6 4 2" xfId="32452" xr:uid="{BD61DBA7-7010-4FA1-A380-378F7D067CD3}"/>
    <cellStyle name="40% - Accent4 6 5" xfId="32445" xr:uid="{14A05084-B618-41F4-BA18-B66DF6DCA94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0 2 2" xfId="32455" xr:uid="{DD093C06-EF4D-41D9-BAD6-9A39B7F09CAD}"/>
    <cellStyle name="40% - Accent5 2 10 3" xfId="32454" xr:uid="{4C8C6BCD-4A6C-4972-892A-4B4F63025020}"/>
    <cellStyle name="40% - Accent5 2 11" xfId="1446" xr:uid="{00000000-0005-0000-0000-0000A6050000}"/>
    <cellStyle name="40% - Accent5 2 11 2" xfId="32456" xr:uid="{E01536D0-83CC-4CCD-AA25-468F95FA4196}"/>
    <cellStyle name="40% - Accent5 2 12" xfId="32453" xr:uid="{9B659073-8BC6-4A90-B9C9-EB2FC72F5882}"/>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2 2 2" xfId="32460" xr:uid="{22F4EDE1-55C0-4C51-9433-7D67B5B0BAEA}"/>
    <cellStyle name="40% - Accent5 2 2 3 2 3" xfId="32459" xr:uid="{3A04190C-C652-476E-BBA8-8880578631F7}"/>
    <cellStyle name="40% - Accent5 2 2 3 3" xfId="1459" xr:uid="{00000000-0005-0000-0000-0000B3050000}"/>
    <cellStyle name="40% - Accent5 2 2 3 3 2" xfId="32461" xr:uid="{BFEA3819-506F-4BA5-A97A-4637E6C504C0}"/>
    <cellStyle name="40% - Accent5 2 2 3 4" xfId="32458" xr:uid="{EF37EE82-C4EA-49D0-BC3D-3EE2E070CF48}"/>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2 2 2" xfId="32465" xr:uid="{00F8E8B1-7018-47CB-B123-85EFE03CE05D}"/>
    <cellStyle name="40% - Accent5 2 2 4 2 2 3" xfId="32464" xr:uid="{31D48F51-20FB-4F5F-9A0D-77ECC55FB42A}"/>
    <cellStyle name="40% - Accent5 2 2 4 2 3" xfId="1464" xr:uid="{00000000-0005-0000-0000-0000B8050000}"/>
    <cellStyle name="40% - Accent5 2 2 4 2 3 2" xfId="32466" xr:uid="{ACC9192A-3C1E-48E3-9E6F-0CB569F005D1}"/>
    <cellStyle name="40% - Accent5 2 2 4 2 4" xfId="32463" xr:uid="{857B8406-1E6D-4128-BE78-472B93D45FA2}"/>
    <cellStyle name="40% - Accent5 2 2 4 3" xfId="1465" xr:uid="{00000000-0005-0000-0000-0000B9050000}"/>
    <cellStyle name="40% - Accent5 2 2 4 3 2" xfId="1466" xr:uid="{00000000-0005-0000-0000-0000BA050000}"/>
    <cellStyle name="40% - Accent5 2 2 4 3 2 2" xfId="32468" xr:uid="{2FA355C2-C5B0-4430-BA2E-84556D1CE512}"/>
    <cellStyle name="40% - Accent5 2 2 4 3 3" xfId="32467" xr:uid="{3489D3A8-1A7C-42E8-B53F-44334FBFAF1B}"/>
    <cellStyle name="40% - Accent5 2 2 4 4" xfId="1467" xr:uid="{00000000-0005-0000-0000-0000BB050000}"/>
    <cellStyle name="40% - Accent5 2 2 4 4 2" xfId="32469" xr:uid="{7B4E0BEC-7A87-43C6-9C84-FCB9E005A754}"/>
    <cellStyle name="40% - Accent5 2 2 4 5" xfId="32462" xr:uid="{1767FB71-8754-4603-9A13-E27AF5F8A2A3}"/>
    <cellStyle name="40% - Accent5 2 2 5" xfId="1468" xr:uid="{00000000-0005-0000-0000-0000BC050000}"/>
    <cellStyle name="40% - Accent5 2 2 5 2" xfId="1469" xr:uid="{00000000-0005-0000-0000-0000BD050000}"/>
    <cellStyle name="40% - Accent5 2 2 5 2 2" xfId="32471" xr:uid="{8C09B3A0-27C4-466F-A8B7-61CE1487157E}"/>
    <cellStyle name="40% - Accent5 2 2 5 3" xfId="32470" xr:uid="{6A4516E3-4B15-45B3-857E-50A0EE56F939}"/>
    <cellStyle name="40% - Accent5 2 2 6" xfId="1470" xr:uid="{00000000-0005-0000-0000-0000BE050000}"/>
    <cellStyle name="40% - Accent5 2 2 6 2" xfId="32472" xr:uid="{78FCCE70-C85B-4F31-9ACB-D0712F63738F}"/>
    <cellStyle name="40% - Accent5 2 2 7" xfId="32457" xr:uid="{EA566656-B640-4C5D-80EE-9F65E99D0B07}"/>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2 2 2" xfId="32476" xr:uid="{447AAB46-7DC7-49D3-9B19-D3936E2F4B47}"/>
    <cellStyle name="40% - Accent5 2 3 2 2 3" xfId="32475" xr:uid="{5BAC84AB-430C-47CF-96B3-8A6A21185F7E}"/>
    <cellStyle name="40% - Accent5 2 3 2 3" xfId="1475" xr:uid="{00000000-0005-0000-0000-0000C3050000}"/>
    <cellStyle name="40% - Accent5 2 3 2 3 2" xfId="32477" xr:uid="{02181BB5-45E5-4089-8765-03DEC0199D38}"/>
    <cellStyle name="40% - Accent5 2 3 2 4" xfId="32474" xr:uid="{B03BBFDF-4606-43D2-AE9D-91D3BB7A1D2F}"/>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2 2 2" xfId="32481" xr:uid="{729020DC-6E79-4BDF-A84F-4DB528C0407C}"/>
    <cellStyle name="40% - Accent5 2 3 3 2 2 3" xfId="32480" xr:uid="{A1CFFC0C-78C3-4869-8C01-ED943572BD91}"/>
    <cellStyle name="40% - Accent5 2 3 3 2 3" xfId="1480" xr:uid="{00000000-0005-0000-0000-0000C8050000}"/>
    <cellStyle name="40% - Accent5 2 3 3 2 3 2" xfId="32482" xr:uid="{6B8B80D8-69E0-48B2-9B15-8A960B14682C}"/>
    <cellStyle name="40% - Accent5 2 3 3 2 4" xfId="32479" xr:uid="{D1D788EC-C5CE-41FB-A4EF-4A4A940193DD}"/>
    <cellStyle name="40% - Accent5 2 3 3 3" xfId="1481" xr:uid="{00000000-0005-0000-0000-0000C9050000}"/>
    <cellStyle name="40% - Accent5 2 3 3 3 2" xfId="1482" xr:uid="{00000000-0005-0000-0000-0000CA050000}"/>
    <cellStyle name="40% - Accent5 2 3 3 3 2 2" xfId="32484" xr:uid="{223EF6EB-3287-454A-8E14-1DF1C928570F}"/>
    <cellStyle name="40% - Accent5 2 3 3 3 3" xfId="32483" xr:uid="{D7531506-FD48-4CD1-B817-99775B469395}"/>
    <cellStyle name="40% - Accent5 2 3 3 4" xfId="1483" xr:uid="{00000000-0005-0000-0000-0000CB050000}"/>
    <cellStyle name="40% - Accent5 2 3 3 4 2" xfId="32485" xr:uid="{ABF729CF-BB24-49C9-A2D4-663C365A6970}"/>
    <cellStyle name="40% - Accent5 2 3 3 5" xfId="32478" xr:uid="{A4B51B92-5B6D-4C70-A1A1-B6F1CAD0BEF9}"/>
    <cellStyle name="40% - Accent5 2 3 4" xfId="1484" xr:uid="{00000000-0005-0000-0000-0000CC050000}"/>
    <cellStyle name="40% - Accent5 2 3 4 2" xfId="1485" xr:uid="{00000000-0005-0000-0000-0000CD050000}"/>
    <cellStyle name="40% - Accent5 2 3 4 2 2" xfId="32487" xr:uid="{77203B6F-1B6F-458A-930B-9D4EDCAF79FE}"/>
    <cellStyle name="40% - Accent5 2 3 4 3" xfId="32486" xr:uid="{2FB3BCB5-A52A-434D-9BB6-A01109E6966C}"/>
    <cellStyle name="40% - Accent5 2 3 5" xfId="1486" xr:uid="{00000000-0005-0000-0000-0000CE050000}"/>
    <cellStyle name="40% - Accent5 2 3 5 2" xfId="32488" xr:uid="{B6E2866D-B6A3-45EC-84A9-91536983A2B9}"/>
    <cellStyle name="40% - Accent5 2 3 6" xfId="32473" xr:uid="{8D870118-ECC5-4557-A689-73E2271B7B52}"/>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2 2 2" xfId="32492" xr:uid="{0836C868-263B-4600-A77D-1B41CD1B6FFD}"/>
    <cellStyle name="40% - Accent5 2 4 2 2 3" xfId="32491" xr:uid="{7CD26E9E-977A-478D-8020-1A454C7CC148}"/>
    <cellStyle name="40% - Accent5 2 4 2 3" xfId="1491" xr:uid="{00000000-0005-0000-0000-0000D3050000}"/>
    <cellStyle name="40% - Accent5 2 4 2 3 2" xfId="32493" xr:uid="{D8F66326-0DF5-4AE9-935F-BD9679241935}"/>
    <cellStyle name="40% - Accent5 2 4 2 4" xfId="32490" xr:uid="{2500A791-5780-48D9-9E65-326EFA001ADA}"/>
    <cellStyle name="40% - Accent5 2 4 3" xfId="1492" xr:uid="{00000000-0005-0000-0000-0000D4050000}"/>
    <cellStyle name="40% - Accent5 2 4 3 2" xfId="1493" xr:uid="{00000000-0005-0000-0000-0000D5050000}"/>
    <cellStyle name="40% - Accent5 2 4 3 2 2" xfId="32495" xr:uid="{37902523-737C-42CA-BD43-84C358A16F75}"/>
    <cellStyle name="40% - Accent5 2 4 3 3" xfId="32494" xr:uid="{FA826C32-8563-4BF7-B773-1C4F40562B94}"/>
    <cellStyle name="40% - Accent5 2 4 4" xfId="1494" xr:uid="{00000000-0005-0000-0000-0000D6050000}"/>
    <cellStyle name="40% - Accent5 2 4 4 2" xfId="32496" xr:uid="{E5765CFA-0F70-48D0-BA7E-BBA97E9A3EFA}"/>
    <cellStyle name="40% - Accent5 2 4 5" xfId="32489" xr:uid="{423C255C-FD09-4F60-A796-3A137843914F}"/>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2 2 2" xfId="32500" xr:uid="{07A903F9-7F4D-4C98-AA47-6A69F0E536C4}"/>
    <cellStyle name="40% - Accent5 2 5 2 2 3" xfId="32499" xr:uid="{FFB590C6-DB28-4520-9042-2D87F7CF2C57}"/>
    <cellStyle name="40% - Accent5 2 5 2 3" xfId="1499" xr:uid="{00000000-0005-0000-0000-0000DB050000}"/>
    <cellStyle name="40% - Accent5 2 5 2 3 2" xfId="32501" xr:uid="{1030662D-0FDA-4B67-B18A-AF05B016CD10}"/>
    <cellStyle name="40% - Accent5 2 5 2 4" xfId="32498" xr:uid="{44FA6D21-907C-4F7A-BA13-72BBC539AE55}"/>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2 2 2" xfId="32505" xr:uid="{24B56AC6-D401-4D5B-A115-8B89550EFE78}"/>
    <cellStyle name="40% - Accent5 2 5 3 2 2 3" xfId="32504" xr:uid="{60C65A44-3F2E-4045-BD61-F3F52D15D704}"/>
    <cellStyle name="40% - Accent5 2 5 3 2 3" xfId="1504" xr:uid="{00000000-0005-0000-0000-0000E0050000}"/>
    <cellStyle name="40% - Accent5 2 5 3 2 3 2" xfId="32506" xr:uid="{B85C66DB-31F7-4E41-8B87-63E078BEF4E0}"/>
    <cellStyle name="40% - Accent5 2 5 3 2 4" xfId="32503" xr:uid="{6753CE04-C6E3-4156-B807-25D0B1D2F275}"/>
    <cellStyle name="40% - Accent5 2 5 3 3" xfId="1505" xr:uid="{00000000-0005-0000-0000-0000E1050000}"/>
    <cellStyle name="40% - Accent5 2 5 3 3 2" xfId="1506" xr:uid="{00000000-0005-0000-0000-0000E2050000}"/>
    <cellStyle name="40% - Accent5 2 5 3 3 2 2" xfId="32508" xr:uid="{B6524311-B5F1-4C51-B586-67F36094F308}"/>
    <cellStyle name="40% - Accent5 2 5 3 3 3" xfId="32507" xr:uid="{54B1C4BC-0395-4C16-8AF0-9A7161E69E25}"/>
    <cellStyle name="40% - Accent5 2 5 3 4" xfId="1507" xr:uid="{00000000-0005-0000-0000-0000E3050000}"/>
    <cellStyle name="40% - Accent5 2 5 3 4 2" xfId="32509" xr:uid="{AC960404-80C3-4C8C-A138-8A9DB5D81FD6}"/>
    <cellStyle name="40% - Accent5 2 5 3 5" xfId="32502" xr:uid="{DC27118B-514B-4ADE-A825-FA36B9A4A3CC}"/>
    <cellStyle name="40% - Accent5 2 5 4" xfId="1508" xr:uid="{00000000-0005-0000-0000-0000E4050000}"/>
    <cellStyle name="40% - Accent5 2 5 4 2" xfId="1509" xr:uid="{00000000-0005-0000-0000-0000E5050000}"/>
    <cellStyle name="40% - Accent5 2 5 4 2 2" xfId="32511" xr:uid="{67AC7806-E90E-4B30-9253-2939C05FA232}"/>
    <cellStyle name="40% - Accent5 2 5 4 3" xfId="32510" xr:uid="{092092E4-7E49-4616-B413-FCB7B7432AE7}"/>
    <cellStyle name="40% - Accent5 2 5 5" xfId="1510" xr:uid="{00000000-0005-0000-0000-0000E6050000}"/>
    <cellStyle name="40% - Accent5 2 5 5 2" xfId="32512" xr:uid="{76EBAD00-3ABA-49BB-8E87-9BF7DEB78D61}"/>
    <cellStyle name="40% - Accent5 2 5 6" xfId="32497" xr:uid="{2860E02B-41DB-4FB1-A1DA-6E501758D244}"/>
    <cellStyle name="40% - Accent5 2 6" xfId="1511" xr:uid="{00000000-0005-0000-0000-0000E7050000}"/>
    <cellStyle name="40% - Accent5 2 6 2" xfId="1512" xr:uid="{00000000-0005-0000-0000-0000E8050000}"/>
    <cellStyle name="40% - Accent5 2 6 2 2" xfId="1513" xr:uid="{00000000-0005-0000-0000-0000E9050000}"/>
    <cellStyle name="40% - Accent5 2 6 2 2 2" xfId="32515" xr:uid="{918A80AE-CB71-43C9-96CF-B4FE69FC56BE}"/>
    <cellStyle name="40% - Accent5 2 6 2 3" xfId="32514" xr:uid="{6AC70A47-278F-4543-AC9F-CC4FD0C8C0F8}"/>
    <cellStyle name="40% - Accent5 2 6 3" xfId="1514" xr:uid="{00000000-0005-0000-0000-0000EA050000}"/>
    <cellStyle name="40% - Accent5 2 6 3 2" xfId="32516" xr:uid="{514857A3-D3EC-4E6B-B383-4482F6702FF2}"/>
    <cellStyle name="40% - Accent5 2 6 4" xfId="32513" xr:uid="{44EBB890-CE38-41FC-9D3C-9CEB26607270}"/>
    <cellStyle name="40% - Accent5 2 7" xfId="1515" xr:uid="{00000000-0005-0000-0000-0000EB050000}"/>
    <cellStyle name="40% - Accent5 2 7 2" xfId="1516" xr:uid="{00000000-0005-0000-0000-0000EC050000}"/>
    <cellStyle name="40% - Accent5 2 7 2 2" xfId="1517" xr:uid="{00000000-0005-0000-0000-0000ED050000}"/>
    <cellStyle name="40% - Accent5 2 7 2 2 2" xfId="32519" xr:uid="{E5B41247-57B2-4805-93FF-2BBA24A13604}"/>
    <cellStyle name="40% - Accent5 2 7 2 3" xfId="32518" xr:uid="{FC696FBB-FB39-488D-AF29-AEF973A667BB}"/>
    <cellStyle name="40% - Accent5 2 7 3" xfId="1518" xr:uid="{00000000-0005-0000-0000-0000EE050000}"/>
    <cellStyle name="40% - Accent5 2 7 3 2" xfId="32520" xr:uid="{E2D8B340-55F3-4EDD-ACF3-BB5D7F1D9CFB}"/>
    <cellStyle name="40% - Accent5 2 7 4" xfId="32517" xr:uid="{CCC54830-E2DC-4CA6-9EF9-2C57986D1603}"/>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2 2 2" xfId="32524" xr:uid="{98FFB83C-1C75-40B4-AC6B-DA61B3403328}"/>
    <cellStyle name="40% - Accent5 2 8 2 2 3" xfId="32523" xr:uid="{16ADF73C-7CA7-4E8C-985F-2094EADCD8F8}"/>
    <cellStyle name="40% - Accent5 2 8 2 3" xfId="1523" xr:uid="{00000000-0005-0000-0000-0000F3050000}"/>
    <cellStyle name="40% - Accent5 2 8 2 3 2" xfId="32525" xr:uid="{75BFD828-940A-4F03-A1A8-5A9BC343C718}"/>
    <cellStyle name="40% - Accent5 2 8 2 4" xfId="32522" xr:uid="{3A3512AA-6691-4C52-A391-97FC3DF3CD8E}"/>
    <cellStyle name="40% - Accent5 2 8 3" xfId="1524" xr:uid="{00000000-0005-0000-0000-0000F4050000}"/>
    <cellStyle name="40% - Accent5 2 8 3 2" xfId="1525" xr:uid="{00000000-0005-0000-0000-0000F5050000}"/>
    <cellStyle name="40% - Accent5 2 8 3 2 2" xfId="32527" xr:uid="{66AA7C94-7FAF-4A38-A229-23B9329E08DD}"/>
    <cellStyle name="40% - Accent5 2 8 3 3" xfId="32526" xr:uid="{55963F60-C350-470E-831E-CE1D36EC86B8}"/>
    <cellStyle name="40% - Accent5 2 8 4" xfId="1526" xr:uid="{00000000-0005-0000-0000-0000F6050000}"/>
    <cellStyle name="40% - Accent5 2 8 4 2" xfId="32528" xr:uid="{285D50AD-47CC-4B8F-9DCB-388E2F4C572E}"/>
    <cellStyle name="40% - Accent5 2 8 5" xfId="32521" xr:uid="{05978B46-C605-42F1-9A46-827565EB9A74}"/>
    <cellStyle name="40% - Accent5 2 9" xfId="1527" xr:uid="{00000000-0005-0000-0000-0000F7050000}"/>
    <cellStyle name="40% - Accent5 2 9 2" xfId="1528" xr:uid="{00000000-0005-0000-0000-0000F8050000}"/>
    <cellStyle name="40% - Accent5 2 9 2 2" xfId="32530" xr:uid="{67F8E956-9DC6-4556-B3F2-128102C867A5}"/>
    <cellStyle name="40% - Accent5 2 9 3" xfId="32529" xr:uid="{03E376A0-3878-4E3B-902D-26D78EFBC769}"/>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2 2 2" xfId="32534" xr:uid="{8C9601BE-7984-4A19-9319-E95D9D9ABD3B}"/>
    <cellStyle name="40% - Accent5 3 2 2 3" xfId="32533" xr:uid="{390C6C23-A517-4EF1-B959-5A27D28E3423}"/>
    <cellStyle name="40% - Accent5 3 2 3" xfId="1533" xr:uid="{00000000-0005-0000-0000-0000FD050000}"/>
    <cellStyle name="40% - Accent5 3 2 3 2" xfId="32535" xr:uid="{5E470CD6-3672-4047-AD25-B668A2FE18CD}"/>
    <cellStyle name="40% - Accent5 3 2 4" xfId="32532" xr:uid="{006C1E20-AE58-4EF5-A36D-C9DE99D4931A}"/>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3 6" xfId="32531" xr:uid="{9261091F-C4C6-4B55-BA38-BC625EC3B41A}"/>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4 5" xfId="32536" xr:uid="{9D85753B-F3BB-4FFC-8F59-059B21C35B0B}"/>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2 2 2" xfId="32540" xr:uid="{B9262257-6FB6-4039-BE2B-83EB15B796E0}"/>
    <cellStyle name="40% - Accent5 5 2 2 3" xfId="32539" xr:uid="{A855B427-2102-43D3-B6AD-135FECB9BD25}"/>
    <cellStyle name="40% - Accent5 5 2 3" xfId="1553" xr:uid="{00000000-0005-0000-0000-000011060000}"/>
    <cellStyle name="40% - Accent5 5 2 3 2" xfId="32541" xr:uid="{00F25C31-104E-488C-982D-AAABE59A0ED9}"/>
    <cellStyle name="40% - Accent5 5 2 4" xfId="32538" xr:uid="{D4703925-D653-4485-AF1A-85AB3D8824B5}"/>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2 2 2" xfId="32545" xr:uid="{873E1EFC-46F8-41F8-B2E5-BBE2647200A7}"/>
    <cellStyle name="40% - Accent5 5 3 2 2 3" xfId="32544" xr:uid="{81AB2490-1810-47C2-BA8F-C5DE7ED6FBC8}"/>
    <cellStyle name="40% - Accent5 5 3 2 3" xfId="1558" xr:uid="{00000000-0005-0000-0000-000016060000}"/>
    <cellStyle name="40% - Accent5 5 3 2 3 2" xfId="32546" xr:uid="{FA5D507F-1CF9-484F-ABB9-EFE006C18B2A}"/>
    <cellStyle name="40% - Accent5 5 3 2 4" xfId="32543" xr:uid="{A4C64051-73A0-42C0-B91C-C0A8AB965220}"/>
    <cellStyle name="40% - Accent5 5 3 3" xfId="1559" xr:uid="{00000000-0005-0000-0000-000017060000}"/>
    <cellStyle name="40% - Accent5 5 3 3 2" xfId="1560" xr:uid="{00000000-0005-0000-0000-000018060000}"/>
    <cellStyle name="40% - Accent5 5 3 3 2 2" xfId="32548" xr:uid="{1ED045CF-1A76-4ACD-962E-A001405D7A87}"/>
    <cellStyle name="40% - Accent5 5 3 3 3" xfId="32547" xr:uid="{BCC25A7A-0CC7-463D-8FB8-AA59848CCE5D}"/>
    <cellStyle name="40% - Accent5 5 3 4" xfId="1561" xr:uid="{00000000-0005-0000-0000-000019060000}"/>
    <cellStyle name="40% - Accent5 5 3 4 2" xfId="32549" xr:uid="{5CA07BBA-7558-46E2-86DB-7CFB3F84D6E3}"/>
    <cellStyle name="40% - Accent5 5 3 5" xfId="32542" xr:uid="{7E1F02E6-F8C9-4446-B335-E28D9A560478}"/>
    <cellStyle name="40% - Accent5 5 4" xfId="1562" xr:uid="{00000000-0005-0000-0000-00001A060000}"/>
    <cellStyle name="40% - Accent5 5 4 2" xfId="1563" xr:uid="{00000000-0005-0000-0000-00001B060000}"/>
    <cellStyle name="40% - Accent5 5 4 2 2" xfId="32551" xr:uid="{B034602A-4F1B-41B0-96EB-B9DC6F22C219}"/>
    <cellStyle name="40% - Accent5 5 4 3" xfId="32550" xr:uid="{6BB7BDE5-7828-4B94-ACAC-201C264A0C53}"/>
    <cellStyle name="40% - Accent5 5 5" xfId="1564" xr:uid="{00000000-0005-0000-0000-00001C060000}"/>
    <cellStyle name="40% - Accent5 5 5 2" xfId="32552" xr:uid="{7E82F28A-666D-49DB-B69A-08C69D4702DD}"/>
    <cellStyle name="40% - Accent5 5 6" xfId="32537" xr:uid="{F5A9C5D7-BB90-471C-BCFA-7C472B8C545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2 2 2" xfId="32556" xr:uid="{39FC5CF8-E144-4E2A-A358-43D26521E226}"/>
    <cellStyle name="40% - Accent5 6 2 2 3" xfId="32555" xr:uid="{2370EC91-26A3-4D6E-8C6C-324B262C53B8}"/>
    <cellStyle name="40% - Accent5 6 2 3" xfId="1569" xr:uid="{00000000-0005-0000-0000-000021060000}"/>
    <cellStyle name="40% - Accent5 6 2 3 2" xfId="32557" xr:uid="{D552E533-FDCE-4500-AE80-838CAF4EEFBF}"/>
    <cellStyle name="40% - Accent5 6 2 4" xfId="32554" xr:uid="{7E2A244C-226C-4C6B-943B-DC699BDCC4A2}"/>
    <cellStyle name="40% - Accent5 6 3" xfId="1570" xr:uid="{00000000-0005-0000-0000-000022060000}"/>
    <cellStyle name="40% - Accent5 6 3 2" xfId="1571" xr:uid="{00000000-0005-0000-0000-000023060000}"/>
    <cellStyle name="40% - Accent5 6 3 2 2" xfId="32559" xr:uid="{CB7EC883-F7D0-4E44-868A-7E2C7186FD5B}"/>
    <cellStyle name="40% - Accent5 6 3 3" xfId="32558" xr:uid="{A88320D8-9842-44CD-AA0A-144FD2AA7F19}"/>
    <cellStyle name="40% - Accent5 6 4" xfId="1572" xr:uid="{00000000-0005-0000-0000-000024060000}"/>
    <cellStyle name="40% - Accent5 6 4 2" xfId="32560" xr:uid="{E85C39B1-2DE7-4F87-BDCC-4AB5399395BD}"/>
    <cellStyle name="40% - Accent5 6 5" xfId="32553" xr:uid="{70B9344D-E799-4360-BB29-466633EFA744}"/>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0 2 2" xfId="32563" xr:uid="{9417516E-C0DF-4C02-99BD-19949E549FA8}"/>
    <cellStyle name="40% - Accent6 2 10 3" xfId="32562" xr:uid="{7FA86F5E-EDF7-40C0-98D4-F8D09D2743C8}"/>
    <cellStyle name="40% - Accent6 2 11" xfId="1578" xr:uid="{00000000-0005-0000-0000-00002A060000}"/>
    <cellStyle name="40% - Accent6 2 11 2" xfId="32564" xr:uid="{6960C16F-EEF2-42A5-AD40-9F1A319EA52A}"/>
    <cellStyle name="40% - Accent6 2 12" xfId="32561" xr:uid="{79174B08-4174-40B4-A125-966C27A09BB6}"/>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2 2 2" xfId="32568" xr:uid="{C3490EBE-D26C-47EE-8347-36FDF8390934}"/>
    <cellStyle name="40% - Accent6 2 2 3 2 3" xfId="32567" xr:uid="{CC89DB9B-B6EF-41B8-B781-38186C3AD8A9}"/>
    <cellStyle name="40% - Accent6 2 2 3 3" xfId="1591" xr:uid="{00000000-0005-0000-0000-000037060000}"/>
    <cellStyle name="40% - Accent6 2 2 3 3 2" xfId="32569" xr:uid="{D62E1274-4916-4C70-90A9-11A358E78723}"/>
    <cellStyle name="40% - Accent6 2 2 3 4" xfId="32566" xr:uid="{DE776EF9-F067-4498-98FC-C231322DBD3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2 2 2" xfId="32573" xr:uid="{FCB20BE8-309F-4759-B5ED-36B7C622CAB7}"/>
    <cellStyle name="40% - Accent6 2 2 4 2 2 3" xfId="32572" xr:uid="{EF001AEE-B5D8-4096-A6EB-9DAA52542992}"/>
    <cellStyle name="40% - Accent6 2 2 4 2 3" xfId="1596" xr:uid="{00000000-0005-0000-0000-00003C060000}"/>
    <cellStyle name="40% - Accent6 2 2 4 2 3 2" xfId="32574" xr:uid="{B0A74A73-5A52-4FD2-8BFF-5780F7A291FD}"/>
    <cellStyle name="40% - Accent6 2 2 4 2 4" xfId="32571" xr:uid="{074D288A-22F2-4AF5-A87D-1D85127A5CF9}"/>
    <cellStyle name="40% - Accent6 2 2 4 3" xfId="1597" xr:uid="{00000000-0005-0000-0000-00003D060000}"/>
    <cellStyle name="40% - Accent6 2 2 4 3 2" xfId="1598" xr:uid="{00000000-0005-0000-0000-00003E060000}"/>
    <cellStyle name="40% - Accent6 2 2 4 3 2 2" xfId="32576" xr:uid="{05F1AFB4-E972-4BA2-87BD-556DC525C198}"/>
    <cellStyle name="40% - Accent6 2 2 4 3 3" xfId="32575" xr:uid="{36728135-5931-4A29-9475-0E8F5D187E25}"/>
    <cellStyle name="40% - Accent6 2 2 4 4" xfId="1599" xr:uid="{00000000-0005-0000-0000-00003F060000}"/>
    <cellStyle name="40% - Accent6 2 2 4 4 2" xfId="32577" xr:uid="{52BDB49B-0266-466C-8725-5427305AA000}"/>
    <cellStyle name="40% - Accent6 2 2 4 5" xfId="32570" xr:uid="{F794D905-1322-4E6B-A4E1-B51A00A7ADED}"/>
    <cellStyle name="40% - Accent6 2 2 5" xfId="1600" xr:uid="{00000000-0005-0000-0000-000040060000}"/>
    <cellStyle name="40% - Accent6 2 2 5 2" xfId="1601" xr:uid="{00000000-0005-0000-0000-000041060000}"/>
    <cellStyle name="40% - Accent6 2 2 5 2 2" xfId="32579" xr:uid="{233F4C8B-CE43-4E47-982C-1A5E73578D57}"/>
    <cellStyle name="40% - Accent6 2 2 5 3" xfId="32578" xr:uid="{38AD6C2B-4767-4ABC-A1E3-15B1184F0874}"/>
    <cellStyle name="40% - Accent6 2 2 6" xfId="1602" xr:uid="{00000000-0005-0000-0000-000042060000}"/>
    <cellStyle name="40% - Accent6 2 2 6 2" xfId="32580" xr:uid="{6BBBC9F7-34F4-48D2-A2C0-E8A4219A674D}"/>
    <cellStyle name="40% - Accent6 2 2 7" xfId="32565" xr:uid="{597507BD-635B-4D8A-B546-4C759125FB3D}"/>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2 2 2" xfId="32584" xr:uid="{EEF16360-8645-44C8-97F7-678E741A2738}"/>
    <cellStyle name="40% - Accent6 2 3 2 2 3" xfId="32583" xr:uid="{9617E3F8-D24B-47E7-8D14-8A7B8A3AA312}"/>
    <cellStyle name="40% - Accent6 2 3 2 3" xfId="1607" xr:uid="{00000000-0005-0000-0000-000047060000}"/>
    <cellStyle name="40% - Accent6 2 3 2 3 2" xfId="32585" xr:uid="{5F8E8DB1-1797-4EAE-988A-81A5E80FD968}"/>
    <cellStyle name="40% - Accent6 2 3 2 4" xfId="32582" xr:uid="{38A17BD3-5C74-4514-9926-8D67B4F7EB59}"/>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2 2 2" xfId="32589" xr:uid="{5F01BF50-1767-4FEB-B441-1E30D2F9DABC}"/>
    <cellStyle name="40% - Accent6 2 3 3 2 2 3" xfId="32588" xr:uid="{1AD823BF-1D0E-44E5-90AE-FF34AC85E13A}"/>
    <cellStyle name="40% - Accent6 2 3 3 2 3" xfId="1612" xr:uid="{00000000-0005-0000-0000-00004C060000}"/>
    <cellStyle name="40% - Accent6 2 3 3 2 3 2" xfId="32590" xr:uid="{00507813-21CB-4ACF-8487-50ED4AC5F1A1}"/>
    <cellStyle name="40% - Accent6 2 3 3 2 4" xfId="32587" xr:uid="{454E2BDF-353A-4A57-93D6-30E891B6A804}"/>
    <cellStyle name="40% - Accent6 2 3 3 3" xfId="1613" xr:uid="{00000000-0005-0000-0000-00004D060000}"/>
    <cellStyle name="40% - Accent6 2 3 3 3 2" xfId="1614" xr:uid="{00000000-0005-0000-0000-00004E060000}"/>
    <cellStyle name="40% - Accent6 2 3 3 3 2 2" xfId="32592" xr:uid="{FA07CFF1-8846-4342-96DB-1803B59B513B}"/>
    <cellStyle name="40% - Accent6 2 3 3 3 3" xfId="32591" xr:uid="{57956BC7-38A4-40DF-B851-2A1676C02567}"/>
    <cellStyle name="40% - Accent6 2 3 3 4" xfId="1615" xr:uid="{00000000-0005-0000-0000-00004F060000}"/>
    <cellStyle name="40% - Accent6 2 3 3 4 2" xfId="32593" xr:uid="{CC32D0AD-D952-4918-BE0F-EE1EE62567B2}"/>
    <cellStyle name="40% - Accent6 2 3 3 5" xfId="32586" xr:uid="{D9BC9664-8165-4808-96BD-6B0603B98575}"/>
    <cellStyle name="40% - Accent6 2 3 4" xfId="1616" xr:uid="{00000000-0005-0000-0000-000050060000}"/>
    <cellStyle name="40% - Accent6 2 3 4 2" xfId="1617" xr:uid="{00000000-0005-0000-0000-000051060000}"/>
    <cellStyle name="40% - Accent6 2 3 4 2 2" xfId="32595" xr:uid="{16CA3A76-B422-40D4-A7D4-73C0B612C649}"/>
    <cellStyle name="40% - Accent6 2 3 4 3" xfId="32594" xr:uid="{A86C377D-59E0-4F0F-B987-B714EE7B7508}"/>
    <cellStyle name="40% - Accent6 2 3 5" xfId="1618" xr:uid="{00000000-0005-0000-0000-000052060000}"/>
    <cellStyle name="40% - Accent6 2 3 5 2" xfId="32596" xr:uid="{66BD6A07-7ADF-454B-9A9E-5AF5B2292B8E}"/>
    <cellStyle name="40% - Accent6 2 3 6" xfId="32581" xr:uid="{7244B021-1EFB-4882-8721-5D3A5056EB0A}"/>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2 2 2" xfId="32600" xr:uid="{1B33A543-CD90-461C-B739-FF20798898C6}"/>
    <cellStyle name="40% - Accent6 2 4 2 2 3" xfId="32599" xr:uid="{F7A8F7BE-81E6-4141-B0DE-A390329CF64F}"/>
    <cellStyle name="40% - Accent6 2 4 2 3" xfId="1623" xr:uid="{00000000-0005-0000-0000-000057060000}"/>
    <cellStyle name="40% - Accent6 2 4 2 3 2" xfId="32601" xr:uid="{1B6F03F2-7A4F-4428-B989-79DAB440817E}"/>
    <cellStyle name="40% - Accent6 2 4 2 4" xfId="32598" xr:uid="{E81D6E34-E0DC-49DF-8FDE-98A01F115D93}"/>
    <cellStyle name="40% - Accent6 2 4 3" xfId="1624" xr:uid="{00000000-0005-0000-0000-000058060000}"/>
    <cellStyle name="40% - Accent6 2 4 3 2" xfId="1625" xr:uid="{00000000-0005-0000-0000-000059060000}"/>
    <cellStyle name="40% - Accent6 2 4 3 2 2" xfId="32603" xr:uid="{245F09CD-38A5-466C-BBAE-BCCAAEB07430}"/>
    <cellStyle name="40% - Accent6 2 4 3 3" xfId="32602" xr:uid="{0E13E3EB-BD36-4A0D-97F5-DE70E8BD4BA0}"/>
    <cellStyle name="40% - Accent6 2 4 4" xfId="1626" xr:uid="{00000000-0005-0000-0000-00005A060000}"/>
    <cellStyle name="40% - Accent6 2 4 4 2" xfId="32604" xr:uid="{C8C1D231-E3DE-4305-8900-7F50E9C66BCE}"/>
    <cellStyle name="40% - Accent6 2 4 5" xfId="32597" xr:uid="{5B81F92E-0D08-4D63-A788-197A9AB3AD92}"/>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2 2 2" xfId="32608" xr:uid="{9092D96A-00A8-490E-AF8D-B72FCA0E39F3}"/>
    <cellStyle name="40% - Accent6 2 5 2 2 3" xfId="32607" xr:uid="{C667834D-E86A-40CF-9B20-3B3FA6E206C5}"/>
    <cellStyle name="40% - Accent6 2 5 2 3" xfId="1631" xr:uid="{00000000-0005-0000-0000-00005F060000}"/>
    <cellStyle name="40% - Accent6 2 5 2 3 2" xfId="32609" xr:uid="{211BBF80-5996-422F-9443-FE59FF6A2219}"/>
    <cellStyle name="40% - Accent6 2 5 2 4" xfId="32606" xr:uid="{7AB90CF3-F285-4350-83AE-BD741D69948E}"/>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2 2 2" xfId="32613" xr:uid="{4D698FDD-F138-4370-B7CD-E4492747A341}"/>
    <cellStyle name="40% - Accent6 2 5 3 2 2 3" xfId="32612" xr:uid="{62ADAF3D-D0A4-4E8B-B0EC-33122A5960AE}"/>
    <cellStyle name="40% - Accent6 2 5 3 2 3" xfId="1636" xr:uid="{00000000-0005-0000-0000-000064060000}"/>
    <cellStyle name="40% - Accent6 2 5 3 2 3 2" xfId="32614" xr:uid="{84070B11-F756-48B3-BEB7-D71497EEF188}"/>
    <cellStyle name="40% - Accent6 2 5 3 2 4" xfId="32611" xr:uid="{604E5AFF-5D48-4EBF-893A-2BA996EAB944}"/>
    <cellStyle name="40% - Accent6 2 5 3 3" xfId="1637" xr:uid="{00000000-0005-0000-0000-000065060000}"/>
    <cellStyle name="40% - Accent6 2 5 3 3 2" xfId="1638" xr:uid="{00000000-0005-0000-0000-000066060000}"/>
    <cellStyle name="40% - Accent6 2 5 3 3 2 2" xfId="32616" xr:uid="{B740106B-BB9C-4713-91C2-AFF03B58A5EB}"/>
    <cellStyle name="40% - Accent6 2 5 3 3 3" xfId="32615" xr:uid="{9918B082-4080-4EC9-AA59-EE826A7618DC}"/>
    <cellStyle name="40% - Accent6 2 5 3 4" xfId="1639" xr:uid="{00000000-0005-0000-0000-000067060000}"/>
    <cellStyle name="40% - Accent6 2 5 3 4 2" xfId="32617" xr:uid="{0EFB394B-A3A8-4A0A-8F5D-9A3F1CD76D8D}"/>
    <cellStyle name="40% - Accent6 2 5 3 5" xfId="32610" xr:uid="{1EB6A2F3-8B15-4258-87E5-3497BFC68C0A}"/>
    <cellStyle name="40% - Accent6 2 5 4" xfId="1640" xr:uid="{00000000-0005-0000-0000-000068060000}"/>
    <cellStyle name="40% - Accent6 2 5 4 2" xfId="1641" xr:uid="{00000000-0005-0000-0000-000069060000}"/>
    <cellStyle name="40% - Accent6 2 5 4 2 2" xfId="32619" xr:uid="{EC647392-97CC-4939-AD9C-A3F629E3224D}"/>
    <cellStyle name="40% - Accent6 2 5 4 3" xfId="32618" xr:uid="{E821F354-7967-4116-B7AE-CD3399C7C95E}"/>
    <cellStyle name="40% - Accent6 2 5 5" xfId="1642" xr:uid="{00000000-0005-0000-0000-00006A060000}"/>
    <cellStyle name="40% - Accent6 2 5 5 2" xfId="32620" xr:uid="{7B2485BD-0EA1-4264-B290-72B272BA2B13}"/>
    <cellStyle name="40% - Accent6 2 5 6" xfId="32605" xr:uid="{821330AD-AE19-41A1-AA93-FE5DAEBA8C8B}"/>
    <cellStyle name="40% - Accent6 2 6" xfId="1643" xr:uid="{00000000-0005-0000-0000-00006B060000}"/>
    <cellStyle name="40% - Accent6 2 6 2" xfId="1644" xr:uid="{00000000-0005-0000-0000-00006C060000}"/>
    <cellStyle name="40% - Accent6 2 6 2 2" xfId="1645" xr:uid="{00000000-0005-0000-0000-00006D060000}"/>
    <cellStyle name="40% - Accent6 2 6 2 2 2" xfId="32623" xr:uid="{C73D88CD-E3C6-4988-B33B-051333350A40}"/>
    <cellStyle name="40% - Accent6 2 6 2 3" xfId="32622" xr:uid="{B184C719-2812-4AC8-96FE-3CC0BB86367C}"/>
    <cellStyle name="40% - Accent6 2 6 3" xfId="1646" xr:uid="{00000000-0005-0000-0000-00006E060000}"/>
    <cellStyle name="40% - Accent6 2 6 3 2" xfId="32624" xr:uid="{D4B1D2EA-3B5E-4CB1-860F-3C5CF3E4AEB3}"/>
    <cellStyle name="40% - Accent6 2 6 4" xfId="32621" xr:uid="{66816DF7-5A87-42A6-A359-6BB31F11720B}"/>
    <cellStyle name="40% - Accent6 2 7" xfId="1647" xr:uid="{00000000-0005-0000-0000-00006F060000}"/>
    <cellStyle name="40% - Accent6 2 7 2" xfId="1648" xr:uid="{00000000-0005-0000-0000-000070060000}"/>
    <cellStyle name="40% - Accent6 2 7 2 2" xfId="1649" xr:uid="{00000000-0005-0000-0000-000071060000}"/>
    <cellStyle name="40% - Accent6 2 7 2 2 2" xfId="32627" xr:uid="{B2FA9554-EE17-4550-81E5-EAAB50FD0F42}"/>
    <cellStyle name="40% - Accent6 2 7 2 3" xfId="32626" xr:uid="{66CF92DD-7952-45B7-978D-5C04895C5CDE}"/>
    <cellStyle name="40% - Accent6 2 7 3" xfId="1650" xr:uid="{00000000-0005-0000-0000-000072060000}"/>
    <cellStyle name="40% - Accent6 2 7 3 2" xfId="32628" xr:uid="{4D38F4C6-75F4-435D-BEC5-CD95B7766B70}"/>
    <cellStyle name="40% - Accent6 2 7 4" xfId="32625" xr:uid="{A6B141D1-9477-43DA-B248-B277BF26D2A2}"/>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2 2 2" xfId="32632" xr:uid="{A86ABF72-97F9-40E3-9665-B479C786F1CA}"/>
    <cellStyle name="40% - Accent6 2 8 2 2 3" xfId="32631" xr:uid="{9B00267C-6E84-426F-A9BD-C455211912C9}"/>
    <cellStyle name="40% - Accent6 2 8 2 3" xfId="1655" xr:uid="{00000000-0005-0000-0000-000077060000}"/>
    <cellStyle name="40% - Accent6 2 8 2 3 2" xfId="32633" xr:uid="{219B0423-41A4-45D6-BE0F-68F459CC672B}"/>
    <cellStyle name="40% - Accent6 2 8 2 4" xfId="32630" xr:uid="{A5243D40-795A-4275-9625-108AE757125D}"/>
    <cellStyle name="40% - Accent6 2 8 3" xfId="1656" xr:uid="{00000000-0005-0000-0000-000078060000}"/>
    <cellStyle name="40% - Accent6 2 8 3 2" xfId="1657" xr:uid="{00000000-0005-0000-0000-000079060000}"/>
    <cellStyle name="40% - Accent6 2 8 3 2 2" xfId="32635" xr:uid="{228FE143-55F9-4A9D-A5FB-F21F336F25F3}"/>
    <cellStyle name="40% - Accent6 2 8 3 3" xfId="32634" xr:uid="{CE78D814-9645-4ADB-A6D0-653C7E295AA6}"/>
    <cellStyle name="40% - Accent6 2 8 4" xfId="1658" xr:uid="{00000000-0005-0000-0000-00007A060000}"/>
    <cellStyle name="40% - Accent6 2 8 4 2" xfId="32636" xr:uid="{A63FEE15-6F80-4734-8AC5-C04A1AD6E0E2}"/>
    <cellStyle name="40% - Accent6 2 8 5" xfId="32629" xr:uid="{D029849F-BD52-49C3-8E63-61EAE9F147F4}"/>
    <cellStyle name="40% - Accent6 2 9" xfId="1659" xr:uid="{00000000-0005-0000-0000-00007B060000}"/>
    <cellStyle name="40% - Accent6 2 9 2" xfId="1660" xr:uid="{00000000-0005-0000-0000-00007C060000}"/>
    <cellStyle name="40% - Accent6 2 9 2 2" xfId="32638" xr:uid="{E05DEFD8-8510-40ED-AC4A-A870B7404D2C}"/>
    <cellStyle name="40% - Accent6 2 9 3" xfId="32637" xr:uid="{BE27950B-14F8-478E-8897-EFD4E76DFB26}"/>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2 2 2" xfId="32642" xr:uid="{A0E7DA61-78AF-48A5-A33A-3C0EB2427F2C}"/>
    <cellStyle name="40% - Accent6 3 2 2 3" xfId="32641" xr:uid="{4089593B-713E-4531-A719-92C555401270}"/>
    <cellStyle name="40% - Accent6 3 2 3" xfId="1665" xr:uid="{00000000-0005-0000-0000-000081060000}"/>
    <cellStyle name="40% - Accent6 3 2 3 2" xfId="32643" xr:uid="{E0A456B2-3D7B-4733-8AFD-49DB8E73C6AD}"/>
    <cellStyle name="40% - Accent6 3 2 4" xfId="32640" xr:uid="{08C86B5A-D0BC-4359-92F4-67F2078192CE}"/>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3 6" xfId="32639" xr:uid="{8DE2E24E-D6CC-403C-8C3D-D949809C288B}"/>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4 5" xfId="32644" xr:uid="{8E1C5030-2729-4820-B2DC-5EBF86D4B18C}"/>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2 2 2" xfId="32648" xr:uid="{6A27B738-6141-4BF7-B330-DFB903713377}"/>
    <cellStyle name="40% - Accent6 5 2 2 3" xfId="32647" xr:uid="{F1EA2F00-4A9B-457B-BC66-17604B92B4D8}"/>
    <cellStyle name="40% - Accent6 5 2 3" xfId="1685" xr:uid="{00000000-0005-0000-0000-000095060000}"/>
    <cellStyle name="40% - Accent6 5 2 3 2" xfId="32649" xr:uid="{040720DE-75C2-442C-B7A8-04EC8D1C72F2}"/>
    <cellStyle name="40% - Accent6 5 2 4" xfId="32646" xr:uid="{9DCA9118-5F49-4795-A608-78D70C68B787}"/>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2 2 2" xfId="32653" xr:uid="{55FEE851-D7D5-43EF-9CA4-0A235A7B41C6}"/>
    <cellStyle name="40% - Accent6 5 3 2 2 3" xfId="32652" xr:uid="{AB92A21E-DE54-4430-8048-26149A0A1524}"/>
    <cellStyle name="40% - Accent6 5 3 2 3" xfId="1690" xr:uid="{00000000-0005-0000-0000-00009A060000}"/>
    <cellStyle name="40% - Accent6 5 3 2 3 2" xfId="32654" xr:uid="{E024965D-6370-4546-9329-151BDB61166A}"/>
    <cellStyle name="40% - Accent6 5 3 2 4" xfId="32651" xr:uid="{873157DA-7227-4C50-A0F8-0BF611D52C65}"/>
    <cellStyle name="40% - Accent6 5 3 3" xfId="1691" xr:uid="{00000000-0005-0000-0000-00009B060000}"/>
    <cellStyle name="40% - Accent6 5 3 3 2" xfId="1692" xr:uid="{00000000-0005-0000-0000-00009C060000}"/>
    <cellStyle name="40% - Accent6 5 3 3 2 2" xfId="32656" xr:uid="{4C1F8F98-EFCB-4F74-A10B-4A1DD7C82D84}"/>
    <cellStyle name="40% - Accent6 5 3 3 3" xfId="32655" xr:uid="{DEFA5356-126C-4735-B0F5-D71398CDCE5F}"/>
    <cellStyle name="40% - Accent6 5 3 4" xfId="1693" xr:uid="{00000000-0005-0000-0000-00009D060000}"/>
    <cellStyle name="40% - Accent6 5 3 4 2" xfId="32657" xr:uid="{8F07C749-5EC5-4E74-8124-65BB907DA4C7}"/>
    <cellStyle name="40% - Accent6 5 3 5" xfId="32650" xr:uid="{7D3657AF-A3D3-4A57-9A6B-69D2528B287A}"/>
    <cellStyle name="40% - Accent6 5 4" xfId="1694" xr:uid="{00000000-0005-0000-0000-00009E060000}"/>
    <cellStyle name="40% - Accent6 5 4 2" xfId="1695" xr:uid="{00000000-0005-0000-0000-00009F060000}"/>
    <cellStyle name="40% - Accent6 5 4 2 2" xfId="32659" xr:uid="{3F660356-CCCA-4061-8132-B2B3772564A0}"/>
    <cellStyle name="40% - Accent6 5 4 3" xfId="32658" xr:uid="{C651ADF3-F72F-4DF5-A4AD-F82E15CB3EDC}"/>
    <cellStyle name="40% - Accent6 5 5" xfId="1696" xr:uid="{00000000-0005-0000-0000-0000A0060000}"/>
    <cellStyle name="40% - Accent6 5 5 2" xfId="32660" xr:uid="{F114E998-9849-425A-8080-2CB864B6439B}"/>
    <cellStyle name="40% - Accent6 5 6" xfId="32645" xr:uid="{66A8EAA5-559C-451D-A1BA-8F38A69F632B}"/>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2 2 2" xfId="32664" xr:uid="{3E9580E4-0AAE-462B-BF66-02D5CCA5C842}"/>
    <cellStyle name="40% - Accent6 6 2 2 3" xfId="32663" xr:uid="{E7F98F13-DF4E-4A68-A2CF-39CEE5BCAF30}"/>
    <cellStyle name="40% - Accent6 6 2 3" xfId="1701" xr:uid="{00000000-0005-0000-0000-0000A5060000}"/>
    <cellStyle name="40% - Accent6 6 2 3 2" xfId="32665" xr:uid="{BF174B97-EFC7-45E0-901B-56AC54AA3E3E}"/>
    <cellStyle name="40% - Accent6 6 2 4" xfId="32662" xr:uid="{DE69A205-FF1D-40A2-B229-B29A884CC410}"/>
    <cellStyle name="40% - Accent6 6 3" xfId="1702" xr:uid="{00000000-0005-0000-0000-0000A6060000}"/>
    <cellStyle name="40% - Accent6 6 3 2" xfId="1703" xr:uid="{00000000-0005-0000-0000-0000A7060000}"/>
    <cellStyle name="40% - Accent6 6 3 2 2" xfId="32667" xr:uid="{E2669841-ABD2-4326-B5B6-A9D0A836FF4B}"/>
    <cellStyle name="40% - Accent6 6 3 3" xfId="32666" xr:uid="{8BDF8F3C-0DF0-4A04-9CF5-88C8FE4AB774}"/>
    <cellStyle name="40% - Accent6 6 4" xfId="1704" xr:uid="{00000000-0005-0000-0000-0000A8060000}"/>
    <cellStyle name="40% - Accent6 6 4 2" xfId="32668" xr:uid="{65157ADB-4317-4749-84FD-031D8D5E7BBA}"/>
    <cellStyle name="40% - Accent6 6 5" xfId="32661" xr:uid="{74D7821E-B5A3-44B9-B252-F9F544A7D4EC}"/>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2 2 2" xfId="32671" xr:uid="{114B9814-2E42-45A8-8434-8DBF40B1A12F}"/>
    <cellStyle name="60% - Accent1 2 3 2 3" xfId="32670" xr:uid="{AD554D08-0622-4463-B382-AAF850E61888}"/>
    <cellStyle name="60% - Accent1 2 3 3" xfId="1720" xr:uid="{00000000-0005-0000-0000-0000B8060000}"/>
    <cellStyle name="60% - Accent1 2 3 3 2" xfId="1721" xr:uid="{00000000-0005-0000-0000-0000B9060000}"/>
    <cellStyle name="60% - Accent1 2 3 3 2 2" xfId="1722" xr:uid="{00000000-0005-0000-0000-0000BA060000}"/>
    <cellStyle name="60% - Accent1 2 3 3 2 2 2" xfId="32674" xr:uid="{4520CF8D-4629-4B25-9B55-23F80B91FA63}"/>
    <cellStyle name="60% - Accent1 2 3 3 2 3" xfId="32673" xr:uid="{E1B1DB69-37BA-43A3-9845-D8B6A456ED65}"/>
    <cellStyle name="60% - Accent1 2 3 3 3" xfId="1723" xr:uid="{00000000-0005-0000-0000-0000BB060000}"/>
    <cellStyle name="60% - Accent1 2 3 3 3 2" xfId="32675" xr:uid="{D43E2590-F8B9-4478-80CD-8E30FC68DCF9}"/>
    <cellStyle name="60% - Accent1 2 3 3 4" xfId="32672" xr:uid="{2C8CB866-134C-47BC-B823-A5E657AB9DCA}"/>
    <cellStyle name="60% - Accent1 2 3 4" xfId="1724" xr:uid="{00000000-0005-0000-0000-0000BC060000}"/>
    <cellStyle name="60% - Accent1 2 3 4 2" xfId="32676" xr:uid="{DD1AB98C-D98C-4786-BADA-943E8CAC2DD0}"/>
    <cellStyle name="60% - Accent1 2 3 5" xfId="32669" xr:uid="{6E5A12F7-290C-4033-A82A-D87BE15326C2}"/>
    <cellStyle name="60% - Accent1 2 4" xfId="1725" xr:uid="{00000000-0005-0000-0000-0000BD060000}"/>
    <cellStyle name="60% - Accent1 2 4 2" xfId="1726" xr:uid="{00000000-0005-0000-0000-0000BE060000}"/>
    <cellStyle name="60% - Accent1 2 4 2 2" xfId="1727" xr:uid="{00000000-0005-0000-0000-0000BF060000}"/>
    <cellStyle name="60% - Accent1 2 4 2 2 2" xfId="32679" xr:uid="{BB8560C4-65FA-4524-B302-AFC31C54F61D}"/>
    <cellStyle name="60% - Accent1 2 4 2 3" xfId="32678" xr:uid="{61338133-A14D-4840-9356-12E5A2EEFA56}"/>
    <cellStyle name="60% - Accent1 2 4 3" xfId="1728" xr:uid="{00000000-0005-0000-0000-0000C0060000}"/>
    <cellStyle name="60% - Accent1 2 4 3 2" xfId="32680" xr:uid="{3BA38C0A-4627-48C3-9E57-EDEB295A6015}"/>
    <cellStyle name="60% - Accent1 2 4 4" xfId="32677" xr:uid="{7F4E8187-5DB3-450E-AFAD-3F2C5121C2C0}"/>
    <cellStyle name="60% - Accent1 2 5" xfId="1729" xr:uid="{00000000-0005-0000-0000-0000C1060000}"/>
    <cellStyle name="60% - Accent1 2 5 2" xfId="1730" xr:uid="{00000000-0005-0000-0000-0000C2060000}"/>
    <cellStyle name="60% - Accent1 2 5 2 2" xfId="1731" xr:uid="{00000000-0005-0000-0000-0000C3060000}"/>
    <cellStyle name="60% - Accent1 2 5 2 2 2" xfId="32683" xr:uid="{6FFA4682-A42B-4F5F-A82C-5BE95132938F}"/>
    <cellStyle name="60% - Accent1 2 5 2 3" xfId="32682" xr:uid="{1EA325D1-8475-457F-9C14-5A3D0B76C282}"/>
    <cellStyle name="60% - Accent1 2 5 3" xfId="1732" xr:uid="{00000000-0005-0000-0000-0000C4060000}"/>
    <cellStyle name="60% - Accent1 2 5 3 2" xfId="1733" xr:uid="{00000000-0005-0000-0000-0000C5060000}"/>
    <cellStyle name="60% - Accent1 2 5 3 2 2" xfId="1734" xr:uid="{00000000-0005-0000-0000-0000C6060000}"/>
    <cellStyle name="60% - Accent1 2 5 3 2 2 2" xfId="32686" xr:uid="{C426EA07-92B4-4740-BD7F-1310EF07AB4B}"/>
    <cellStyle name="60% - Accent1 2 5 3 2 3" xfId="32685" xr:uid="{38DE786F-1EDC-4D3C-BA1A-ECA9DDC98C60}"/>
    <cellStyle name="60% - Accent1 2 5 3 3" xfId="1735" xr:uid="{00000000-0005-0000-0000-0000C7060000}"/>
    <cellStyle name="60% - Accent1 2 5 3 3 2" xfId="32687" xr:uid="{1118CF92-DD44-4C8E-8E8E-018776180735}"/>
    <cellStyle name="60% - Accent1 2 5 3 4" xfId="32684" xr:uid="{3E176A1D-9A4D-483F-853E-D7177E2E3829}"/>
    <cellStyle name="60% - Accent1 2 5 4" xfId="1736" xr:uid="{00000000-0005-0000-0000-0000C8060000}"/>
    <cellStyle name="60% - Accent1 2 5 4 2" xfId="32688" xr:uid="{4B7FEBB5-14F5-4D93-8461-B57142A2D235}"/>
    <cellStyle name="60% - Accent1 2 5 5" xfId="32681" xr:uid="{B8A544BA-D3F6-4EF2-8ED6-2CA69D4F6900}"/>
    <cellStyle name="60% - Accent1 2 6" xfId="1737" xr:uid="{00000000-0005-0000-0000-0000C9060000}"/>
    <cellStyle name="60% - Accent1 2 6 2" xfId="1738" xr:uid="{00000000-0005-0000-0000-0000CA060000}"/>
    <cellStyle name="60% - Accent1 2 6 2 2" xfId="32690" xr:uid="{B0961923-FB3B-4320-88AC-3C1A18D1F3A5}"/>
    <cellStyle name="60% - Accent1 2 6 3" xfId="32689" xr:uid="{91DB18A5-A6AB-41B5-9A77-2777519AF4F4}"/>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2 9 3 2" xfId="32692" xr:uid="{7E38744A-E33E-4709-BB4B-5B22A059B973}"/>
    <cellStyle name="60% - Accent1 2 9 4" xfId="32691" xr:uid="{7C6747AD-D426-4D34-B650-2A973A83A878}"/>
    <cellStyle name="60% - Accent1 3" xfId="1749" xr:uid="{00000000-0005-0000-0000-0000D5060000}"/>
    <cellStyle name="60% - Accent1 3 2" xfId="1750" xr:uid="{00000000-0005-0000-0000-0000D6060000}"/>
    <cellStyle name="60% - Accent1 3 2 2" xfId="1751" xr:uid="{00000000-0005-0000-0000-0000D7060000}"/>
    <cellStyle name="60% - Accent1 3 2 2 2" xfId="32694" xr:uid="{1CF1CC40-4FD9-41A5-8141-84261C6547C3}"/>
    <cellStyle name="60% - Accent1 3 2 3" xfId="32693" xr:uid="{8536C0A8-F656-4DB2-AA20-88E66A8CAA5F}"/>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2 2 2" xfId="32697" xr:uid="{259D4422-A7EB-411B-BA4E-C739B7EF4054}"/>
    <cellStyle name="60% - Accent1 6 2 3" xfId="32696" xr:uid="{71CEF4E4-2034-4A03-B087-FA49E2C706D5}"/>
    <cellStyle name="60% - Accent1 6 3" xfId="1778" xr:uid="{00000000-0005-0000-0000-0000F2060000}"/>
    <cellStyle name="60% - Accent1 6 3 2" xfId="32698" xr:uid="{2552C5B5-719E-4220-81FB-C8AB25075438}"/>
    <cellStyle name="60% - Accent1 6 4" xfId="32695" xr:uid="{571D3B8E-6CEF-4F70-8331-2C83D5150E4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10 2" xfId="32700" xr:uid="{46240ABC-1B22-4146-932E-B23DE0D27B6E}"/>
    <cellStyle name="60% - Accent3 2 11" xfId="32699" xr:uid="{CAF448D9-4C06-43B8-8281-3E3A23E29D44}"/>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2 2 2" xfId="32703" xr:uid="{BCF8744F-19DF-4971-B6E1-D3DB09499906}"/>
    <cellStyle name="60% - Accent3 2 3 2 3" xfId="32702" xr:uid="{38FD3F24-9E3C-4E38-9366-B1A3476C5268}"/>
    <cellStyle name="60% - Accent3 2 3 3" xfId="1868" xr:uid="{00000000-0005-0000-0000-00004C070000}"/>
    <cellStyle name="60% - Accent3 2 3 3 2" xfId="1869" xr:uid="{00000000-0005-0000-0000-00004D070000}"/>
    <cellStyle name="60% - Accent3 2 3 3 2 2" xfId="1870" xr:uid="{00000000-0005-0000-0000-00004E070000}"/>
    <cellStyle name="60% - Accent3 2 3 3 2 2 2" xfId="32706" xr:uid="{576198E5-B67D-4731-A6E8-770C39B88784}"/>
    <cellStyle name="60% - Accent3 2 3 3 2 3" xfId="32705" xr:uid="{E5915870-59DD-40D8-98B2-DAA701F5BBFA}"/>
    <cellStyle name="60% - Accent3 2 3 3 3" xfId="1871" xr:uid="{00000000-0005-0000-0000-00004F070000}"/>
    <cellStyle name="60% - Accent3 2 3 3 3 2" xfId="32707" xr:uid="{256B6BDE-43C5-4F25-A79D-88065C18DA10}"/>
    <cellStyle name="60% - Accent3 2 3 3 4" xfId="32704" xr:uid="{ADD5A659-E135-4105-87AE-8B5F276D2E0F}"/>
    <cellStyle name="60% - Accent3 2 3 4" xfId="1872" xr:uid="{00000000-0005-0000-0000-000050070000}"/>
    <cellStyle name="60% - Accent3 2 3 4 2" xfId="32708" xr:uid="{BB62F7B5-0E5C-4E37-BA47-9C43B56B538E}"/>
    <cellStyle name="60% - Accent3 2 3 5" xfId="32701" xr:uid="{5A0CC0C6-D247-44DC-9168-CD83B1910AD8}"/>
    <cellStyle name="60% - Accent3 2 4" xfId="1873" xr:uid="{00000000-0005-0000-0000-000051070000}"/>
    <cellStyle name="60% - Accent3 2 4 2" xfId="1874" xr:uid="{00000000-0005-0000-0000-000052070000}"/>
    <cellStyle name="60% - Accent3 2 4 2 2" xfId="1875" xr:uid="{00000000-0005-0000-0000-000053070000}"/>
    <cellStyle name="60% - Accent3 2 4 2 2 2" xfId="32711" xr:uid="{E85C04AB-67BC-49C7-8FAD-D0E2A7844BB9}"/>
    <cellStyle name="60% - Accent3 2 4 2 3" xfId="32710" xr:uid="{6DF4F5F1-7306-4E2A-ACE3-796C8638CD1F}"/>
    <cellStyle name="60% - Accent3 2 4 3" xfId="1876" xr:uid="{00000000-0005-0000-0000-000054070000}"/>
    <cellStyle name="60% - Accent3 2 4 3 2" xfId="32712" xr:uid="{9CD6EBEC-C48A-46B9-8241-D820724BBC2B}"/>
    <cellStyle name="60% - Accent3 2 4 4" xfId="32709" xr:uid="{ED994758-2062-45E5-AF7D-C3BEB825587A}"/>
    <cellStyle name="60% - Accent3 2 5" xfId="1877" xr:uid="{00000000-0005-0000-0000-000055070000}"/>
    <cellStyle name="60% - Accent3 2 5 2" xfId="1878" xr:uid="{00000000-0005-0000-0000-000056070000}"/>
    <cellStyle name="60% - Accent3 2 5 2 2" xfId="1879" xr:uid="{00000000-0005-0000-0000-000057070000}"/>
    <cellStyle name="60% - Accent3 2 5 2 2 2" xfId="32715" xr:uid="{8B7606A2-A5D2-4DCA-8750-F5C0A16006A2}"/>
    <cellStyle name="60% - Accent3 2 5 2 3" xfId="32714" xr:uid="{068089B9-A850-4C47-923E-5E303F6D0C82}"/>
    <cellStyle name="60% - Accent3 2 5 3" xfId="1880" xr:uid="{00000000-0005-0000-0000-000058070000}"/>
    <cellStyle name="60% - Accent3 2 5 3 2" xfId="1881" xr:uid="{00000000-0005-0000-0000-000059070000}"/>
    <cellStyle name="60% - Accent3 2 5 3 2 2" xfId="1882" xr:uid="{00000000-0005-0000-0000-00005A070000}"/>
    <cellStyle name="60% - Accent3 2 5 3 2 2 2" xfId="32718" xr:uid="{3C92D0C6-FF6E-4E69-B3F5-934798D9F556}"/>
    <cellStyle name="60% - Accent3 2 5 3 2 3" xfId="32717" xr:uid="{1437DF78-643E-4CFC-B9C2-8D29F5C2BBC8}"/>
    <cellStyle name="60% - Accent3 2 5 3 3" xfId="1883" xr:uid="{00000000-0005-0000-0000-00005B070000}"/>
    <cellStyle name="60% - Accent3 2 5 3 3 2" xfId="32719" xr:uid="{65BC05BF-A38A-41A6-8AC9-1F68B13DD4A0}"/>
    <cellStyle name="60% - Accent3 2 5 3 4" xfId="32716" xr:uid="{7DCC6133-3954-4468-AEFC-CF665BF6EF82}"/>
    <cellStyle name="60% - Accent3 2 5 4" xfId="1884" xr:uid="{00000000-0005-0000-0000-00005C070000}"/>
    <cellStyle name="60% - Accent3 2 5 4 2" xfId="32720" xr:uid="{665D760C-7E31-4177-B018-E471616BB37A}"/>
    <cellStyle name="60% - Accent3 2 5 5" xfId="32713" xr:uid="{72CD081A-4E53-4CBB-88BE-C28852E6DF75}"/>
    <cellStyle name="60% - Accent3 2 6" xfId="1885" xr:uid="{00000000-0005-0000-0000-00005D070000}"/>
    <cellStyle name="60% - Accent3 2 6 2" xfId="1886" xr:uid="{00000000-0005-0000-0000-00005E070000}"/>
    <cellStyle name="60% - Accent3 2 6 2 2" xfId="32722" xr:uid="{0EB045EA-C008-41CE-B6E1-4CD48E57CE39}"/>
    <cellStyle name="60% - Accent3 2 6 3" xfId="32721" xr:uid="{92849FFE-EE6C-4E57-B5C6-7A34819F1787}"/>
    <cellStyle name="60% - Accent3 2 7" xfId="1887" xr:uid="{00000000-0005-0000-0000-00005F070000}"/>
    <cellStyle name="60% - Accent3 2 7 2" xfId="1888" xr:uid="{00000000-0005-0000-0000-000060070000}"/>
    <cellStyle name="60% - Accent3 2 7 2 2" xfId="32724" xr:uid="{38DCBAA7-75B8-4A9F-8767-8E1C0BC522D8}"/>
    <cellStyle name="60% - Accent3 2 7 3" xfId="32723" xr:uid="{CA2686D8-E14E-46B6-A1DB-55752161FE9A}"/>
    <cellStyle name="60% - Accent3 2 8" xfId="1889" xr:uid="{00000000-0005-0000-0000-000061070000}"/>
    <cellStyle name="60% - Accent3 2 8 2" xfId="1890" xr:uid="{00000000-0005-0000-0000-000062070000}"/>
    <cellStyle name="60% - Accent3 2 8 2 2" xfId="1891" xr:uid="{00000000-0005-0000-0000-000063070000}"/>
    <cellStyle name="60% - Accent3 2 8 2 2 2" xfId="32727" xr:uid="{33CF80B7-1C22-4860-90B2-0D3D4293828C}"/>
    <cellStyle name="60% - Accent3 2 8 2 3" xfId="32726" xr:uid="{BE107726-B047-4977-AA25-6C45BEE99201}"/>
    <cellStyle name="60% - Accent3 2 8 3" xfId="1892" xr:uid="{00000000-0005-0000-0000-000064070000}"/>
    <cellStyle name="60% - Accent3 2 8 3 2" xfId="32728" xr:uid="{E609A33E-8642-4E9F-A2C8-595795B3E470}"/>
    <cellStyle name="60% - Accent3 2 8 4" xfId="32725" xr:uid="{2C837E6C-CADC-4FF0-A9EC-0AD972D859F6}"/>
    <cellStyle name="60% - Accent3 2 9" xfId="1893" xr:uid="{00000000-0005-0000-0000-000065070000}"/>
    <cellStyle name="60% - Accent3 2 9 2" xfId="1894" xr:uid="{00000000-0005-0000-0000-000066070000}"/>
    <cellStyle name="60% - Accent3 2 9 2 2" xfId="1895" xr:uid="{00000000-0005-0000-0000-000067070000}"/>
    <cellStyle name="60% - Accent3 2 9 2 2 2" xfId="32731" xr:uid="{48E21B35-972C-4599-BDE4-6D0DB6CC54AA}"/>
    <cellStyle name="60% - Accent3 2 9 2 3" xfId="32730" xr:uid="{761BA4AC-2A8A-4B38-BEC6-1D3F2B2AEE24}"/>
    <cellStyle name="60% - Accent3 2 9 3" xfId="1896" xr:uid="{00000000-0005-0000-0000-000068070000}"/>
    <cellStyle name="60% - Accent3 2 9 3 2" xfId="32732" xr:uid="{BEC04B88-047D-445D-9628-4BC46D10FE9B}"/>
    <cellStyle name="60% - Accent3 2 9 4" xfId="32729" xr:uid="{33C6B690-6DC5-4679-B306-5D998A1C67C8}"/>
    <cellStyle name="60% - Accent3 3" xfId="1897" xr:uid="{00000000-0005-0000-0000-000069070000}"/>
    <cellStyle name="60% - Accent3 3 2" xfId="1898" xr:uid="{00000000-0005-0000-0000-00006A070000}"/>
    <cellStyle name="60% - Accent3 3 2 2" xfId="1899" xr:uid="{00000000-0005-0000-0000-00006B070000}"/>
    <cellStyle name="60% - Accent3 3 2 2 2" xfId="32735" xr:uid="{9175CD50-C8B2-4ED2-9994-349626DD29E0}"/>
    <cellStyle name="60% - Accent3 3 2 3" xfId="32734" xr:uid="{2F55673E-EC07-4A50-B48E-5E79CBB4C0F8}"/>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3 6" xfId="32733" xr:uid="{FEF96345-FB97-48D1-9560-ED1E3E25893A}"/>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4 5" xfId="32736" xr:uid="{B5728760-A5EE-4507-9D82-F0BC529A66EF}"/>
    <cellStyle name="60% - Accent3 5" xfId="1915" xr:uid="{00000000-0005-0000-0000-00007B070000}"/>
    <cellStyle name="60% - Accent3 5 2" xfId="1916" xr:uid="{00000000-0005-0000-0000-00007C070000}"/>
    <cellStyle name="60% - Accent3 5 2 2" xfId="1917" xr:uid="{00000000-0005-0000-0000-00007D070000}"/>
    <cellStyle name="60% - Accent3 5 2 2 2" xfId="32739" xr:uid="{BB21E2DC-94D5-4686-89DA-EF1F0261B067}"/>
    <cellStyle name="60% - Accent3 5 2 3" xfId="32738" xr:uid="{57C847F3-1272-491F-921A-2DBA10080C72}"/>
    <cellStyle name="60% - Accent3 5 3" xfId="1918" xr:uid="{00000000-0005-0000-0000-00007E070000}"/>
    <cellStyle name="60% - Accent3 5 3 2" xfId="1919" xr:uid="{00000000-0005-0000-0000-00007F070000}"/>
    <cellStyle name="60% - Accent3 5 3 2 2" xfId="1920" xr:uid="{00000000-0005-0000-0000-000080070000}"/>
    <cellStyle name="60% - Accent3 5 3 2 2 2" xfId="32742" xr:uid="{AC98AE2C-375F-439C-9FCA-D87DBD21674A}"/>
    <cellStyle name="60% - Accent3 5 3 2 3" xfId="32741" xr:uid="{5DDE0C1D-FC5B-408D-B597-AC0A41506C04}"/>
    <cellStyle name="60% - Accent3 5 3 3" xfId="1921" xr:uid="{00000000-0005-0000-0000-000081070000}"/>
    <cellStyle name="60% - Accent3 5 3 3 2" xfId="32743" xr:uid="{F704FDC9-9D8C-4FC7-89CF-F19326D6BC07}"/>
    <cellStyle name="60% - Accent3 5 3 4" xfId="32740" xr:uid="{179F0123-5269-46B9-9FDA-A9AF751C94BB}"/>
    <cellStyle name="60% - Accent3 5 4" xfId="1922" xr:uid="{00000000-0005-0000-0000-000082070000}"/>
    <cellStyle name="60% - Accent3 5 4 2" xfId="32744" xr:uid="{8CA803C7-A6D0-4FD1-A1DB-86889DC0576A}"/>
    <cellStyle name="60% - Accent3 5 5" xfId="32737" xr:uid="{7059C2B1-EF14-477D-82CB-583138859245}"/>
    <cellStyle name="60% - Accent3 6" xfId="1923" xr:uid="{00000000-0005-0000-0000-000083070000}"/>
    <cellStyle name="60% - Accent3 6 2" xfId="1924" xr:uid="{00000000-0005-0000-0000-000084070000}"/>
    <cellStyle name="60% - Accent3 6 2 2" xfId="1925" xr:uid="{00000000-0005-0000-0000-000085070000}"/>
    <cellStyle name="60% - Accent3 6 2 2 2" xfId="32747" xr:uid="{9EEF3C3B-C791-4106-86D1-4C6750A0E52F}"/>
    <cellStyle name="60% - Accent3 6 2 3" xfId="32746" xr:uid="{4F9D3C78-29AF-454F-BAE6-E72C5D82D053}"/>
    <cellStyle name="60% - Accent3 6 3" xfId="1926" xr:uid="{00000000-0005-0000-0000-000086070000}"/>
    <cellStyle name="60% - Accent3 6 3 2" xfId="32748" xr:uid="{7C5D60E6-EBD6-4426-BC3C-3A03765ADC5D}"/>
    <cellStyle name="60% - Accent3 6 4" xfId="32745" xr:uid="{650FABDD-67E9-4E08-9E86-4A593769C59C}"/>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2 2 2" xfId="32751" xr:uid="{D053DF2A-E3A7-4575-99AB-D42D5F3E174F}"/>
    <cellStyle name="60% - Accent4 2 3 2 3" xfId="32750" xr:uid="{14303CEA-4BEE-44E5-A982-EC54C3F0B247}"/>
    <cellStyle name="60% - Accent4 2 3 3" xfId="1942" xr:uid="{00000000-0005-0000-0000-000096070000}"/>
    <cellStyle name="60% - Accent4 2 3 3 2" xfId="1943" xr:uid="{00000000-0005-0000-0000-000097070000}"/>
    <cellStyle name="60% - Accent4 2 3 3 2 2" xfId="1944" xr:uid="{00000000-0005-0000-0000-000098070000}"/>
    <cellStyle name="60% - Accent4 2 3 3 2 2 2" xfId="32754" xr:uid="{528E89FC-DBF8-4A7F-918D-726C4D9F16B4}"/>
    <cellStyle name="60% - Accent4 2 3 3 2 3" xfId="32753" xr:uid="{128D5A5F-5DC2-477F-9894-F7CD3B106BA5}"/>
    <cellStyle name="60% - Accent4 2 3 3 3" xfId="1945" xr:uid="{00000000-0005-0000-0000-000099070000}"/>
    <cellStyle name="60% - Accent4 2 3 3 3 2" xfId="32755" xr:uid="{22F0C6F8-A276-49E5-9B16-101129CFEBC4}"/>
    <cellStyle name="60% - Accent4 2 3 3 4" xfId="32752" xr:uid="{29E6514E-7463-4F4A-8886-9E6432A39271}"/>
    <cellStyle name="60% - Accent4 2 3 4" xfId="1946" xr:uid="{00000000-0005-0000-0000-00009A070000}"/>
    <cellStyle name="60% - Accent4 2 3 4 2" xfId="32756" xr:uid="{23C0E668-943F-4338-9BA1-1F6AF418F059}"/>
    <cellStyle name="60% - Accent4 2 3 5" xfId="32749" xr:uid="{AFA8272D-71F5-4A48-AA41-998152E784C1}"/>
    <cellStyle name="60% - Accent4 2 4" xfId="1947" xr:uid="{00000000-0005-0000-0000-00009B070000}"/>
    <cellStyle name="60% - Accent4 2 4 2" xfId="1948" xr:uid="{00000000-0005-0000-0000-00009C070000}"/>
    <cellStyle name="60% - Accent4 2 4 2 2" xfId="1949" xr:uid="{00000000-0005-0000-0000-00009D070000}"/>
    <cellStyle name="60% - Accent4 2 4 2 2 2" xfId="32759" xr:uid="{5964037C-2130-4E04-B7F6-BD2BE996F22F}"/>
    <cellStyle name="60% - Accent4 2 4 2 3" xfId="32758" xr:uid="{DE847554-38F8-4266-B112-51D5DEF2E811}"/>
    <cellStyle name="60% - Accent4 2 4 3" xfId="1950" xr:uid="{00000000-0005-0000-0000-00009E070000}"/>
    <cellStyle name="60% - Accent4 2 4 3 2" xfId="32760" xr:uid="{6ECA51EB-F464-4536-BEB2-B2F72BDD0475}"/>
    <cellStyle name="60% - Accent4 2 4 4" xfId="32757" xr:uid="{1639EBF6-B3C4-404E-AE7E-1D92544E1050}"/>
    <cellStyle name="60% - Accent4 2 5" xfId="1951" xr:uid="{00000000-0005-0000-0000-00009F070000}"/>
    <cellStyle name="60% - Accent4 2 5 2" xfId="1952" xr:uid="{00000000-0005-0000-0000-0000A0070000}"/>
    <cellStyle name="60% - Accent4 2 5 2 2" xfId="1953" xr:uid="{00000000-0005-0000-0000-0000A1070000}"/>
    <cellStyle name="60% - Accent4 2 5 2 2 2" xfId="32763" xr:uid="{75426426-2F78-4EC5-9130-F34A67F7FFEF}"/>
    <cellStyle name="60% - Accent4 2 5 2 3" xfId="32762" xr:uid="{D784C2C9-EDE2-463F-A17B-0A4519D3F6F8}"/>
    <cellStyle name="60% - Accent4 2 5 3" xfId="1954" xr:uid="{00000000-0005-0000-0000-0000A2070000}"/>
    <cellStyle name="60% - Accent4 2 5 3 2" xfId="1955" xr:uid="{00000000-0005-0000-0000-0000A3070000}"/>
    <cellStyle name="60% - Accent4 2 5 3 2 2" xfId="1956" xr:uid="{00000000-0005-0000-0000-0000A4070000}"/>
    <cellStyle name="60% - Accent4 2 5 3 2 2 2" xfId="32766" xr:uid="{1B07F947-C097-4B20-9D79-544B75940ED3}"/>
    <cellStyle name="60% - Accent4 2 5 3 2 3" xfId="32765" xr:uid="{437CE388-5E16-4890-AE61-116285057264}"/>
    <cellStyle name="60% - Accent4 2 5 3 3" xfId="1957" xr:uid="{00000000-0005-0000-0000-0000A5070000}"/>
    <cellStyle name="60% - Accent4 2 5 3 3 2" xfId="32767" xr:uid="{964B3E18-FE9B-4662-AA1D-C4D286E6AA92}"/>
    <cellStyle name="60% - Accent4 2 5 3 4" xfId="32764" xr:uid="{1DC72722-88FC-4A94-AAB3-F4D2EF713B36}"/>
    <cellStyle name="60% - Accent4 2 5 4" xfId="1958" xr:uid="{00000000-0005-0000-0000-0000A6070000}"/>
    <cellStyle name="60% - Accent4 2 5 4 2" xfId="32768" xr:uid="{005E226F-FA37-4272-8F0D-FAF89860AE58}"/>
    <cellStyle name="60% - Accent4 2 5 5" xfId="32761" xr:uid="{24218AE0-5C44-473D-810A-9224B2E46349}"/>
    <cellStyle name="60% - Accent4 2 6" xfId="1959" xr:uid="{00000000-0005-0000-0000-0000A7070000}"/>
    <cellStyle name="60% - Accent4 2 6 2" xfId="1960" xr:uid="{00000000-0005-0000-0000-0000A8070000}"/>
    <cellStyle name="60% - Accent4 2 6 2 2" xfId="32770" xr:uid="{172E389B-2832-4EC1-AE82-E5138F4D931D}"/>
    <cellStyle name="60% - Accent4 2 6 3" xfId="32769" xr:uid="{C635F39E-9F1B-4A91-A33B-9F26AA064C03}"/>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2 9 3 2" xfId="32772" xr:uid="{8DEEA574-289D-4E38-9C07-819F2DFC2828}"/>
    <cellStyle name="60% - Accent4 2 9 4" xfId="32771" xr:uid="{49386228-C44E-4987-8185-0B41A12120A1}"/>
    <cellStyle name="60% - Accent4 3" xfId="1971" xr:uid="{00000000-0005-0000-0000-0000B3070000}"/>
    <cellStyle name="60% - Accent4 3 2" xfId="1972" xr:uid="{00000000-0005-0000-0000-0000B4070000}"/>
    <cellStyle name="60% - Accent4 3 2 2" xfId="1973" xr:uid="{00000000-0005-0000-0000-0000B5070000}"/>
    <cellStyle name="60% - Accent4 3 2 2 2" xfId="32774" xr:uid="{EE28BC01-9DAE-4132-BDE5-F0C219FCEAFE}"/>
    <cellStyle name="60% - Accent4 3 2 3" xfId="32773" xr:uid="{4B42453E-FE09-4649-8038-5B3905A0C365}"/>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2 2 2" xfId="32777" xr:uid="{0041DB80-A973-4AA8-B658-E9741FB2CE4E}"/>
    <cellStyle name="60% - Accent4 6 2 3" xfId="32776" xr:uid="{6D0A5064-0FBB-4F85-9EC6-0981CC23CDEB}"/>
    <cellStyle name="60% - Accent4 6 3" xfId="2000" xr:uid="{00000000-0005-0000-0000-0000D0070000}"/>
    <cellStyle name="60% - Accent4 6 3 2" xfId="32778" xr:uid="{51148BEE-08A3-4FD0-8133-10C9006A46A6}"/>
    <cellStyle name="60% - Accent4 6 4" xfId="32775" xr:uid="{183DF806-A2EA-48F5-BA37-4DFE2D13E6D1}"/>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10 2" xfId="32780" xr:uid="{29877F49-289F-48D7-B05F-FD495FF20FAF}"/>
    <cellStyle name="60% - Accent5 2 11" xfId="32779" xr:uid="{8DEE193A-4226-432C-87A5-7C1B930591F6}"/>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2 2 2" xfId="32783" xr:uid="{7033DA1E-96E6-4397-B089-34D8F1B3915F}"/>
    <cellStyle name="60% - Accent5 2 3 2 3" xfId="32782" xr:uid="{48C1D3A8-688D-4669-8ACA-26A344FC5633}"/>
    <cellStyle name="60% - Accent5 2 3 3" xfId="2016" xr:uid="{00000000-0005-0000-0000-0000E0070000}"/>
    <cellStyle name="60% - Accent5 2 3 3 2" xfId="2017" xr:uid="{00000000-0005-0000-0000-0000E1070000}"/>
    <cellStyle name="60% - Accent5 2 3 3 2 2" xfId="2018" xr:uid="{00000000-0005-0000-0000-0000E2070000}"/>
    <cellStyle name="60% - Accent5 2 3 3 2 2 2" xfId="32786" xr:uid="{AB35DB9F-DD9E-4AD5-94B2-1EBE27404EE6}"/>
    <cellStyle name="60% - Accent5 2 3 3 2 3" xfId="32785" xr:uid="{B4ACDB34-9F79-491B-A0F2-32526ACA074D}"/>
    <cellStyle name="60% - Accent5 2 3 3 3" xfId="2019" xr:uid="{00000000-0005-0000-0000-0000E3070000}"/>
    <cellStyle name="60% - Accent5 2 3 3 3 2" xfId="32787" xr:uid="{CD629D57-219F-483C-BFD4-1B3A6BA908B6}"/>
    <cellStyle name="60% - Accent5 2 3 3 4" xfId="32784" xr:uid="{1FF8FFCB-D878-419E-B56B-070B5B8EED76}"/>
    <cellStyle name="60% - Accent5 2 3 4" xfId="2020" xr:uid="{00000000-0005-0000-0000-0000E4070000}"/>
    <cellStyle name="60% - Accent5 2 3 4 2" xfId="32788" xr:uid="{5DDBA555-D44A-4C87-81C1-290B9A369776}"/>
    <cellStyle name="60% - Accent5 2 3 5" xfId="32781" xr:uid="{A8FBD89E-9F75-40AA-884C-093871381A53}"/>
    <cellStyle name="60% - Accent5 2 4" xfId="2021" xr:uid="{00000000-0005-0000-0000-0000E5070000}"/>
    <cellStyle name="60% - Accent5 2 4 2" xfId="2022" xr:uid="{00000000-0005-0000-0000-0000E6070000}"/>
    <cellStyle name="60% - Accent5 2 4 2 2" xfId="2023" xr:uid="{00000000-0005-0000-0000-0000E7070000}"/>
    <cellStyle name="60% - Accent5 2 4 2 2 2" xfId="32791" xr:uid="{F59C685A-FA87-419C-BC41-A54104A562A9}"/>
    <cellStyle name="60% - Accent5 2 4 2 3" xfId="32790" xr:uid="{770940D0-1F69-41A9-A118-4389DEDE4D8E}"/>
    <cellStyle name="60% - Accent5 2 4 3" xfId="2024" xr:uid="{00000000-0005-0000-0000-0000E8070000}"/>
    <cellStyle name="60% - Accent5 2 4 3 2" xfId="32792" xr:uid="{2B747256-841D-4ED6-AA43-BB4A0E21706A}"/>
    <cellStyle name="60% - Accent5 2 4 4" xfId="32789" xr:uid="{9B4AE797-34DB-4A8A-AED3-051BA147F9B0}"/>
    <cellStyle name="60% - Accent5 2 5" xfId="2025" xr:uid="{00000000-0005-0000-0000-0000E9070000}"/>
    <cellStyle name="60% - Accent5 2 5 2" xfId="2026" xr:uid="{00000000-0005-0000-0000-0000EA070000}"/>
    <cellStyle name="60% - Accent5 2 5 2 2" xfId="2027" xr:uid="{00000000-0005-0000-0000-0000EB070000}"/>
    <cellStyle name="60% - Accent5 2 5 2 2 2" xfId="32795" xr:uid="{1D2655EB-7A8C-480A-B9EE-7F6D2F2EEB0A}"/>
    <cellStyle name="60% - Accent5 2 5 2 3" xfId="32794" xr:uid="{38052C72-39CD-43DD-9368-E6CC8F30D6FB}"/>
    <cellStyle name="60% - Accent5 2 5 3" xfId="2028" xr:uid="{00000000-0005-0000-0000-0000EC070000}"/>
    <cellStyle name="60% - Accent5 2 5 3 2" xfId="2029" xr:uid="{00000000-0005-0000-0000-0000ED070000}"/>
    <cellStyle name="60% - Accent5 2 5 3 2 2" xfId="2030" xr:uid="{00000000-0005-0000-0000-0000EE070000}"/>
    <cellStyle name="60% - Accent5 2 5 3 2 2 2" xfId="32798" xr:uid="{731F76EB-7754-4F47-9554-64DA7BEF051F}"/>
    <cellStyle name="60% - Accent5 2 5 3 2 3" xfId="32797" xr:uid="{260A36B5-1617-4DAC-9AB7-BF0E148939C2}"/>
    <cellStyle name="60% - Accent5 2 5 3 3" xfId="2031" xr:uid="{00000000-0005-0000-0000-0000EF070000}"/>
    <cellStyle name="60% - Accent5 2 5 3 3 2" xfId="32799" xr:uid="{2B65F107-E558-4AC6-B894-041D3DB9E159}"/>
    <cellStyle name="60% - Accent5 2 5 3 4" xfId="32796" xr:uid="{2F2570F2-CD4F-4F12-B2D5-141B9EDE3A8B}"/>
    <cellStyle name="60% - Accent5 2 5 4" xfId="2032" xr:uid="{00000000-0005-0000-0000-0000F0070000}"/>
    <cellStyle name="60% - Accent5 2 5 4 2" xfId="32800" xr:uid="{CE083301-53D2-4196-9289-2D2F50CE576E}"/>
    <cellStyle name="60% - Accent5 2 5 5" xfId="32793" xr:uid="{40FAC2C8-7EEB-4375-A287-671C6E11B2A2}"/>
    <cellStyle name="60% - Accent5 2 6" xfId="2033" xr:uid="{00000000-0005-0000-0000-0000F1070000}"/>
    <cellStyle name="60% - Accent5 2 6 2" xfId="2034" xr:uid="{00000000-0005-0000-0000-0000F2070000}"/>
    <cellStyle name="60% - Accent5 2 6 2 2" xfId="32802" xr:uid="{A6C6B814-3FFA-4452-940F-7CF9F24ED56C}"/>
    <cellStyle name="60% - Accent5 2 6 3" xfId="32801" xr:uid="{C6ACC652-50D5-4206-8C57-B892E7D056B9}"/>
    <cellStyle name="60% - Accent5 2 7" xfId="2035" xr:uid="{00000000-0005-0000-0000-0000F3070000}"/>
    <cellStyle name="60% - Accent5 2 7 2" xfId="2036" xr:uid="{00000000-0005-0000-0000-0000F4070000}"/>
    <cellStyle name="60% - Accent5 2 7 2 2" xfId="32804" xr:uid="{BF391076-F240-4723-8F27-8CEB3F0B6197}"/>
    <cellStyle name="60% - Accent5 2 7 3" xfId="32803" xr:uid="{BB4E920A-9A33-4332-8253-97D018019AAF}"/>
    <cellStyle name="60% - Accent5 2 8" xfId="2037" xr:uid="{00000000-0005-0000-0000-0000F5070000}"/>
    <cellStyle name="60% - Accent5 2 8 2" xfId="2038" xr:uid="{00000000-0005-0000-0000-0000F6070000}"/>
    <cellStyle name="60% - Accent5 2 8 2 2" xfId="2039" xr:uid="{00000000-0005-0000-0000-0000F7070000}"/>
    <cellStyle name="60% - Accent5 2 8 2 2 2" xfId="32807" xr:uid="{B366DFF2-A274-4B80-978C-C5E8411E4241}"/>
    <cellStyle name="60% - Accent5 2 8 2 3" xfId="32806" xr:uid="{C96F0A18-0C30-42F2-A6BE-6B363B201E7E}"/>
    <cellStyle name="60% - Accent5 2 8 3" xfId="2040" xr:uid="{00000000-0005-0000-0000-0000F8070000}"/>
    <cellStyle name="60% - Accent5 2 8 3 2" xfId="32808" xr:uid="{F5BEAAEE-F2EF-4DE2-A47A-C756C332D632}"/>
    <cellStyle name="60% - Accent5 2 8 4" xfId="32805" xr:uid="{8A628B47-8389-4CC9-BD70-BE7D615D564E}"/>
    <cellStyle name="60% - Accent5 2 9" xfId="2041" xr:uid="{00000000-0005-0000-0000-0000F9070000}"/>
    <cellStyle name="60% - Accent5 2 9 2" xfId="2042" xr:uid="{00000000-0005-0000-0000-0000FA070000}"/>
    <cellStyle name="60% - Accent5 2 9 2 2" xfId="2043" xr:uid="{00000000-0005-0000-0000-0000FB070000}"/>
    <cellStyle name="60% - Accent5 2 9 2 2 2" xfId="32811" xr:uid="{1DF6CF98-4518-468A-9D79-332AFD234F8D}"/>
    <cellStyle name="60% - Accent5 2 9 2 3" xfId="32810" xr:uid="{C1BE2EAC-04BD-460C-A445-D52469A7D08D}"/>
    <cellStyle name="60% - Accent5 2 9 3" xfId="2044" xr:uid="{00000000-0005-0000-0000-0000FC070000}"/>
    <cellStyle name="60% - Accent5 2 9 3 2" xfId="32812" xr:uid="{F5B596A9-C05D-42C2-855C-C4BEBEDFAC8A}"/>
    <cellStyle name="60% - Accent5 2 9 4" xfId="32809" xr:uid="{7BE515FE-4A8D-4A5C-9C57-5DF01194656B}"/>
    <cellStyle name="60% - Accent5 3" xfId="2045" xr:uid="{00000000-0005-0000-0000-0000FD070000}"/>
    <cellStyle name="60% - Accent5 3 2" xfId="2046" xr:uid="{00000000-0005-0000-0000-0000FE070000}"/>
    <cellStyle name="60% - Accent5 3 2 2" xfId="2047" xr:uid="{00000000-0005-0000-0000-0000FF070000}"/>
    <cellStyle name="60% - Accent5 3 2 2 2" xfId="32815" xr:uid="{94319DD4-A902-4477-A059-9719EF1505BF}"/>
    <cellStyle name="60% - Accent5 3 2 3" xfId="32814" xr:uid="{6C5A0457-6A7E-4288-951A-9342248691C2}"/>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3 6" xfId="32813" xr:uid="{5F778AFF-C568-4E9C-AEF3-09A5682D75FA}"/>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4 5" xfId="32816" xr:uid="{17413E10-FAD5-492C-A9F5-F82647B0558D}"/>
    <cellStyle name="60% - Accent5 5" xfId="2063" xr:uid="{00000000-0005-0000-0000-00000F080000}"/>
    <cellStyle name="60% - Accent5 5 2" xfId="2064" xr:uid="{00000000-0005-0000-0000-000010080000}"/>
    <cellStyle name="60% - Accent5 5 2 2" xfId="2065" xr:uid="{00000000-0005-0000-0000-000011080000}"/>
    <cellStyle name="60% - Accent5 5 2 2 2" xfId="32819" xr:uid="{6A4F0E31-FC78-465A-88C9-C85A364A6756}"/>
    <cellStyle name="60% - Accent5 5 2 3" xfId="32818" xr:uid="{DB8AD7E6-89CA-4F95-8FFA-96FEB0565262}"/>
    <cellStyle name="60% - Accent5 5 3" xfId="2066" xr:uid="{00000000-0005-0000-0000-000012080000}"/>
    <cellStyle name="60% - Accent5 5 3 2" xfId="2067" xr:uid="{00000000-0005-0000-0000-000013080000}"/>
    <cellStyle name="60% - Accent5 5 3 2 2" xfId="2068" xr:uid="{00000000-0005-0000-0000-000014080000}"/>
    <cellStyle name="60% - Accent5 5 3 2 2 2" xfId="32822" xr:uid="{FF876BEB-CD92-42C1-A2F1-AC8D07386DB1}"/>
    <cellStyle name="60% - Accent5 5 3 2 3" xfId="32821" xr:uid="{F33AAADE-7A96-484D-88F7-B9679A264FCA}"/>
    <cellStyle name="60% - Accent5 5 3 3" xfId="2069" xr:uid="{00000000-0005-0000-0000-000015080000}"/>
    <cellStyle name="60% - Accent5 5 3 3 2" xfId="32823" xr:uid="{C48271C5-DC89-4875-8837-27EC135C8F29}"/>
    <cellStyle name="60% - Accent5 5 3 4" xfId="32820" xr:uid="{6020F300-64CF-4DD0-BA1F-2F6BA4A61D7C}"/>
    <cellStyle name="60% - Accent5 5 4" xfId="2070" xr:uid="{00000000-0005-0000-0000-000016080000}"/>
    <cellStyle name="60% - Accent5 5 4 2" xfId="32824" xr:uid="{EDCECB2D-E123-44CB-BC80-7DEA77B4497D}"/>
    <cellStyle name="60% - Accent5 5 5" xfId="32817" xr:uid="{43255265-B9FC-43E4-A7FA-65112EBBB308}"/>
    <cellStyle name="60% - Accent5 6" xfId="2071" xr:uid="{00000000-0005-0000-0000-000017080000}"/>
    <cellStyle name="60% - Accent5 6 2" xfId="2072" xr:uid="{00000000-0005-0000-0000-000018080000}"/>
    <cellStyle name="60% - Accent5 6 2 2" xfId="2073" xr:uid="{00000000-0005-0000-0000-000019080000}"/>
    <cellStyle name="60% - Accent5 6 2 2 2" xfId="32827" xr:uid="{598A8343-E265-4A41-903E-BA0E4AEFA029}"/>
    <cellStyle name="60% - Accent5 6 2 3" xfId="32826" xr:uid="{545FBDA5-C36F-4BD6-8174-709AF84FBFFB}"/>
    <cellStyle name="60% - Accent5 6 3" xfId="2074" xr:uid="{00000000-0005-0000-0000-00001A080000}"/>
    <cellStyle name="60% - Accent5 6 3 2" xfId="32828" xr:uid="{CEC2FC6A-F935-49AD-8912-D7A66BFAB7B9}"/>
    <cellStyle name="60% - Accent5 6 4" xfId="32825" xr:uid="{444CDDB5-A34E-4A9B-9747-D148C25A2FAE}"/>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10 2" xfId="32830" xr:uid="{13493895-1DBB-466A-8198-80407A9D1EE0}"/>
    <cellStyle name="60% - Accent6 2 11" xfId="32829" xr:uid="{DEBDB6B3-5CB7-448D-8C0C-62314BB20A8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2 2 2" xfId="32833" xr:uid="{5922C5FD-3923-4D42-A168-A96A8BF9CE0C}"/>
    <cellStyle name="60% - Accent6 2 3 2 3" xfId="32832" xr:uid="{A53185F6-9D23-46A5-B238-AE7832770AB9}"/>
    <cellStyle name="60% - Accent6 2 3 3" xfId="2090" xr:uid="{00000000-0005-0000-0000-00002A080000}"/>
    <cellStyle name="60% - Accent6 2 3 3 2" xfId="2091" xr:uid="{00000000-0005-0000-0000-00002B080000}"/>
    <cellStyle name="60% - Accent6 2 3 3 2 2" xfId="2092" xr:uid="{00000000-0005-0000-0000-00002C080000}"/>
    <cellStyle name="60% - Accent6 2 3 3 2 2 2" xfId="32836" xr:uid="{8B6AE11A-AE32-4E9E-A2AC-836803C30C08}"/>
    <cellStyle name="60% - Accent6 2 3 3 2 3" xfId="32835" xr:uid="{74AB036B-DA0F-409C-AEFB-B6D74FB45F9B}"/>
    <cellStyle name="60% - Accent6 2 3 3 3" xfId="2093" xr:uid="{00000000-0005-0000-0000-00002D080000}"/>
    <cellStyle name="60% - Accent6 2 3 3 3 2" xfId="32837" xr:uid="{2591FA19-0499-4801-9D9B-DF9D66439CFF}"/>
    <cellStyle name="60% - Accent6 2 3 3 4" xfId="32834" xr:uid="{EACCC746-94B1-4AA2-BC1F-9BC1EBF8B378}"/>
    <cellStyle name="60% - Accent6 2 3 4" xfId="2094" xr:uid="{00000000-0005-0000-0000-00002E080000}"/>
    <cellStyle name="60% - Accent6 2 3 4 2" xfId="32838" xr:uid="{785EF7E0-1A3A-4101-9E60-168935119961}"/>
    <cellStyle name="60% - Accent6 2 3 5" xfId="32831" xr:uid="{5FB3DBE8-3223-42AF-AA82-090E4D8702C4}"/>
    <cellStyle name="60% - Accent6 2 4" xfId="2095" xr:uid="{00000000-0005-0000-0000-00002F080000}"/>
    <cellStyle name="60% - Accent6 2 4 2" xfId="2096" xr:uid="{00000000-0005-0000-0000-000030080000}"/>
    <cellStyle name="60% - Accent6 2 4 2 2" xfId="2097" xr:uid="{00000000-0005-0000-0000-000031080000}"/>
    <cellStyle name="60% - Accent6 2 4 2 2 2" xfId="32841" xr:uid="{73393919-60EC-4C70-BD0A-5DF46B491700}"/>
    <cellStyle name="60% - Accent6 2 4 2 3" xfId="32840" xr:uid="{3E95BD2E-18AD-4DF2-9394-A8665ED0C715}"/>
    <cellStyle name="60% - Accent6 2 4 3" xfId="2098" xr:uid="{00000000-0005-0000-0000-000032080000}"/>
    <cellStyle name="60% - Accent6 2 4 3 2" xfId="32842" xr:uid="{9721A3B1-58E9-4DA0-B401-9363BC58A5D6}"/>
    <cellStyle name="60% - Accent6 2 4 4" xfId="32839" xr:uid="{2B84CC79-C64A-423B-B3A7-57C2F699C226}"/>
    <cellStyle name="60% - Accent6 2 5" xfId="2099" xr:uid="{00000000-0005-0000-0000-000033080000}"/>
    <cellStyle name="60% - Accent6 2 5 2" xfId="2100" xr:uid="{00000000-0005-0000-0000-000034080000}"/>
    <cellStyle name="60% - Accent6 2 5 2 2" xfId="2101" xr:uid="{00000000-0005-0000-0000-000035080000}"/>
    <cellStyle name="60% - Accent6 2 5 2 2 2" xfId="32845" xr:uid="{84DF84FC-DF5D-4638-B4EE-BE88445DEEF4}"/>
    <cellStyle name="60% - Accent6 2 5 2 3" xfId="32844" xr:uid="{DB873243-B307-4B61-BE87-A1BA33C8FB41}"/>
    <cellStyle name="60% - Accent6 2 5 3" xfId="2102" xr:uid="{00000000-0005-0000-0000-000036080000}"/>
    <cellStyle name="60% - Accent6 2 5 3 2" xfId="2103" xr:uid="{00000000-0005-0000-0000-000037080000}"/>
    <cellStyle name="60% - Accent6 2 5 3 2 2" xfId="2104" xr:uid="{00000000-0005-0000-0000-000038080000}"/>
    <cellStyle name="60% - Accent6 2 5 3 2 2 2" xfId="32848" xr:uid="{762D9300-B410-468D-A429-6D4CA93A920F}"/>
    <cellStyle name="60% - Accent6 2 5 3 2 3" xfId="32847" xr:uid="{FFE6D8CD-AFFA-47DF-A48F-46A8A27F313E}"/>
    <cellStyle name="60% - Accent6 2 5 3 3" xfId="2105" xr:uid="{00000000-0005-0000-0000-000039080000}"/>
    <cellStyle name="60% - Accent6 2 5 3 3 2" xfId="32849" xr:uid="{4483068C-A9D2-4954-91FD-C3D933B825EA}"/>
    <cellStyle name="60% - Accent6 2 5 3 4" xfId="32846" xr:uid="{C0990AEF-19F5-4BF5-9F11-A51E5BEAA197}"/>
    <cellStyle name="60% - Accent6 2 5 4" xfId="2106" xr:uid="{00000000-0005-0000-0000-00003A080000}"/>
    <cellStyle name="60% - Accent6 2 5 4 2" xfId="32850" xr:uid="{D3076012-673F-497E-BE7A-42A08B5D14FC}"/>
    <cellStyle name="60% - Accent6 2 5 5" xfId="32843" xr:uid="{E35B91AF-67D2-450F-80A3-2D1F43543E2F}"/>
    <cellStyle name="60% - Accent6 2 6" xfId="2107" xr:uid="{00000000-0005-0000-0000-00003B080000}"/>
    <cellStyle name="60% - Accent6 2 6 2" xfId="2108" xr:uid="{00000000-0005-0000-0000-00003C080000}"/>
    <cellStyle name="60% - Accent6 2 6 2 2" xfId="32852" xr:uid="{7CEF6D52-BBE2-464D-8461-957C17C98FED}"/>
    <cellStyle name="60% - Accent6 2 6 3" xfId="32851" xr:uid="{62F08C4F-507C-469A-8C63-758D596FB5D4}"/>
    <cellStyle name="60% - Accent6 2 7" xfId="2109" xr:uid="{00000000-0005-0000-0000-00003D080000}"/>
    <cellStyle name="60% - Accent6 2 7 2" xfId="2110" xr:uid="{00000000-0005-0000-0000-00003E080000}"/>
    <cellStyle name="60% - Accent6 2 7 2 2" xfId="32854" xr:uid="{B6BA6D67-BD25-413C-85B5-CBBE13650C4D}"/>
    <cellStyle name="60% - Accent6 2 7 3" xfId="32853" xr:uid="{E99993F1-03A9-4CC6-A521-99B669972B75}"/>
    <cellStyle name="60% - Accent6 2 8" xfId="2111" xr:uid="{00000000-0005-0000-0000-00003F080000}"/>
    <cellStyle name="60% - Accent6 2 8 2" xfId="2112" xr:uid="{00000000-0005-0000-0000-000040080000}"/>
    <cellStyle name="60% - Accent6 2 8 2 2" xfId="2113" xr:uid="{00000000-0005-0000-0000-000041080000}"/>
    <cellStyle name="60% - Accent6 2 8 2 2 2" xfId="32857" xr:uid="{0936A930-8EFE-44A0-8B89-6FD92FDCAD58}"/>
    <cellStyle name="60% - Accent6 2 8 2 3" xfId="32856" xr:uid="{65A2E26F-CBE1-4D1A-B829-DB40415B2289}"/>
    <cellStyle name="60% - Accent6 2 8 3" xfId="2114" xr:uid="{00000000-0005-0000-0000-000042080000}"/>
    <cellStyle name="60% - Accent6 2 8 3 2" xfId="32858" xr:uid="{EF59BA57-DE0E-4A39-8AAB-11163558E911}"/>
    <cellStyle name="60% - Accent6 2 8 4" xfId="32855" xr:uid="{04D27028-4432-42FC-AABE-B817DB5F4750}"/>
    <cellStyle name="60% - Accent6 2 9" xfId="2115" xr:uid="{00000000-0005-0000-0000-000043080000}"/>
    <cellStyle name="60% - Accent6 2 9 2" xfId="2116" xr:uid="{00000000-0005-0000-0000-000044080000}"/>
    <cellStyle name="60% - Accent6 2 9 2 2" xfId="2117" xr:uid="{00000000-0005-0000-0000-000045080000}"/>
    <cellStyle name="60% - Accent6 2 9 2 2 2" xfId="32861" xr:uid="{8B3534B2-7962-46C1-8296-5A990BA812B5}"/>
    <cellStyle name="60% - Accent6 2 9 2 3" xfId="32860" xr:uid="{F021B5D2-9A6C-4B6D-A4C1-A3D3B4C64C75}"/>
    <cellStyle name="60% - Accent6 2 9 3" xfId="2118" xr:uid="{00000000-0005-0000-0000-000046080000}"/>
    <cellStyle name="60% - Accent6 2 9 3 2" xfId="32862" xr:uid="{84E6ADB4-821D-4A02-85AB-C8C5A7A2D52B}"/>
    <cellStyle name="60% - Accent6 2 9 4" xfId="32859" xr:uid="{372B1F9C-E22C-4383-BC7D-4CAA4B4A2150}"/>
    <cellStyle name="60% - Accent6 3" xfId="2119" xr:uid="{00000000-0005-0000-0000-000047080000}"/>
    <cellStyle name="60% - Accent6 3 2" xfId="2120" xr:uid="{00000000-0005-0000-0000-000048080000}"/>
    <cellStyle name="60% - Accent6 3 2 2" xfId="2121" xr:uid="{00000000-0005-0000-0000-000049080000}"/>
    <cellStyle name="60% - Accent6 3 2 2 2" xfId="32865" xr:uid="{51481724-78E4-49C3-8644-BCE9DAC90DC3}"/>
    <cellStyle name="60% - Accent6 3 2 3" xfId="32864" xr:uid="{E695B42E-EB2C-4CAD-99FF-CC64CFD48E6B}"/>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3 6" xfId="32863" xr:uid="{5FF6B376-E79F-4A7F-BC55-FCC4257902FC}"/>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4 5" xfId="32866" xr:uid="{5012A51C-8882-4E7C-9D5B-0ADB9ED1EC58}"/>
    <cellStyle name="60% - Accent6 5" xfId="2137" xr:uid="{00000000-0005-0000-0000-000059080000}"/>
    <cellStyle name="60% - Accent6 5 2" xfId="2138" xr:uid="{00000000-0005-0000-0000-00005A080000}"/>
    <cellStyle name="60% - Accent6 5 2 2" xfId="2139" xr:uid="{00000000-0005-0000-0000-00005B080000}"/>
    <cellStyle name="60% - Accent6 5 2 2 2" xfId="32869" xr:uid="{EAECB271-D56F-401B-8976-9DFD296FC6CF}"/>
    <cellStyle name="60% - Accent6 5 2 3" xfId="32868" xr:uid="{A7A70234-2FD0-491E-A4E1-37D43EFB7C8E}"/>
    <cellStyle name="60% - Accent6 5 3" xfId="2140" xr:uid="{00000000-0005-0000-0000-00005C080000}"/>
    <cellStyle name="60% - Accent6 5 3 2" xfId="2141" xr:uid="{00000000-0005-0000-0000-00005D080000}"/>
    <cellStyle name="60% - Accent6 5 3 2 2" xfId="2142" xr:uid="{00000000-0005-0000-0000-00005E080000}"/>
    <cellStyle name="60% - Accent6 5 3 2 2 2" xfId="32872" xr:uid="{8BC50034-B31C-49DF-9849-7F842A3985EF}"/>
    <cellStyle name="60% - Accent6 5 3 2 3" xfId="32871" xr:uid="{4C0BE91A-51E7-42F9-9C82-BC6AC0E812CB}"/>
    <cellStyle name="60% - Accent6 5 3 3" xfId="2143" xr:uid="{00000000-0005-0000-0000-00005F080000}"/>
    <cellStyle name="60% - Accent6 5 3 3 2" xfId="32873" xr:uid="{EFE0DFA2-0F2A-4EE2-B1E7-6CE6AD1E35D0}"/>
    <cellStyle name="60% - Accent6 5 3 4" xfId="32870" xr:uid="{62BA03B1-9DED-4E7B-8C9B-877C334F2AC4}"/>
    <cellStyle name="60% - Accent6 5 4" xfId="2144" xr:uid="{00000000-0005-0000-0000-000060080000}"/>
    <cellStyle name="60% - Accent6 5 4 2" xfId="32874" xr:uid="{200AB1F3-A676-4F3C-B2FC-C18EBC72A4DD}"/>
    <cellStyle name="60% - Accent6 5 5" xfId="32867" xr:uid="{E8C42350-66BD-444B-A608-D40D7407509E}"/>
    <cellStyle name="60% - Accent6 6" xfId="2145" xr:uid="{00000000-0005-0000-0000-000061080000}"/>
    <cellStyle name="60% - Accent6 6 2" xfId="2146" xr:uid="{00000000-0005-0000-0000-000062080000}"/>
    <cellStyle name="60% - Accent6 6 2 2" xfId="2147" xr:uid="{00000000-0005-0000-0000-000063080000}"/>
    <cellStyle name="60% - Accent6 6 2 2 2" xfId="32877" xr:uid="{EAF34F29-9454-405D-A66F-005F7FD57C86}"/>
    <cellStyle name="60% - Accent6 6 2 3" xfId="32876" xr:uid="{03A91F79-B8CE-4AD2-99C2-F930E7074F1B}"/>
    <cellStyle name="60% - Accent6 6 3" xfId="2148" xr:uid="{00000000-0005-0000-0000-000064080000}"/>
    <cellStyle name="60% - Accent6 6 3 2" xfId="32878" xr:uid="{42AACD48-3451-4EC5-83DA-A9DE98804991}"/>
    <cellStyle name="60% - Accent6 6 4" xfId="32875" xr:uid="{4892276F-1BEF-4AC0-BFB7-834981ABFF47}"/>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11" xfId="32879" xr:uid="{4C031905-CD1D-4737-92D5-DF6E4AB248AC}"/>
    <cellStyle name="Accent2 - 60% 2" xfId="3175" xr:uid="{00000000-0005-0000-0000-0000670C0000}"/>
    <cellStyle name="Accent2 - 60% 2 2" xfId="3176" xr:uid="{00000000-0005-0000-0000-0000680C0000}"/>
    <cellStyle name="Accent2 - 60% 2 2 2" xfId="3177" xr:uid="{00000000-0005-0000-0000-0000690C0000}"/>
    <cellStyle name="Accent2 - 60% 2 2 2 2" xfId="32882" xr:uid="{8147333A-993C-4340-8270-AFD529989944}"/>
    <cellStyle name="Accent2 - 60% 2 2 3" xfId="32881" xr:uid="{DCB604E4-A8B3-4DAD-99B3-B79906C35B3E}"/>
    <cellStyle name="Accent2 - 60% 2 3" xfId="3178" xr:uid="{00000000-0005-0000-0000-00006A0C0000}"/>
    <cellStyle name="Accent2 - 60% 2 3 2" xfId="3179" xr:uid="{00000000-0005-0000-0000-00006B0C0000}"/>
    <cellStyle name="Accent2 - 60% 2 3 2 2" xfId="3180" xr:uid="{00000000-0005-0000-0000-00006C0C0000}"/>
    <cellStyle name="Accent2 - 60% 2 3 2 2 2" xfId="32885" xr:uid="{F1DF00FE-0F3A-44A4-BC02-11A7EA09FDA0}"/>
    <cellStyle name="Accent2 - 60% 2 3 2 3" xfId="32884" xr:uid="{EB6A08B2-9D68-40F8-BDE4-E21921D91FD6}"/>
    <cellStyle name="Accent2 - 60% 2 3 3" xfId="3181" xr:uid="{00000000-0005-0000-0000-00006D0C0000}"/>
    <cellStyle name="Accent2 - 60% 2 3 3 2" xfId="32886" xr:uid="{E9911AEE-A110-4859-91AE-0073B3ADCD46}"/>
    <cellStyle name="Accent2 - 60% 2 3 4" xfId="32883" xr:uid="{143DEAB3-77AE-4DA6-A7AA-6DEF6D07E3F6}"/>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2 5 2" xfId="32887" xr:uid="{8EEB3DB2-87AF-411F-AFA7-71FD9A9CC153}"/>
    <cellStyle name="Accent2 - 60% 2 6" xfId="32880" xr:uid="{75E1DFD3-A5A4-4212-AABF-7DD54A58ABA1}"/>
    <cellStyle name="Accent2 - 60% 3" xfId="3187" xr:uid="{00000000-0005-0000-0000-0000730C0000}"/>
    <cellStyle name="Accent2 - 60% 3 2" xfId="3188" xr:uid="{00000000-0005-0000-0000-0000740C0000}"/>
    <cellStyle name="Accent2 - 60% 3 2 2" xfId="3189" xr:uid="{00000000-0005-0000-0000-0000750C0000}"/>
    <cellStyle name="Accent2 - 60% 3 2 2 2" xfId="32890" xr:uid="{861FF5ED-1240-47C0-ABBD-618ED54E4E56}"/>
    <cellStyle name="Accent2 - 60% 3 2 3" xfId="32889" xr:uid="{B85D114D-4435-463A-BD0F-713649C5EAD0}"/>
    <cellStyle name="Accent2 - 60% 3 3" xfId="3190" xr:uid="{00000000-0005-0000-0000-0000760C0000}"/>
    <cellStyle name="Accent2 - 60% 3 3 2" xfId="32891" xr:uid="{ED56240D-0A0A-4341-94C7-F2DD1ECC84BC}"/>
    <cellStyle name="Accent2 - 60% 3 4" xfId="32888" xr:uid="{D3342759-AFE6-40E6-8987-B27F5EF6C582}"/>
    <cellStyle name="Accent2 - 60% 4" xfId="3191" xr:uid="{00000000-0005-0000-0000-0000770C0000}"/>
    <cellStyle name="Accent2 - 60% 4 2" xfId="3192" xr:uid="{00000000-0005-0000-0000-0000780C0000}"/>
    <cellStyle name="Accent2 - 60% 4 2 2" xfId="32893" xr:uid="{3B3EFA12-B4C2-47F0-AB1F-EE0A45C8A00E}"/>
    <cellStyle name="Accent2 - 60% 4 3" xfId="32892" xr:uid="{AF831606-A9B4-428A-8C6B-7A545E363D24}"/>
    <cellStyle name="Accent2 - 60% 5" xfId="3193" xr:uid="{00000000-0005-0000-0000-0000790C0000}"/>
    <cellStyle name="Accent2 - 60% 5 2" xfId="3194" xr:uid="{00000000-0005-0000-0000-00007A0C0000}"/>
    <cellStyle name="Accent2 - 60% 5 2 2" xfId="32895" xr:uid="{8F23354F-729A-4A64-8841-56A1D8AE285F}"/>
    <cellStyle name="Accent2 - 60% 5 3" xfId="32894" xr:uid="{985203D8-411D-4DEE-97E0-20E53477144E}"/>
    <cellStyle name="Accent2 - 60% 6" xfId="3195" xr:uid="{00000000-0005-0000-0000-00007B0C0000}"/>
    <cellStyle name="Accent2 - 60% 6 2" xfId="3196" xr:uid="{00000000-0005-0000-0000-00007C0C0000}"/>
    <cellStyle name="Accent2 - 60% 6 2 2" xfId="3197" xr:uid="{00000000-0005-0000-0000-00007D0C0000}"/>
    <cellStyle name="Accent2 - 60% 6 2 2 2" xfId="32898" xr:uid="{95EDBB4F-B3A4-419E-8B4E-4F497E92B5CC}"/>
    <cellStyle name="Accent2 - 60% 6 2 3" xfId="32897" xr:uid="{0A5B4CD4-207D-489B-BF6B-3B254138CDDA}"/>
    <cellStyle name="Accent2 - 60% 6 3" xfId="3198" xr:uid="{00000000-0005-0000-0000-00007E0C0000}"/>
    <cellStyle name="Accent2 - 60% 6 3 2" xfId="32899" xr:uid="{0F7EDE29-9477-4D99-8C46-DACD7BA46B04}"/>
    <cellStyle name="Accent2 - 60% 6 4" xfId="32896" xr:uid="{F8C7BE0B-2A05-41B7-9F41-80447854EDAD}"/>
    <cellStyle name="Accent2 - 60% 7" xfId="3199" xr:uid="{00000000-0005-0000-0000-00007F0C0000}"/>
    <cellStyle name="Accent2 - 60% 7 2" xfId="3200" xr:uid="{00000000-0005-0000-0000-0000800C0000}"/>
    <cellStyle name="Accent2 - 60% 7 2 2" xfId="32901" xr:uid="{BBC6A905-9CA1-40CC-A683-220EBE39AE7B}"/>
    <cellStyle name="Accent2 - 60% 7 3" xfId="32900" xr:uid="{73E203A0-C284-468A-A1D8-41B0F0481A91}"/>
    <cellStyle name="Accent2 - 60% 8" xfId="3201" xr:uid="{00000000-0005-0000-0000-0000810C0000}"/>
    <cellStyle name="Accent2 - 60% 8 2" xfId="3202" xr:uid="{00000000-0005-0000-0000-0000820C0000}"/>
    <cellStyle name="Accent2 - 60% 8 2 2" xfId="32903" xr:uid="{8CF8A135-155B-46CD-AB78-272918E52815}"/>
    <cellStyle name="Accent2 - 60% 8 3" xfId="32902" xr:uid="{FF4CA5EE-3750-455A-8216-07D9E255FAA0}"/>
    <cellStyle name="Accent2 - 60% 9" xfId="3203" xr:uid="{00000000-0005-0000-0000-0000830C0000}"/>
    <cellStyle name="Accent2 - 60% 9 2" xfId="32904" xr:uid="{42ACBEB7-EBBB-460D-A549-C85434592185}"/>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11 2" xfId="32905" xr:uid="{BA2E8F72-027F-4549-982C-45D1C2420122}"/>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2 2 2" xfId="32909" xr:uid="{1DE6F533-D32C-4288-A1D7-BE5DD8B336A8}"/>
    <cellStyle name="Accent3 - 20% 2 4 2 2 3" xfId="32908" xr:uid="{55020453-47BD-451B-A63B-DFA4374CB26A}"/>
    <cellStyle name="Accent3 - 20% 2 4 2 3" xfId="4003" xr:uid="{00000000-0005-0000-0000-0000A30F0000}"/>
    <cellStyle name="Accent3 - 20% 2 4 2 3 2" xfId="32910" xr:uid="{CE65DC8A-BE30-4C1D-B0C2-B52C45BD6DF3}"/>
    <cellStyle name="Accent3 - 20% 2 4 2 4" xfId="32907" xr:uid="{CA2F0097-00F0-4B76-BC54-2357CA4D66EA}"/>
    <cellStyle name="Accent3 - 20% 2 4 3" xfId="4004" xr:uid="{00000000-0005-0000-0000-0000A40F0000}"/>
    <cellStyle name="Accent3 - 20% 2 4 3 2" xfId="4005" xr:uid="{00000000-0005-0000-0000-0000A50F0000}"/>
    <cellStyle name="Accent3 - 20% 2 4 3 2 2" xfId="32912" xr:uid="{F7555386-3C99-42D3-9E1E-E11024840020}"/>
    <cellStyle name="Accent3 - 20% 2 4 3 3" xfId="32911" xr:uid="{378131BB-09E8-4F59-85AF-692C00FAF5F5}"/>
    <cellStyle name="Accent3 - 20% 2 4 4" xfId="4006" xr:uid="{00000000-0005-0000-0000-0000A60F0000}"/>
    <cellStyle name="Accent3 - 20% 2 4 4 2" xfId="32913" xr:uid="{79E72468-CE58-41C8-B03A-5D264A69F84A}"/>
    <cellStyle name="Accent3 - 20% 2 4 5" xfId="32906" xr:uid="{653D79B4-6450-4186-A44A-C0FA5117EC4D}"/>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2 2 2" xfId="32916" xr:uid="{E0BE28E0-7B6A-488B-8383-E02B887D7C16}"/>
    <cellStyle name="Accent3 10 2 3" xfId="32915" xr:uid="{EB8080EF-EAE9-40B0-B325-64CEA49E6CAB}"/>
    <cellStyle name="Accent3 10 3" xfId="4123" xr:uid="{00000000-0005-0000-0000-00001B100000}"/>
    <cellStyle name="Accent3 10 3 2" xfId="32917" xr:uid="{BF5E3770-5EC1-4A45-A93F-F9AB1CE48D79}"/>
    <cellStyle name="Accent3 10 4" xfId="32914" xr:uid="{EBB0B7E9-CC53-4F42-96D3-6E7F402A3C02}"/>
    <cellStyle name="Accent3 100" xfId="4124" xr:uid="{00000000-0005-0000-0000-00001C100000}"/>
    <cellStyle name="Accent3 100 2" xfId="4125" xr:uid="{00000000-0005-0000-0000-00001D100000}"/>
    <cellStyle name="Accent3 100 2 2" xfId="4126" xr:uid="{00000000-0005-0000-0000-00001E100000}"/>
    <cellStyle name="Accent3 100 2 2 2" xfId="32920" xr:uid="{504C62F3-9FB0-4B4D-82F5-4D3D50ADBC67}"/>
    <cellStyle name="Accent3 100 2 3" xfId="32919" xr:uid="{29732170-42D6-4712-A6CD-FB3BA172734A}"/>
    <cellStyle name="Accent3 100 3" xfId="4127" xr:uid="{00000000-0005-0000-0000-00001F100000}"/>
    <cellStyle name="Accent3 100 3 2" xfId="32921" xr:uid="{C9086604-5B21-4B70-8E69-641FECA5A308}"/>
    <cellStyle name="Accent3 100 4" xfId="32918" xr:uid="{5D25F76C-93FB-4768-BB01-6279832A26AB}"/>
    <cellStyle name="Accent3 101" xfId="4128" xr:uid="{00000000-0005-0000-0000-000020100000}"/>
    <cellStyle name="Accent3 101 2" xfId="4129" xr:uid="{00000000-0005-0000-0000-000021100000}"/>
    <cellStyle name="Accent3 101 2 2" xfId="4130" xr:uid="{00000000-0005-0000-0000-000022100000}"/>
    <cellStyle name="Accent3 101 2 2 2" xfId="32924" xr:uid="{A6178F3B-B9F0-4F78-8E1E-704A3E3C6716}"/>
    <cellStyle name="Accent3 101 2 3" xfId="32923" xr:uid="{B98B4FDB-5B26-44DB-9D55-F6675D6D34C2}"/>
    <cellStyle name="Accent3 101 3" xfId="4131" xr:uid="{00000000-0005-0000-0000-000023100000}"/>
    <cellStyle name="Accent3 101 3 2" xfId="32925" xr:uid="{5F9E8C5F-A7C2-4E85-AB69-174D7ED9CAC0}"/>
    <cellStyle name="Accent3 101 4" xfId="32922" xr:uid="{43FABA4A-1367-48CB-9CD8-01AD6FC4C418}"/>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2 2 2" xfId="32928" xr:uid="{A49598D9-12A4-4865-BB22-740D0B024BA2}"/>
    <cellStyle name="Accent3 105 2 3" xfId="32927" xr:uid="{53884B32-2875-4233-932F-E0E27AC688DD}"/>
    <cellStyle name="Accent3 105 3" xfId="4143" xr:uid="{00000000-0005-0000-0000-00002F100000}"/>
    <cellStyle name="Accent3 105 3 2" xfId="32929" xr:uid="{A8FE149E-B753-4F10-A2F5-FC7A3ECFD85D}"/>
    <cellStyle name="Accent3 105 4" xfId="32926" xr:uid="{AA3AFDA9-8B41-40C3-94EE-216C9C227F9E}"/>
    <cellStyle name="Accent3 106" xfId="4144" xr:uid="{00000000-0005-0000-0000-000030100000}"/>
    <cellStyle name="Accent3 106 2" xfId="4145" xr:uid="{00000000-0005-0000-0000-000031100000}"/>
    <cellStyle name="Accent3 106 2 2" xfId="4146" xr:uid="{00000000-0005-0000-0000-000032100000}"/>
    <cellStyle name="Accent3 106 2 2 2" xfId="32932" xr:uid="{898A4693-C927-4A96-8049-B261B59E520A}"/>
    <cellStyle name="Accent3 106 2 3" xfId="32931" xr:uid="{EE09A335-F916-48E4-AF59-5BE1546B905E}"/>
    <cellStyle name="Accent3 106 3" xfId="4147" xr:uid="{00000000-0005-0000-0000-000033100000}"/>
    <cellStyle name="Accent3 106 3 2" xfId="32933" xr:uid="{691D6ACD-3256-4A05-BF20-350C859C1441}"/>
    <cellStyle name="Accent3 106 4" xfId="32930" xr:uid="{FD3AC011-6408-4BCD-B473-C126F85D04CA}"/>
    <cellStyle name="Accent3 107" xfId="4148" xr:uid="{00000000-0005-0000-0000-000034100000}"/>
    <cellStyle name="Accent3 107 2" xfId="4149" xr:uid="{00000000-0005-0000-0000-000035100000}"/>
    <cellStyle name="Accent3 107 2 2" xfId="4150" xr:uid="{00000000-0005-0000-0000-000036100000}"/>
    <cellStyle name="Accent3 107 2 2 2" xfId="32936" xr:uid="{8B6E5C0E-F921-4FC3-ABF6-C5A82E95A0DB}"/>
    <cellStyle name="Accent3 107 2 3" xfId="32935" xr:uid="{7D6F938C-5681-43B0-81E8-2665D414FFDC}"/>
    <cellStyle name="Accent3 107 3" xfId="4151" xr:uid="{00000000-0005-0000-0000-000037100000}"/>
    <cellStyle name="Accent3 107 3 2" xfId="32937" xr:uid="{90E4C221-22F9-48E1-B28C-9C4EF9EAAB3C}"/>
    <cellStyle name="Accent3 107 4" xfId="32934" xr:uid="{4B07B82D-0EBC-46E0-88EE-3602380651B7}"/>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2 2 2" xfId="32940" xr:uid="{1C5752EB-3BCF-48F2-B4A8-CDA577913469}"/>
    <cellStyle name="Accent3 11 2 3" xfId="32939" xr:uid="{1A0045BC-D488-491F-A9EC-D3D61EDE7C9E}"/>
    <cellStyle name="Accent3 11 3" xfId="4163" xr:uid="{00000000-0005-0000-0000-000043100000}"/>
    <cellStyle name="Accent3 11 3 2" xfId="32941" xr:uid="{FBC2B232-767D-493E-8C1D-0CD26CA2C5AE}"/>
    <cellStyle name="Accent3 11 4" xfId="32938" xr:uid="{FC4EE067-49BB-454C-A395-C99A6F88544D}"/>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2 2 2" xfId="32944" xr:uid="{37DB2762-4EEC-4125-80DF-E912E00ED93E}"/>
    <cellStyle name="Accent3 12 2 3" xfId="32943" xr:uid="{F57A701A-AF21-48FB-97CD-685F6C37824D}"/>
    <cellStyle name="Accent3 12 3" xfId="4195" xr:uid="{00000000-0005-0000-0000-000063100000}"/>
    <cellStyle name="Accent3 12 3 2" xfId="32945" xr:uid="{06F8655F-5E81-4FA3-85F5-2A627D389F6A}"/>
    <cellStyle name="Accent3 12 4" xfId="32942" xr:uid="{54CCDEE7-33DB-405E-A288-A3B1FAE4598E}"/>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2 2 2" xfId="32948" xr:uid="{34EA15B7-7EBC-46D9-9A55-0C1CCCF51C56}"/>
    <cellStyle name="Accent3 13 2 3" xfId="32947" xr:uid="{974826AD-D1DB-4E6A-9F31-84C629E09F8B}"/>
    <cellStyle name="Accent3 13 3" xfId="4215" xr:uid="{00000000-0005-0000-0000-000077100000}"/>
    <cellStyle name="Accent3 13 3 2" xfId="32949" xr:uid="{669C48EA-F4A7-44DD-969B-7716425BA0A1}"/>
    <cellStyle name="Accent3 13 4" xfId="32946" xr:uid="{4DE49007-C4EB-46C3-80B3-2B8195B159BF}"/>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2 2 2" xfId="32952" xr:uid="{E4575B98-728E-49FD-AB03-C52B80BEB355}"/>
    <cellStyle name="Accent3 14 2 3" xfId="32951" xr:uid="{F33FD665-D4C1-424A-BEE3-737C77943F15}"/>
    <cellStyle name="Accent3 14 3" xfId="4229" xr:uid="{00000000-0005-0000-0000-000085100000}"/>
    <cellStyle name="Accent3 14 3 2" xfId="32953" xr:uid="{87889E83-2920-4E14-B407-513D62984E6B}"/>
    <cellStyle name="Accent3 14 4" xfId="32950" xr:uid="{DE655DE8-3AED-4F95-B418-985F9AA8FA9A}"/>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2 2 2" xfId="32956" xr:uid="{5BE4107A-EDD7-4D69-83A2-C761B4D99D12}"/>
    <cellStyle name="Accent3 15 2 3" xfId="32955" xr:uid="{BC0470F6-F247-4D94-98EE-D863A90A5409}"/>
    <cellStyle name="Accent3 15 3" xfId="4243" xr:uid="{00000000-0005-0000-0000-000093100000}"/>
    <cellStyle name="Accent3 15 3 2" xfId="32957" xr:uid="{CD7C87BC-2ECA-428F-B073-09B398D99004}"/>
    <cellStyle name="Accent3 15 4" xfId="32954" xr:uid="{B0E0C718-5245-4BB9-A125-72C790488AF3}"/>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2 2 2" xfId="32960" xr:uid="{8C5A8055-5EAB-4AF8-A1E1-E44D1AE9BCFA}"/>
    <cellStyle name="Accent3 16 2 3" xfId="32959" xr:uid="{EB2AFE5C-7F29-41D9-93B3-5113EE4CE9D6}"/>
    <cellStyle name="Accent3 16 3" xfId="4257" xr:uid="{00000000-0005-0000-0000-0000A1100000}"/>
    <cellStyle name="Accent3 16 3 2" xfId="32961" xr:uid="{BC055024-4298-4F21-BE10-F55E2E659A52}"/>
    <cellStyle name="Accent3 16 4" xfId="32958" xr:uid="{09C3E55D-5678-433E-8B86-5F5341B61DDB}"/>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2 2 2" xfId="32964" xr:uid="{CBE2A821-6D18-445F-9825-A7C313B62E79}"/>
    <cellStyle name="Accent3 17 2 3" xfId="32963" xr:uid="{80DF6BED-C6A4-4A00-B0EC-BA35FF59CFA4}"/>
    <cellStyle name="Accent3 17 3" xfId="4271" xr:uid="{00000000-0005-0000-0000-0000AF100000}"/>
    <cellStyle name="Accent3 17 3 2" xfId="32965" xr:uid="{CE42106B-FEC8-4893-BCF8-6D8EC93939D6}"/>
    <cellStyle name="Accent3 17 4" xfId="32962" xr:uid="{944BEF03-187B-49D4-B7EB-B19E430B7EA4}"/>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2 2 2" xfId="32968" xr:uid="{4E5A88EF-B0DD-4A69-9154-406289D433AC}"/>
    <cellStyle name="Accent3 18 2 3" xfId="32967" xr:uid="{27D1F658-BE33-47D6-AF63-441FD92BA051}"/>
    <cellStyle name="Accent3 18 3" xfId="4285" xr:uid="{00000000-0005-0000-0000-0000BD100000}"/>
    <cellStyle name="Accent3 18 3 2" xfId="32969" xr:uid="{26FF03E9-1635-463C-963D-BE381F298754}"/>
    <cellStyle name="Accent3 18 4" xfId="32966" xr:uid="{2392428C-649E-4FBE-B16D-1FA7A401EBCA}"/>
    <cellStyle name="Accent3 19" xfId="4286" xr:uid="{00000000-0005-0000-0000-0000BE100000}"/>
    <cellStyle name="Accent3 19 2" xfId="4287" xr:uid="{00000000-0005-0000-0000-0000BF100000}"/>
    <cellStyle name="Accent3 19 2 2" xfId="4288" xr:uid="{00000000-0005-0000-0000-0000C0100000}"/>
    <cellStyle name="Accent3 19 2 2 2" xfId="32972" xr:uid="{63DF3589-B2EC-44E3-982E-242130A53DF7}"/>
    <cellStyle name="Accent3 19 2 3" xfId="32971" xr:uid="{C91E9670-0AF4-46FA-997D-02F6DE3D88DC}"/>
    <cellStyle name="Accent3 19 3" xfId="4289" xr:uid="{00000000-0005-0000-0000-0000C1100000}"/>
    <cellStyle name="Accent3 19 3 2" xfId="32973" xr:uid="{7865DB68-C351-42C2-9010-EC7C92D70179}"/>
    <cellStyle name="Accent3 19 4" xfId="32970" xr:uid="{DA0B736B-519D-4271-BFA3-19CAD2ACD3F7}"/>
    <cellStyle name="Accent3 2" xfId="4290" xr:uid="{00000000-0005-0000-0000-0000C2100000}"/>
    <cellStyle name="Accent3 2 10" xfId="4291" xr:uid="{00000000-0005-0000-0000-0000C3100000}"/>
    <cellStyle name="Accent3 2 10 2" xfId="4292" xr:uid="{00000000-0005-0000-0000-0000C4100000}"/>
    <cellStyle name="Accent3 2 10 2 2" xfId="32975" xr:uid="{F8A3F01F-8106-4465-A0E8-8A139B988F84}"/>
    <cellStyle name="Accent3 2 10 3" xfId="32974" xr:uid="{D77E78FD-C1BB-46D8-A4C8-B0E3F806D641}"/>
    <cellStyle name="Accent3 2 11" xfId="4293" xr:uid="{00000000-0005-0000-0000-0000C5100000}"/>
    <cellStyle name="Accent3 2 11 2" xfId="32976" xr:uid="{75132ED4-8762-4524-9F80-C7C0FE88E5A5}"/>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2 2 2" xfId="32979" xr:uid="{559D43C7-59DB-4CF4-997B-346CA19E7334}"/>
    <cellStyle name="Accent3 2 3 2 3" xfId="32978" xr:uid="{4CC85304-EA68-4614-8905-C3486D98019B}"/>
    <cellStyle name="Accent3 2 3 3" xfId="4306" xr:uid="{00000000-0005-0000-0000-0000D2100000}"/>
    <cellStyle name="Accent3 2 3 3 2" xfId="4307" xr:uid="{00000000-0005-0000-0000-0000D3100000}"/>
    <cellStyle name="Accent3 2 3 3 2 2" xfId="4308" xr:uid="{00000000-0005-0000-0000-0000D4100000}"/>
    <cellStyle name="Accent3 2 3 3 2 2 2" xfId="32982" xr:uid="{A355E703-9C43-45B4-8CCD-5B50A80152F8}"/>
    <cellStyle name="Accent3 2 3 3 2 3" xfId="32981" xr:uid="{6E9176C3-DE91-4382-ACFA-B56D37DF694E}"/>
    <cellStyle name="Accent3 2 3 3 3" xfId="4309" xr:uid="{00000000-0005-0000-0000-0000D5100000}"/>
    <cellStyle name="Accent3 2 3 3 3 2" xfId="32983" xr:uid="{0BAD7C3A-850B-4B06-99A6-F846D6041A1B}"/>
    <cellStyle name="Accent3 2 3 3 4" xfId="32980" xr:uid="{3F39D7F4-B755-4103-BD7D-5149A8F183DC}"/>
    <cellStyle name="Accent3 2 3 4" xfId="4310" xr:uid="{00000000-0005-0000-0000-0000D6100000}"/>
    <cellStyle name="Accent3 2 3 4 2" xfId="32984" xr:uid="{1CD06F45-27AF-4BBD-BD41-8A07387C7906}"/>
    <cellStyle name="Accent3 2 3 5" xfId="32977" xr:uid="{3BA54CC7-5BEB-4071-B5B4-6325599F042B}"/>
    <cellStyle name="Accent3 2 4" xfId="4311" xr:uid="{00000000-0005-0000-0000-0000D7100000}"/>
    <cellStyle name="Accent3 2 4 2" xfId="4312" xr:uid="{00000000-0005-0000-0000-0000D8100000}"/>
    <cellStyle name="Accent3 2 4 2 2" xfId="4313" xr:uid="{00000000-0005-0000-0000-0000D9100000}"/>
    <cellStyle name="Accent3 2 4 2 2 2" xfId="32987" xr:uid="{86336683-62BA-43FB-B01F-5B0455E11DF5}"/>
    <cellStyle name="Accent3 2 4 2 3" xfId="32986" xr:uid="{14D464F3-7616-45C2-9403-CCD4EDB6A02B}"/>
    <cellStyle name="Accent3 2 4 3" xfId="4314" xr:uid="{00000000-0005-0000-0000-0000DA100000}"/>
    <cellStyle name="Accent3 2 4 3 2" xfId="32988" xr:uid="{65A60B4C-6747-42A9-90E6-B6951B8294B9}"/>
    <cellStyle name="Accent3 2 4 4" xfId="32985" xr:uid="{63A530A6-70A5-4487-84E0-D99AA0CC1A2A}"/>
    <cellStyle name="Accent3 2 5" xfId="4315" xr:uid="{00000000-0005-0000-0000-0000DB100000}"/>
    <cellStyle name="Accent3 2 5 2" xfId="4316" xr:uid="{00000000-0005-0000-0000-0000DC100000}"/>
    <cellStyle name="Accent3 2 5 2 2" xfId="4317" xr:uid="{00000000-0005-0000-0000-0000DD100000}"/>
    <cellStyle name="Accent3 2 5 2 2 2" xfId="32991" xr:uid="{B9F80397-DEE9-4918-9593-1ECDB277C15E}"/>
    <cellStyle name="Accent3 2 5 2 3" xfId="32990" xr:uid="{311F5E52-B242-4384-966B-FE3B4D8F5971}"/>
    <cellStyle name="Accent3 2 5 3" xfId="4318" xr:uid="{00000000-0005-0000-0000-0000DE100000}"/>
    <cellStyle name="Accent3 2 5 3 2" xfId="4319" xr:uid="{00000000-0005-0000-0000-0000DF100000}"/>
    <cellStyle name="Accent3 2 5 3 2 2" xfId="4320" xr:uid="{00000000-0005-0000-0000-0000E0100000}"/>
    <cellStyle name="Accent3 2 5 3 2 2 2" xfId="32994" xr:uid="{F5B41A91-7AEB-4B8A-83E8-C21F303EF73E}"/>
    <cellStyle name="Accent3 2 5 3 2 3" xfId="32993" xr:uid="{6C7B2988-A0C5-4085-B05D-22DED6FA1346}"/>
    <cellStyle name="Accent3 2 5 3 3" xfId="4321" xr:uid="{00000000-0005-0000-0000-0000E1100000}"/>
    <cellStyle name="Accent3 2 5 3 3 2" xfId="32995" xr:uid="{50738F3F-577F-4DDA-B80B-68624CFA7FF2}"/>
    <cellStyle name="Accent3 2 5 3 4" xfId="32992" xr:uid="{ED10CE94-EA22-4E1E-AF18-A4585DDC1448}"/>
    <cellStyle name="Accent3 2 5 4" xfId="4322" xr:uid="{00000000-0005-0000-0000-0000E2100000}"/>
    <cellStyle name="Accent3 2 5 4 2" xfId="32996" xr:uid="{B4A6B09E-736A-49AF-A746-CE97E673FD70}"/>
    <cellStyle name="Accent3 2 5 5" xfId="32989" xr:uid="{877DD057-A01F-4086-BA18-12DEAF091A0C}"/>
    <cellStyle name="Accent3 2 6" xfId="4323" xr:uid="{00000000-0005-0000-0000-0000E3100000}"/>
    <cellStyle name="Accent3 2 6 2" xfId="4324" xr:uid="{00000000-0005-0000-0000-0000E4100000}"/>
    <cellStyle name="Accent3 2 6 2 2" xfId="4325" xr:uid="{00000000-0005-0000-0000-0000E5100000}"/>
    <cellStyle name="Accent3 2 6 2 2 2" xfId="32998" xr:uid="{3445BD21-ECE1-450B-A38B-66C79075C43A}"/>
    <cellStyle name="Accent3 2 6 2 3" xfId="32997" xr:uid="{A03FA019-308D-49FE-8AFB-3BFF0E645ABF}"/>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7 2 2" xfId="33000" xr:uid="{3CD6FE72-B9F9-445B-8B8B-E0C3CEBF346A}"/>
    <cellStyle name="Accent3 2 7 3" xfId="32999" xr:uid="{EBE23D8D-FF77-4908-B887-8B86DF64D1A7}"/>
    <cellStyle name="Accent3 2 8" xfId="4331" xr:uid="{00000000-0005-0000-0000-0000EB100000}"/>
    <cellStyle name="Accent3 2 8 2" xfId="4332" xr:uid="{00000000-0005-0000-0000-0000EC100000}"/>
    <cellStyle name="Accent3 2 8 2 2" xfId="4333" xr:uid="{00000000-0005-0000-0000-0000ED100000}"/>
    <cellStyle name="Accent3 2 8 2 2 2" xfId="33003" xr:uid="{E92A265E-0FC1-44AD-BB54-28FE7C2F18F4}"/>
    <cellStyle name="Accent3 2 8 2 3" xfId="33002" xr:uid="{6984B0AD-197C-4B64-83AC-154225AD7292}"/>
    <cellStyle name="Accent3 2 8 3" xfId="4334" xr:uid="{00000000-0005-0000-0000-0000EE100000}"/>
    <cellStyle name="Accent3 2 8 3 2" xfId="33004" xr:uid="{F5643BB4-F366-4D13-9208-666BD69651E7}"/>
    <cellStyle name="Accent3 2 8 4" xfId="33001" xr:uid="{E65915C3-5D6F-47DB-9233-DDAAE8D9F3B1}"/>
    <cellStyle name="Accent3 2 9" xfId="4335" xr:uid="{00000000-0005-0000-0000-0000EF100000}"/>
    <cellStyle name="Accent3 2 9 2" xfId="4336" xr:uid="{00000000-0005-0000-0000-0000F0100000}"/>
    <cellStyle name="Accent3 2 9 2 2" xfId="4337" xr:uid="{00000000-0005-0000-0000-0000F1100000}"/>
    <cellStyle name="Accent3 2 9 2 2 2" xfId="33007" xr:uid="{667DAEDF-6327-4BAE-9EDB-5125B861FCF5}"/>
    <cellStyle name="Accent3 2 9 2 3" xfId="33006" xr:uid="{32F4F8A3-5AB2-4901-B845-800C47BD7957}"/>
    <cellStyle name="Accent3 2 9 3" xfId="4338" xr:uid="{00000000-0005-0000-0000-0000F2100000}"/>
    <cellStyle name="Accent3 2 9 3 2" xfId="33008" xr:uid="{1DB3C042-0F27-42A3-9A2B-BA1A33D6BABA}"/>
    <cellStyle name="Accent3 2 9 4" xfId="33005" xr:uid="{B310D03A-924E-4C7F-B074-3FD2B142A057}"/>
    <cellStyle name="Accent3 20" xfId="4339" xr:uid="{00000000-0005-0000-0000-0000F3100000}"/>
    <cellStyle name="Accent3 20 2" xfId="4340" xr:uid="{00000000-0005-0000-0000-0000F4100000}"/>
    <cellStyle name="Accent3 20 2 2" xfId="4341" xr:uid="{00000000-0005-0000-0000-0000F5100000}"/>
    <cellStyle name="Accent3 20 2 2 2" xfId="33011" xr:uid="{356E528C-37E7-4AD4-94E3-670A051C79FC}"/>
    <cellStyle name="Accent3 20 2 3" xfId="33010" xr:uid="{91DF7AD0-89CF-4D7C-8840-B04642A3EE11}"/>
    <cellStyle name="Accent3 20 3" xfId="4342" xr:uid="{00000000-0005-0000-0000-0000F6100000}"/>
    <cellStyle name="Accent3 20 3 2" xfId="33012" xr:uid="{8897FB55-6020-497A-A0D2-8532EC212D28}"/>
    <cellStyle name="Accent3 20 4" xfId="33009" xr:uid="{354100B5-0638-4D48-8E3C-AC3AB4488AC4}"/>
    <cellStyle name="Accent3 21" xfId="4343" xr:uid="{00000000-0005-0000-0000-0000F7100000}"/>
    <cellStyle name="Accent3 21 2" xfId="4344" xr:uid="{00000000-0005-0000-0000-0000F8100000}"/>
    <cellStyle name="Accent3 21 2 2" xfId="4345" xr:uid="{00000000-0005-0000-0000-0000F9100000}"/>
    <cellStyle name="Accent3 21 2 2 2" xfId="33015" xr:uid="{95F3A5FC-3763-431A-9DA6-4B0420BDA430}"/>
    <cellStyle name="Accent3 21 2 3" xfId="33014" xr:uid="{72801B45-C45A-46C0-837C-F58D08318DAD}"/>
    <cellStyle name="Accent3 21 3" xfId="4346" xr:uid="{00000000-0005-0000-0000-0000FA100000}"/>
    <cellStyle name="Accent3 21 3 2" xfId="33016" xr:uid="{85881B3E-F118-43C9-AE33-45A9E3E4119F}"/>
    <cellStyle name="Accent3 21 4" xfId="33013" xr:uid="{9B89EEAE-A659-4E47-8B95-D6CF17A65103}"/>
    <cellStyle name="Accent3 22" xfId="4347" xr:uid="{00000000-0005-0000-0000-0000FB100000}"/>
    <cellStyle name="Accent3 22 2" xfId="4348" xr:uid="{00000000-0005-0000-0000-0000FC100000}"/>
    <cellStyle name="Accent3 22 2 2" xfId="4349" xr:uid="{00000000-0005-0000-0000-0000FD100000}"/>
    <cellStyle name="Accent3 22 2 2 2" xfId="33019" xr:uid="{479DC930-9AEC-408E-9B70-13CF8C078850}"/>
    <cellStyle name="Accent3 22 2 3" xfId="33018" xr:uid="{651AFE4B-04C2-4C48-B565-58136406DEED}"/>
    <cellStyle name="Accent3 22 3" xfId="4350" xr:uid="{00000000-0005-0000-0000-0000FE100000}"/>
    <cellStyle name="Accent3 22 3 2" xfId="33020" xr:uid="{4F20340B-10D7-46FD-B80D-81B843A52C42}"/>
    <cellStyle name="Accent3 22 4" xfId="33017" xr:uid="{9DF72461-CA77-4105-BA1A-B764B97E25BF}"/>
    <cellStyle name="Accent3 23" xfId="4351" xr:uid="{00000000-0005-0000-0000-0000FF100000}"/>
    <cellStyle name="Accent3 23 2" xfId="4352" xr:uid="{00000000-0005-0000-0000-000000110000}"/>
    <cellStyle name="Accent3 23 2 2" xfId="4353" xr:uid="{00000000-0005-0000-0000-000001110000}"/>
    <cellStyle name="Accent3 23 2 2 2" xfId="33023" xr:uid="{5A8B6D1A-D4B7-4538-A2FE-F820B171E56D}"/>
    <cellStyle name="Accent3 23 2 3" xfId="33022" xr:uid="{44F2FDB8-1BDF-4A34-8112-326E0FF0B81E}"/>
    <cellStyle name="Accent3 23 3" xfId="4354" xr:uid="{00000000-0005-0000-0000-000002110000}"/>
    <cellStyle name="Accent3 23 3 2" xfId="33024" xr:uid="{06064D0E-53A5-4505-AC08-1DD1FA662B4A}"/>
    <cellStyle name="Accent3 23 4" xfId="33021" xr:uid="{41BA9749-22CA-445B-A326-097DEC875319}"/>
    <cellStyle name="Accent3 24" xfId="4355" xr:uid="{00000000-0005-0000-0000-000003110000}"/>
    <cellStyle name="Accent3 24 2" xfId="4356" xr:uid="{00000000-0005-0000-0000-000004110000}"/>
    <cellStyle name="Accent3 24 2 2" xfId="4357" xr:uid="{00000000-0005-0000-0000-000005110000}"/>
    <cellStyle name="Accent3 24 2 2 2" xfId="33027" xr:uid="{5B010E5B-1825-41D2-BC9B-C8D5628F7B8A}"/>
    <cellStyle name="Accent3 24 2 3" xfId="33026" xr:uid="{2CB36BEE-BC24-44BB-B079-A7C1F4FE71FC}"/>
    <cellStyle name="Accent3 24 3" xfId="4358" xr:uid="{00000000-0005-0000-0000-000006110000}"/>
    <cellStyle name="Accent3 24 3 2" xfId="33028" xr:uid="{59C96B77-5968-46AB-8424-B05FECBF8936}"/>
    <cellStyle name="Accent3 24 4" xfId="33025" xr:uid="{9CEC30C9-02A5-46C8-A955-D1E343EA438C}"/>
    <cellStyle name="Accent3 25" xfId="4359" xr:uid="{00000000-0005-0000-0000-000007110000}"/>
    <cellStyle name="Accent3 25 2" xfId="4360" xr:uid="{00000000-0005-0000-0000-000008110000}"/>
    <cellStyle name="Accent3 25 2 2" xfId="4361" xr:uid="{00000000-0005-0000-0000-000009110000}"/>
    <cellStyle name="Accent3 25 2 2 2" xfId="33031" xr:uid="{72D68A4B-2F0E-4E1A-9CD7-E1369EC2691E}"/>
    <cellStyle name="Accent3 25 2 3" xfId="33030" xr:uid="{3E0376F2-7D37-4EB3-B97D-59007DAF26E2}"/>
    <cellStyle name="Accent3 25 3" xfId="4362" xr:uid="{00000000-0005-0000-0000-00000A110000}"/>
    <cellStyle name="Accent3 25 3 2" xfId="33032" xr:uid="{9BAD3060-BF2F-42A8-9F02-DE240CD2587C}"/>
    <cellStyle name="Accent3 25 4" xfId="33029" xr:uid="{B2E6A0A2-7743-4190-A22E-C6457BAA5BAC}"/>
    <cellStyle name="Accent3 26" xfId="4363" xr:uid="{00000000-0005-0000-0000-00000B110000}"/>
    <cellStyle name="Accent3 26 2" xfId="4364" xr:uid="{00000000-0005-0000-0000-00000C110000}"/>
    <cellStyle name="Accent3 26 2 2" xfId="4365" xr:uid="{00000000-0005-0000-0000-00000D110000}"/>
    <cellStyle name="Accent3 26 2 2 2" xfId="33035" xr:uid="{A8FB1C7D-456F-4A89-8D0A-6D10691826BE}"/>
    <cellStyle name="Accent3 26 2 3" xfId="33034" xr:uid="{63848589-BFE4-4EF3-A903-43A4AE084478}"/>
    <cellStyle name="Accent3 26 3" xfId="4366" xr:uid="{00000000-0005-0000-0000-00000E110000}"/>
    <cellStyle name="Accent3 26 3 2" xfId="33036" xr:uid="{E442BF73-852A-4DF0-BCE5-7C43F760817A}"/>
    <cellStyle name="Accent3 26 4" xfId="33033" xr:uid="{09C93207-6392-4847-BD14-16951F0430CE}"/>
    <cellStyle name="Accent3 27" xfId="4367" xr:uid="{00000000-0005-0000-0000-00000F110000}"/>
    <cellStyle name="Accent3 27 2" xfId="4368" xr:uid="{00000000-0005-0000-0000-000010110000}"/>
    <cellStyle name="Accent3 27 2 2" xfId="4369" xr:uid="{00000000-0005-0000-0000-000011110000}"/>
    <cellStyle name="Accent3 27 2 2 2" xfId="33039" xr:uid="{056A889A-2ED3-46FC-8B5F-A7D9EA975858}"/>
    <cellStyle name="Accent3 27 2 3" xfId="33038" xr:uid="{563EDB76-1D5F-4A2A-B261-44F20A1167A0}"/>
    <cellStyle name="Accent3 27 3" xfId="4370" xr:uid="{00000000-0005-0000-0000-000012110000}"/>
    <cellStyle name="Accent3 27 3 2" xfId="33040" xr:uid="{F7373ECC-FFFA-47D2-AA22-0223DB625D42}"/>
    <cellStyle name="Accent3 27 4" xfId="33037" xr:uid="{75DD369A-BB58-4EE3-8CC3-25887A75831E}"/>
    <cellStyle name="Accent3 28" xfId="4371" xr:uid="{00000000-0005-0000-0000-000013110000}"/>
    <cellStyle name="Accent3 28 2" xfId="4372" xr:uid="{00000000-0005-0000-0000-000014110000}"/>
    <cellStyle name="Accent3 28 2 2" xfId="4373" xr:uid="{00000000-0005-0000-0000-000015110000}"/>
    <cellStyle name="Accent3 28 2 2 2" xfId="33043" xr:uid="{64DDCF68-29E8-49FC-B8DA-3C55296218DB}"/>
    <cellStyle name="Accent3 28 2 3" xfId="33042" xr:uid="{49EAADA3-4478-4660-9FE8-A9A28A08AF97}"/>
    <cellStyle name="Accent3 28 3" xfId="4374" xr:uid="{00000000-0005-0000-0000-000016110000}"/>
    <cellStyle name="Accent3 28 3 2" xfId="33044" xr:uid="{41A5543D-6783-4FC6-BC88-CE189976026F}"/>
    <cellStyle name="Accent3 28 4" xfId="33041" xr:uid="{29686BE1-BCAC-4F6F-96BC-57B416EBB0E8}"/>
    <cellStyle name="Accent3 29" xfId="4375" xr:uid="{00000000-0005-0000-0000-000017110000}"/>
    <cellStyle name="Accent3 29 2" xfId="4376" xr:uid="{00000000-0005-0000-0000-000018110000}"/>
    <cellStyle name="Accent3 29 2 2" xfId="4377" xr:uid="{00000000-0005-0000-0000-000019110000}"/>
    <cellStyle name="Accent3 29 2 2 2" xfId="33047" xr:uid="{69B89E3B-E72F-481F-A1F3-0989705A5866}"/>
    <cellStyle name="Accent3 29 2 3" xfId="33046" xr:uid="{90708E1A-CC2C-4872-80F3-9571F7CC9407}"/>
    <cellStyle name="Accent3 29 3" xfId="4378" xr:uid="{00000000-0005-0000-0000-00001A110000}"/>
    <cellStyle name="Accent3 29 3 2" xfId="33048" xr:uid="{6E6FCECE-DC61-433A-937B-C93B4F1A8CF4}"/>
    <cellStyle name="Accent3 29 4" xfId="33045" xr:uid="{5A9C7166-7BE6-425B-B38D-ACCC687A7E5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2 2 2" xfId="33051" xr:uid="{6732BFCD-1F1C-469C-B56F-35E28B0423D6}"/>
    <cellStyle name="Accent3 3 10 2 3" xfId="33050" xr:uid="{58425C2A-0861-4D84-8F45-9DEA314A63B2}"/>
    <cellStyle name="Accent3 3 10 3" xfId="4383" xr:uid="{00000000-0005-0000-0000-00001F110000}"/>
    <cellStyle name="Accent3 3 10 3 2" xfId="33052" xr:uid="{A8B41C38-07EF-400B-BDFD-444B1D8F3007}"/>
    <cellStyle name="Accent3 3 10 4" xfId="33049" xr:uid="{669393D9-259F-4C3E-BE13-D0A8F911FFD9}"/>
    <cellStyle name="Accent3 3 11" xfId="4384" xr:uid="{00000000-0005-0000-0000-000020110000}"/>
    <cellStyle name="Accent3 3 11 2" xfId="4385" xr:uid="{00000000-0005-0000-0000-000021110000}"/>
    <cellStyle name="Accent3 3 11 2 2" xfId="33054" xr:uid="{693C5E6A-C4F9-4EBB-BC1A-076B0F591FFE}"/>
    <cellStyle name="Accent3 3 11 3" xfId="33053" xr:uid="{110A31DA-34DC-4ACB-AB88-CC9F639C86C4}"/>
    <cellStyle name="Accent3 3 12" xfId="4386" xr:uid="{00000000-0005-0000-0000-000022110000}"/>
    <cellStyle name="Accent3 3 12 2" xfId="33055" xr:uid="{5696C4C7-60F4-478E-A00E-EE2738B8B253}"/>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2 2 2" xfId="33058" xr:uid="{E0971BDC-E445-40BB-89B7-7F5FF18DB9DD}"/>
    <cellStyle name="Accent3 3 3 2 3" xfId="33057" xr:uid="{4CDEF2A5-A07B-4668-9218-EA9C962C43A5}"/>
    <cellStyle name="Accent3 3 3 3" xfId="4398" xr:uid="{00000000-0005-0000-0000-00002E110000}"/>
    <cellStyle name="Accent3 3 3 3 2" xfId="4399" xr:uid="{00000000-0005-0000-0000-00002F110000}"/>
    <cellStyle name="Accent3 3 3 3 2 2" xfId="4400" xr:uid="{00000000-0005-0000-0000-000030110000}"/>
    <cellStyle name="Accent3 3 3 3 2 2 2" xfId="33061" xr:uid="{BA7598F5-3252-4778-B3FD-B58A55769579}"/>
    <cellStyle name="Accent3 3 3 3 2 3" xfId="33060" xr:uid="{1987F47F-540E-4FC4-8C5F-75A01857CA04}"/>
    <cellStyle name="Accent3 3 3 3 3" xfId="4401" xr:uid="{00000000-0005-0000-0000-000031110000}"/>
    <cellStyle name="Accent3 3 3 3 3 2" xfId="33062" xr:uid="{C45040F7-B046-45C2-97F7-B5E0C61D1D43}"/>
    <cellStyle name="Accent3 3 3 3 4" xfId="33059" xr:uid="{5D9D2DCC-1174-461A-91F7-91D586D446AB}"/>
    <cellStyle name="Accent3 3 3 4" xfId="4402" xr:uid="{00000000-0005-0000-0000-000032110000}"/>
    <cellStyle name="Accent3 3 3 4 2" xfId="33063" xr:uid="{35B8A68A-5A27-4964-807F-F76DA69283FF}"/>
    <cellStyle name="Accent3 3 3 5" xfId="33056" xr:uid="{EBB14CBD-0C6C-4D76-8BE9-73CDA6EB9008}"/>
    <cellStyle name="Accent3 3 4" xfId="4403" xr:uid="{00000000-0005-0000-0000-000033110000}"/>
    <cellStyle name="Accent3 3 4 2" xfId="4404" xr:uid="{00000000-0005-0000-0000-000034110000}"/>
    <cellStyle name="Accent3 3 4 2 2" xfId="4405" xr:uid="{00000000-0005-0000-0000-000035110000}"/>
    <cellStyle name="Accent3 3 4 2 2 2" xfId="33066" xr:uid="{F4C45AD7-963F-4A53-B3B9-48EF276615D1}"/>
    <cellStyle name="Accent3 3 4 2 3" xfId="33065" xr:uid="{46EF4C06-D054-440A-82A5-0A2632E7521D}"/>
    <cellStyle name="Accent3 3 4 3" xfId="4406" xr:uid="{00000000-0005-0000-0000-000036110000}"/>
    <cellStyle name="Accent3 3 4 3 2" xfId="33067" xr:uid="{76B72099-8176-4F5A-9E4D-EF85D3119622}"/>
    <cellStyle name="Accent3 3 4 4" xfId="33064" xr:uid="{B86934A4-CE3B-4964-9C03-E9BAFF6C528B}"/>
    <cellStyle name="Accent3 3 5" xfId="4407" xr:uid="{00000000-0005-0000-0000-000037110000}"/>
    <cellStyle name="Accent3 3 5 2" xfId="4408" xr:uid="{00000000-0005-0000-0000-000038110000}"/>
    <cellStyle name="Accent3 3 5 2 2" xfId="4409" xr:uid="{00000000-0005-0000-0000-000039110000}"/>
    <cellStyle name="Accent3 3 5 2 2 2" xfId="33070" xr:uid="{349A8CA6-46A6-438F-A7DF-8228B23C72D7}"/>
    <cellStyle name="Accent3 3 5 2 3" xfId="33069" xr:uid="{D87B5AD4-A5AF-405A-9D38-C24ABF45EE12}"/>
    <cellStyle name="Accent3 3 5 3" xfId="4410" xr:uid="{00000000-0005-0000-0000-00003A110000}"/>
    <cellStyle name="Accent3 3 5 3 2" xfId="4411" xr:uid="{00000000-0005-0000-0000-00003B110000}"/>
    <cellStyle name="Accent3 3 5 3 2 2" xfId="4412" xr:uid="{00000000-0005-0000-0000-00003C110000}"/>
    <cellStyle name="Accent3 3 5 3 2 2 2" xfId="33073" xr:uid="{9AA874FE-BA96-4C9C-A167-8419E2936772}"/>
    <cellStyle name="Accent3 3 5 3 2 3" xfId="33072" xr:uid="{C802D269-40BA-492E-B28F-A65482E6337D}"/>
    <cellStyle name="Accent3 3 5 3 3" xfId="4413" xr:uid="{00000000-0005-0000-0000-00003D110000}"/>
    <cellStyle name="Accent3 3 5 3 3 2" xfId="33074" xr:uid="{E713259F-121D-47E4-83B0-35541907EE8C}"/>
    <cellStyle name="Accent3 3 5 3 4" xfId="33071" xr:uid="{5BEB7D53-43D5-44B3-B67A-6EE2057629BC}"/>
    <cellStyle name="Accent3 3 5 4" xfId="4414" xr:uid="{00000000-0005-0000-0000-00003E110000}"/>
    <cellStyle name="Accent3 3 5 4 2" xfId="33075" xr:uid="{565D2326-F783-41D6-BC67-16EEA28F07CC}"/>
    <cellStyle name="Accent3 3 5 5" xfId="33068" xr:uid="{08E5554B-9D59-4134-9B6E-782F645F8105}"/>
    <cellStyle name="Accent3 3 6" xfId="4415" xr:uid="{00000000-0005-0000-0000-00003F110000}"/>
    <cellStyle name="Accent3 3 6 2" xfId="4416" xr:uid="{00000000-0005-0000-0000-000040110000}"/>
    <cellStyle name="Accent3 3 6 2 2" xfId="33077" xr:uid="{49720F8C-776C-4FAF-876D-CC36C3A3F494}"/>
    <cellStyle name="Accent3 3 6 3" xfId="33076" xr:uid="{D52E9422-4E2C-449E-A6F0-F9B983F78EA4}"/>
    <cellStyle name="Accent3 3 7" xfId="4417" xr:uid="{00000000-0005-0000-0000-000041110000}"/>
    <cellStyle name="Accent3 3 7 2" xfId="4418" xr:uid="{00000000-0005-0000-0000-000042110000}"/>
    <cellStyle name="Accent3 3 7 2 2" xfId="33079" xr:uid="{A6293410-779F-49E6-AF0D-FCA313180E97}"/>
    <cellStyle name="Accent3 3 7 3" xfId="33078" xr:uid="{8AFC0A6A-1353-4FA2-9B6D-3B2F5790F7B6}"/>
    <cellStyle name="Accent3 3 8" xfId="4419" xr:uid="{00000000-0005-0000-0000-000043110000}"/>
    <cellStyle name="Accent3 3 8 2" xfId="4420" xr:uid="{00000000-0005-0000-0000-000044110000}"/>
    <cellStyle name="Accent3 3 8 2 2" xfId="4421" xr:uid="{00000000-0005-0000-0000-000045110000}"/>
    <cellStyle name="Accent3 3 8 2 2 2" xfId="33082" xr:uid="{BDF29B54-AEBB-4608-944E-C7FCB413511B}"/>
    <cellStyle name="Accent3 3 8 2 3" xfId="33081" xr:uid="{50303225-2A2A-4991-8341-ECF4B3E9B4A1}"/>
    <cellStyle name="Accent3 3 8 3" xfId="4422" xr:uid="{00000000-0005-0000-0000-000046110000}"/>
    <cellStyle name="Accent3 3 8 3 2" xfId="33083" xr:uid="{6E662491-6272-48BB-BE58-E40F30B0E4CE}"/>
    <cellStyle name="Accent3 3 8 4" xfId="33080" xr:uid="{4342BDE3-2705-4319-832C-4F33CAB9C1A6}"/>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2 2 2" xfId="33086" xr:uid="{EB75F15A-505E-480E-9CB8-C85374EA1716}"/>
    <cellStyle name="Accent3 30 2 3" xfId="33085" xr:uid="{338B7EDF-C01A-4BB8-A875-8EBEB6480138}"/>
    <cellStyle name="Accent3 30 3" xfId="4430" xr:uid="{00000000-0005-0000-0000-00004E110000}"/>
    <cellStyle name="Accent3 30 3 2" xfId="33087" xr:uid="{AE51BAE6-8393-4143-BC79-25F927E68AE4}"/>
    <cellStyle name="Accent3 30 4" xfId="33084" xr:uid="{2713645C-C923-435A-91F9-6F46AB6F54C4}"/>
    <cellStyle name="Accent3 31" xfId="4431" xr:uid="{00000000-0005-0000-0000-00004F110000}"/>
    <cellStyle name="Accent3 31 2" xfId="4432" xr:uid="{00000000-0005-0000-0000-000050110000}"/>
    <cellStyle name="Accent3 31 2 2" xfId="4433" xr:uid="{00000000-0005-0000-0000-000051110000}"/>
    <cellStyle name="Accent3 31 2 2 2" xfId="33090" xr:uid="{F60B55C7-E176-480A-8BD3-2DCF6B5370F5}"/>
    <cellStyle name="Accent3 31 2 3" xfId="33089" xr:uid="{70FA90F2-CAAB-4176-89FE-CEC89AC3BD90}"/>
    <cellStyle name="Accent3 31 3" xfId="4434" xr:uid="{00000000-0005-0000-0000-000052110000}"/>
    <cellStyle name="Accent3 31 3 2" xfId="33091" xr:uid="{84E193EB-8490-4F94-9A93-5C40767D0571}"/>
    <cellStyle name="Accent3 31 4" xfId="33088" xr:uid="{6F812458-111E-423E-87FB-C8BAFE9B02E1}"/>
    <cellStyle name="Accent3 32" xfId="4435" xr:uid="{00000000-0005-0000-0000-000053110000}"/>
    <cellStyle name="Accent3 32 2" xfId="4436" xr:uid="{00000000-0005-0000-0000-000054110000}"/>
    <cellStyle name="Accent3 32 2 2" xfId="4437" xr:uid="{00000000-0005-0000-0000-000055110000}"/>
    <cellStyle name="Accent3 32 2 2 2" xfId="33094" xr:uid="{CCDBE843-7943-429E-A892-2F4D8BF754AC}"/>
    <cellStyle name="Accent3 32 2 3" xfId="33093" xr:uid="{CEFA2112-2B85-4E43-917C-2FBCD45E5F4D}"/>
    <cellStyle name="Accent3 32 3" xfId="4438" xr:uid="{00000000-0005-0000-0000-000056110000}"/>
    <cellStyle name="Accent3 32 3 2" xfId="33095" xr:uid="{B9A73D47-3516-46C8-B818-11947ED192BD}"/>
    <cellStyle name="Accent3 32 4" xfId="33092" xr:uid="{DB9ECB65-DB62-4032-BE74-6D14823B831A}"/>
    <cellStyle name="Accent3 33" xfId="4439" xr:uid="{00000000-0005-0000-0000-000057110000}"/>
    <cellStyle name="Accent3 33 2" xfId="4440" xr:uid="{00000000-0005-0000-0000-000058110000}"/>
    <cellStyle name="Accent3 33 2 2" xfId="4441" xr:uid="{00000000-0005-0000-0000-000059110000}"/>
    <cellStyle name="Accent3 33 2 2 2" xfId="33098" xr:uid="{DA4E0FA1-CEEE-4695-996D-E849633875B8}"/>
    <cellStyle name="Accent3 33 2 3" xfId="33097" xr:uid="{8DE4614B-8DD0-45AC-9B15-84D03FD800D1}"/>
    <cellStyle name="Accent3 33 3" xfId="4442" xr:uid="{00000000-0005-0000-0000-00005A110000}"/>
    <cellStyle name="Accent3 33 3 2" xfId="33099" xr:uid="{E4D30382-CE4F-4AE2-8447-DA4476E764F0}"/>
    <cellStyle name="Accent3 33 4" xfId="33096" xr:uid="{FE6E180D-9FAA-4695-B05B-E01D4F31B76C}"/>
    <cellStyle name="Accent3 34" xfId="4443" xr:uid="{00000000-0005-0000-0000-00005B110000}"/>
    <cellStyle name="Accent3 34 2" xfId="4444" xr:uid="{00000000-0005-0000-0000-00005C110000}"/>
    <cellStyle name="Accent3 34 2 2" xfId="4445" xr:uid="{00000000-0005-0000-0000-00005D110000}"/>
    <cellStyle name="Accent3 34 2 2 2" xfId="33102" xr:uid="{30157B00-683B-4136-9986-898D0BCBEFD9}"/>
    <cellStyle name="Accent3 34 2 3" xfId="33101" xr:uid="{A6590F20-3F45-4866-8C11-F8A3DE5169D8}"/>
    <cellStyle name="Accent3 34 3" xfId="4446" xr:uid="{00000000-0005-0000-0000-00005E110000}"/>
    <cellStyle name="Accent3 34 3 2" xfId="33103" xr:uid="{8CFD29D7-7CDE-4EB2-A0F7-3ABC05FD1715}"/>
    <cellStyle name="Accent3 34 4" xfId="33100" xr:uid="{7C415AE0-64BD-4AC6-AD0E-43F0B32B9531}"/>
    <cellStyle name="Accent3 35" xfId="4447" xr:uid="{00000000-0005-0000-0000-00005F110000}"/>
    <cellStyle name="Accent3 35 2" xfId="4448" xr:uid="{00000000-0005-0000-0000-000060110000}"/>
    <cellStyle name="Accent3 35 2 2" xfId="4449" xr:uid="{00000000-0005-0000-0000-000061110000}"/>
    <cellStyle name="Accent3 35 2 2 2" xfId="33106" xr:uid="{A2C0EC1B-3248-414F-8350-05878D6FBD8B}"/>
    <cellStyle name="Accent3 35 2 3" xfId="33105" xr:uid="{BE00BF11-60C1-432A-9026-8EA6EEA581B1}"/>
    <cellStyle name="Accent3 35 3" xfId="4450" xr:uid="{00000000-0005-0000-0000-000062110000}"/>
    <cellStyle name="Accent3 35 3 2" xfId="33107" xr:uid="{32A8F1A1-C9DB-4C2A-AA5A-87A104632D08}"/>
    <cellStyle name="Accent3 35 4" xfId="33104" xr:uid="{1D443EA9-B967-4739-BDFB-99C8DFD4D304}"/>
    <cellStyle name="Accent3 36" xfId="4451" xr:uid="{00000000-0005-0000-0000-000063110000}"/>
    <cellStyle name="Accent3 36 2" xfId="4452" xr:uid="{00000000-0005-0000-0000-000064110000}"/>
    <cellStyle name="Accent3 36 2 2" xfId="4453" xr:uid="{00000000-0005-0000-0000-000065110000}"/>
    <cellStyle name="Accent3 36 2 2 2" xfId="33110" xr:uid="{92A33D57-7EEF-4640-8B5C-D906FAC1D110}"/>
    <cellStyle name="Accent3 36 2 3" xfId="33109" xr:uid="{CDAC7FA4-895E-4D03-ACB7-4A9D6DAB8401}"/>
    <cellStyle name="Accent3 36 3" xfId="4454" xr:uid="{00000000-0005-0000-0000-000066110000}"/>
    <cellStyle name="Accent3 36 3 2" xfId="33111" xr:uid="{0743A075-EA54-4DD7-8F4B-4BA50510391F}"/>
    <cellStyle name="Accent3 36 4" xfId="33108" xr:uid="{684F012B-196F-4D30-8BF0-CF1ABF6CC132}"/>
    <cellStyle name="Accent3 37" xfId="4455" xr:uid="{00000000-0005-0000-0000-000067110000}"/>
    <cellStyle name="Accent3 37 2" xfId="4456" xr:uid="{00000000-0005-0000-0000-000068110000}"/>
    <cellStyle name="Accent3 37 2 2" xfId="4457" xr:uid="{00000000-0005-0000-0000-000069110000}"/>
    <cellStyle name="Accent3 37 2 2 2" xfId="33114" xr:uid="{774E6940-F829-4C06-B2CE-1BDC0555260C}"/>
    <cellStyle name="Accent3 37 2 3" xfId="33113" xr:uid="{063075B0-D428-4EA7-BED3-CB6AA66E29C5}"/>
    <cellStyle name="Accent3 37 3" xfId="4458" xr:uid="{00000000-0005-0000-0000-00006A110000}"/>
    <cellStyle name="Accent3 37 3 2" xfId="33115" xr:uid="{A288ECB5-FBD8-42D5-921A-269D2C2ED7B7}"/>
    <cellStyle name="Accent3 37 4" xfId="33112" xr:uid="{FCD1C59F-5377-4D3F-A51A-A6AC06B4EF35}"/>
    <cellStyle name="Accent3 38" xfId="4459" xr:uid="{00000000-0005-0000-0000-00006B110000}"/>
    <cellStyle name="Accent3 38 2" xfId="4460" xr:uid="{00000000-0005-0000-0000-00006C110000}"/>
    <cellStyle name="Accent3 38 2 2" xfId="4461" xr:uid="{00000000-0005-0000-0000-00006D110000}"/>
    <cellStyle name="Accent3 38 2 2 2" xfId="33118" xr:uid="{E658D1FE-CBE2-4CBE-8E07-81DDE7FA2152}"/>
    <cellStyle name="Accent3 38 2 3" xfId="33117" xr:uid="{4191F298-1451-4B19-8AAA-28A9BD1BCAF0}"/>
    <cellStyle name="Accent3 38 3" xfId="4462" xr:uid="{00000000-0005-0000-0000-00006E110000}"/>
    <cellStyle name="Accent3 38 3 2" xfId="33119" xr:uid="{E1D75C20-A6DE-467B-9B70-B92FE8BCDDB4}"/>
    <cellStyle name="Accent3 38 4" xfId="33116" xr:uid="{17DF858B-9152-44A2-8940-4FFF683B9E7B}"/>
    <cellStyle name="Accent3 39" xfId="4463" xr:uid="{00000000-0005-0000-0000-00006F110000}"/>
    <cellStyle name="Accent3 39 2" xfId="4464" xr:uid="{00000000-0005-0000-0000-000070110000}"/>
    <cellStyle name="Accent3 39 2 2" xfId="4465" xr:uid="{00000000-0005-0000-0000-000071110000}"/>
    <cellStyle name="Accent3 39 2 2 2" xfId="33122" xr:uid="{13E8833E-988D-49AB-BEF8-34E46C045A44}"/>
    <cellStyle name="Accent3 39 2 3" xfId="33121" xr:uid="{24FB3002-DB5C-422F-B101-EB8D0B637C33}"/>
    <cellStyle name="Accent3 39 3" xfId="4466" xr:uid="{00000000-0005-0000-0000-000072110000}"/>
    <cellStyle name="Accent3 39 3 2" xfId="33123" xr:uid="{D8B66B70-13A6-41F5-84C9-82AFEDC2F5F2}"/>
    <cellStyle name="Accent3 39 4" xfId="33120" xr:uid="{54F1DEA3-1BD6-4EAC-95B3-88A4743AB01B}"/>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2 2 2" xfId="33126" xr:uid="{5827A6D2-EF86-4B90-84CE-8D9A24D2EC6B}"/>
    <cellStyle name="Accent3 4 3 2 3" xfId="33125" xr:uid="{2B715D3E-AF97-41CD-BF4E-642033FBD42D}"/>
    <cellStyle name="Accent3 4 3 3" xfId="4479" xr:uid="{00000000-0005-0000-0000-00007F110000}"/>
    <cellStyle name="Accent3 4 3 3 2" xfId="4480" xr:uid="{00000000-0005-0000-0000-000080110000}"/>
    <cellStyle name="Accent3 4 3 3 2 2" xfId="4481" xr:uid="{00000000-0005-0000-0000-000081110000}"/>
    <cellStyle name="Accent3 4 3 3 2 2 2" xfId="33129" xr:uid="{D2F698D3-3B22-4C79-9B3F-06F68AE86939}"/>
    <cellStyle name="Accent3 4 3 3 2 3" xfId="33128" xr:uid="{A1112E72-8EB0-4B9C-830E-911C0FAB3A5D}"/>
    <cellStyle name="Accent3 4 3 3 3" xfId="4482" xr:uid="{00000000-0005-0000-0000-000082110000}"/>
    <cellStyle name="Accent3 4 3 3 3 2" xfId="33130" xr:uid="{10F4DC2F-184A-4A7C-AA06-09D9C8408E1C}"/>
    <cellStyle name="Accent3 4 3 3 4" xfId="33127" xr:uid="{64AC428B-16EE-4551-8067-37E8B83D8586}"/>
    <cellStyle name="Accent3 4 3 4" xfId="4483" xr:uid="{00000000-0005-0000-0000-000083110000}"/>
    <cellStyle name="Accent3 4 3 4 2" xfId="33131" xr:uid="{96256E22-363A-463D-9FDB-23070945FB92}"/>
    <cellStyle name="Accent3 4 3 5" xfId="33124" xr:uid="{7E4977AE-A1A2-47C2-A11C-5F8F59C947E3}"/>
    <cellStyle name="Accent3 4 4" xfId="4484" xr:uid="{00000000-0005-0000-0000-000084110000}"/>
    <cellStyle name="Accent3 4 4 2" xfId="4485" xr:uid="{00000000-0005-0000-0000-000085110000}"/>
    <cellStyle name="Accent3 4 4 2 2" xfId="4486" xr:uid="{00000000-0005-0000-0000-000086110000}"/>
    <cellStyle name="Accent3 4 4 2 2 2" xfId="33134" xr:uid="{090CD4A6-411A-405C-922A-E16DB2D18F1D}"/>
    <cellStyle name="Accent3 4 4 2 3" xfId="33133" xr:uid="{821C15BD-6C76-40B2-91BE-90AE95012892}"/>
    <cellStyle name="Accent3 4 4 3" xfId="4487" xr:uid="{00000000-0005-0000-0000-000087110000}"/>
    <cellStyle name="Accent3 4 4 3 2" xfId="33135" xr:uid="{BF525CBF-3117-446C-A623-F6D28186735A}"/>
    <cellStyle name="Accent3 4 4 4" xfId="33132" xr:uid="{469355D8-95B7-4BB9-B387-B9E8595F7D3F}"/>
    <cellStyle name="Accent3 4 5" xfId="4488" xr:uid="{00000000-0005-0000-0000-000088110000}"/>
    <cellStyle name="Accent3 4 5 2" xfId="4489" xr:uid="{00000000-0005-0000-0000-000089110000}"/>
    <cellStyle name="Accent3 4 5 2 2" xfId="33137" xr:uid="{38C0BC93-5E4C-45EA-81C8-5E2CB75695C7}"/>
    <cellStyle name="Accent3 4 5 3" xfId="33136" xr:uid="{A50ED6A9-7EB3-46B2-9847-E508BB657B74}"/>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2 2 2" xfId="33140" xr:uid="{FC3D4225-A5C7-457A-BCE0-B05ECBDFD8B2}"/>
    <cellStyle name="Accent3 4 7 2 3" xfId="33139" xr:uid="{2393D396-6E46-465C-8720-9AEABEEFB206}"/>
    <cellStyle name="Accent3 4 7 3" xfId="4497" xr:uid="{00000000-0005-0000-0000-000091110000}"/>
    <cellStyle name="Accent3 4 7 3 2" xfId="33141" xr:uid="{F381F56C-ED5B-4E3A-AB28-F8DDA741AEC0}"/>
    <cellStyle name="Accent3 4 7 4" xfId="33138" xr:uid="{A99003B7-0EF6-47BF-87FF-C2915164A69F}"/>
    <cellStyle name="Accent3 4 8" xfId="4498" xr:uid="{00000000-0005-0000-0000-000092110000}"/>
    <cellStyle name="Accent3 4 8 2" xfId="33142" xr:uid="{423375C0-7449-484D-804F-39C7375DE1E8}"/>
    <cellStyle name="Accent3 40" xfId="4499" xr:uid="{00000000-0005-0000-0000-000093110000}"/>
    <cellStyle name="Accent3 40 2" xfId="4500" xr:uid="{00000000-0005-0000-0000-000094110000}"/>
    <cellStyle name="Accent3 40 2 2" xfId="4501" xr:uid="{00000000-0005-0000-0000-000095110000}"/>
    <cellStyle name="Accent3 40 2 2 2" xfId="33145" xr:uid="{33FD9DFC-B7C0-4F60-8C51-21D2E7923F20}"/>
    <cellStyle name="Accent3 40 2 3" xfId="33144" xr:uid="{0510D687-78B7-4637-9208-4B72D374F6F1}"/>
    <cellStyle name="Accent3 40 3" xfId="4502" xr:uid="{00000000-0005-0000-0000-000096110000}"/>
    <cellStyle name="Accent3 40 3 2" xfId="33146" xr:uid="{AECA57A5-AF8B-45FA-B014-4C45278C07BC}"/>
    <cellStyle name="Accent3 40 4" xfId="33143" xr:uid="{4B025264-DAB3-4028-9CC3-0208BF88DEE3}"/>
    <cellStyle name="Accent3 41" xfId="4503" xr:uid="{00000000-0005-0000-0000-000097110000}"/>
    <cellStyle name="Accent3 41 2" xfId="4504" xr:uid="{00000000-0005-0000-0000-000098110000}"/>
    <cellStyle name="Accent3 41 2 2" xfId="4505" xr:uid="{00000000-0005-0000-0000-000099110000}"/>
    <cellStyle name="Accent3 41 2 2 2" xfId="33149" xr:uid="{C0DF7095-C217-440C-8979-61D83B4119E6}"/>
    <cellStyle name="Accent3 41 2 3" xfId="33148" xr:uid="{D90D2647-950A-463C-8C47-FFCF2D25BB59}"/>
    <cellStyle name="Accent3 41 3" xfId="4506" xr:uid="{00000000-0005-0000-0000-00009A110000}"/>
    <cellStyle name="Accent3 41 3 2" xfId="33150" xr:uid="{8EB8D5F6-91F8-49E2-ACF3-693DDAFF82FC}"/>
    <cellStyle name="Accent3 41 4" xfId="33147" xr:uid="{A3E19357-3BB7-4B10-A193-D70A9B59149B}"/>
    <cellStyle name="Accent3 42" xfId="4507" xr:uid="{00000000-0005-0000-0000-00009B110000}"/>
    <cellStyle name="Accent3 42 2" xfId="4508" xr:uid="{00000000-0005-0000-0000-00009C110000}"/>
    <cellStyle name="Accent3 42 2 2" xfId="4509" xr:uid="{00000000-0005-0000-0000-00009D110000}"/>
    <cellStyle name="Accent3 42 2 2 2" xfId="33153" xr:uid="{B152AC8F-0BBA-4A83-980D-55086311571D}"/>
    <cellStyle name="Accent3 42 2 3" xfId="33152" xr:uid="{B14713BB-C27C-49DB-BDAF-B6BE517013F8}"/>
    <cellStyle name="Accent3 42 3" xfId="4510" xr:uid="{00000000-0005-0000-0000-00009E110000}"/>
    <cellStyle name="Accent3 42 3 2" xfId="33154" xr:uid="{FEC0443E-17A4-497C-929B-4907DE0B8251}"/>
    <cellStyle name="Accent3 42 4" xfId="33151" xr:uid="{7ECE2D75-C301-411B-BAD7-8D3875F29183}"/>
    <cellStyle name="Accent3 43" xfId="4511" xr:uid="{00000000-0005-0000-0000-00009F110000}"/>
    <cellStyle name="Accent3 43 2" xfId="4512" xr:uid="{00000000-0005-0000-0000-0000A0110000}"/>
    <cellStyle name="Accent3 43 2 2" xfId="4513" xr:uid="{00000000-0005-0000-0000-0000A1110000}"/>
    <cellStyle name="Accent3 43 2 2 2" xfId="33157" xr:uid="{7394C987-70A4-41AB-AE59-8018E96116B0}"/>
    <cellStyle name="Accent3 43 2 3" xfId="33156" xr:uid="{DAA6C773-ECCE-4F6F-9512-48A90C9312A9}"/>
    <cellStyle name="Accent3 43 3" xfId="4514" xr:uid="{00000000-0005-0000-0000-0000A2110000}"/>
    <cellStyle name="Accent3 43 3 2" xfId="33158" xr:uid="{109978B1-B817-4CBA-9FC4-E3601AC27C85}"/>
    <cellStyle name="Accent3 43 4" xfId="33155" xr:uid="{A13329EE-EF62-4550-A20F-916233322DA9}"/>
    <cellStyle name="Accent3 44" xfId="4515" xr:uid="{00000000-0005-0000-0000-0000A3110000}"/>
    <cellStyle name="Accent3 44 2" xfId="4516" xr:uid="{00000000-0005-0000-0000-0000A4110000}"/>
    <cellStyle name="Accent3 44 2 2" xfId="4517" xr:uid="{00000000-0005-0000-0000-0000A5110000}"/>
    <cellStyle name="Accent3 44 2 2 2" xfId="33161" xr:uid="{3498523B-A133-4269-8295-F6C9CC8F0BC0}"/>
    <cellStyle name="Accent3 44 2 3" xfId="33160" xr:uid="{FC158260-083B-4018-AC7D-ED79CE9A5FE1}"/>
    <cellStyle name="Accent3 44 3" xfId="4518" xr:uid="{00000000-0005-0000-0000-0000A6110000}"/>
    <cellStyle name="Accent3 44 3 2" xfId="33162" xr:uid="{8929394C-895F-493C-A91E-3720CFA4378B}"/>
    <cellStyle name="Accent3 44 4" xfId="33159" xr:uid="{CEF3A581-1B32-489E-A1BE-3FD18A32A0A1}"/>
    <cellStyle name="Accent3 45" xfId="4519" xr:uid="{00000000-0005-0000-0000-0000A7110000}"/>
    <cellStyle name="Accent3 45 2" xfId="4520" xr:uid="{00000000-0005-0000-0000-0000A8110000}"/>
    <cellStyle name="Accent3 45 2 2" xfId="4521" xr:uid="{00000000-0005-0000-0000-0000A9110000}"/>
    <cellStyle name="Accent3 45 2 2 2" xfId="33165" xr:uid="{1358279A-5E3B-4E12-8FB0-9C7E8C0F8A6B}"/>
    <cellStyle name="Accent3 45 2 3" xfId="33164" xr:uid="{36FCC1BF-CDAD-46F4-B811-F61BA25DA1A3}"/>
    <cellStyle name="Accent3 45 3" xfId="4522" xr:uid="{00000000-0005-0000-0000-0000AA110000}"/>
    <cellStyle name="Accent3 45 3 2" xfId="33166" xr:uid="{577E4C78-CF61-43E5-966E-5EF6A492FF7E}"/>
    <cellStyle name="Accent3 45 4" xfId="33163" xr:uid="{4A41EDC0-E26B-4797-9F28-2F6F9DB25ED9}"/>
    <cellStyle name="Accent3 46" xfId="4523" xr:uid="{00000000-0005-0000-0000-0000AB110000}"/>
    <cellStyle name="Accent3 46 2" xfId="4524" xr:uid="{00000000-0005-0000-0000-0000AC110000}"/>
    <cellStyle name="Accent3 46 2 2" xfId="4525" xr:uid="{00000000-0005-0000-0000-0000AD110000}"/>
    <cellStyle name="Accent3 46 2 2 2" xfId="33169" xr:uid="{3FC21DDB-0AB3-4B12-82F0-659E85751160}"/>
    <cellStyle name="Accent3 46 2 3" xfId="33168" xr:uid="{CCF9B2CC-E494-4CF1-9C09-2B33F22F0D7D}"/>
    <cellStyle name="Accent3 46 3" xfId="4526" xr:uid="{00000000-0005-0000-0000-0000AE110000}"/>
    <cellStyle name="Accent3 46 3 2" xfId="33170" xr:uid="{FE9E868F-FF62-4977-B551-7A46A0DADDF0}"/>
    <cellStyle name="Accent3 46 4" xfId="33167" xr:uid="{AF5CB2C6-B2BC-47B8-AE7D-3D594744E61A}"/>
    <cellStyle name="Accent3 47" xfId="4527" xr:uid="{00000000-0005-0000-0000-0000AF110000}"/>
    <cellStyle name="Accent3 47 2" xfId="4528" xr:uid="{00000000-0005-0000-0000-0000B0110000}"/>
    <cellStyle name="Accent3 47 2 2" xfId="4529" xr:uid="{00000000-0005-0000-0000-0000B1110000}"/>
    <cellStyle name="Accent3 47 2 2 2" xfId="33173" xr:uid="{3BDEDA03-7753-47BC-801E-0696D1EA5ECD}"/>
    <cellStyle name="Accent3 47 2 3" xfId="33172" xr:uid="{643EA925-FA8C-4C28-96D6-B3AE35886CCA}"/>
    <cellStyle name="Accent3 47 3" xfId="4530" xr:uid="{00000000-0005-0000-0000-0000B2110000}"/>
    <cellStyle name="Accent3 47 3 2" xfId="33174" xr:uid="{E912D9CB-F8C3-49B0-B2A9-7F0D56D6EDBC}"/>
    <cellStyle name="Accent3 47 4" xfId="33171" xr:uid="{5A216B98-F0C6-48AA-BE71-57BF16E69BE2}"/>
    <cellStyle name="Accent3 48" xfId="4531" xr:uid="{00000000-0005-0000-0000-0000B3110000}"/>
    <cellStyle name="Accent3 48 2" xfId="4532" xr:uid="{00000000-0005-0000-0000-0000B4110000}"/>
    <cellStyle name="Accent3 48 2 2" xfId="4533" xr:uid="{00000000-0005-0000-0000-0000B5110000}"/>
    <cellStyle name="Accent3 48 2 2 2" xfId="33177" xr:uid="{7BA168E1-A20F-4C76-A566-D1892A85A5E5}"/>
    <cellStyle name="Accent3 48 2 3" xfId="33176" xr:uid="{8676465C-1117-487F-BC66-A926F3C6C754}"/>
    <cellStyle name="Accent3 48 3" xfId="4534" xr:uid="{00000000-0005-0000-0000-0000B6110000}"/>
    <cellStyle name="Accent3 48 3 2" xfId="4535" xr:uid="{00000000-0005-0000-0000-0000B7110000}"/>
    <cellStyle name="Accent3 48 3 2 2" xfId="4536" xr:uid="{00000000-0005-0000-0000-0000B8110000}"/>
    <cellStyle name="Accent3 48 3 2 2 2" xfId="33180" xr:uid="{1DDDDE8A-3927-46C3-9049-1D05DD987A2E}"/>
    <cellStyle name="Accent3 48 3 2 3" xfId="33179" xr:uid="{DE314872-DCBE-4F8E-B4A0-4413BE875C0A}"/>
    <cellStyle name="Accent3 48 3 3" xfId="4537" xr:uid="{00000000-0005-0000-0000-0000B9110000}"/>
    <cellStyle name="Accent3 48 3 3 2" xfId="33181" xr:uid="{0100356D-8117-4024-88B1-3A6D41ACB376}"/>
    <cellStyle name="Accent3 48 3 4" xfId="33178" xr:uid="{531D33EE-6BC3-4954-B271-65D8756DE05D}"/>
    <cellStyle name="Accent3 48 4" xfId="4538" xr:uid="{00000000-0005-0000-0000-0000BA110000}"/>
    <cellStyle name="Accent3 48 4 2" xfId="33182" xr:uid="{14DC0853-7A2F-4B14-A79A-41D747CE2A29}"/>
    <cellStyle name="Accent3 48 5" xfId="33175" xr:uid="{20C2F49F-1859-4683-89B5-0AAB07529D16}"/>
    <cellStyle name="Accent3 49" xfId="4539" xr:uid="{00000000-0005-0000-0000-0000BB110000}"/>
    <cellStyle name="Accent3 49 2" xfId="4540" xr:uid="{00000000-0005-0000-0000-0000BC110000}"/>
    <cellStyle name="Accent3 49 2 2" xfId="4541" xr:uid="{00000000-0005-0000-0000-0000BD110000}"/>
    <cellStyle name="Accent3 49 2 2 2" xfId="33185" xr:uid="{51C622A5-FD39-4B5C-ACB5-8858A89836F0}"/>
    <cellStyle name="Accent3 49 2 3" xfId="33184" xr:uid="{39E9D08F-4F86-4184-92BD-C6F36102D48F}"/>
    <cellStyle name="Accent3 49 3" xfId="4542" xr:uid="{00000000-0005-0000-0000-0000BE110000}"/>
    <cellStyle name="Accent3 49 3 2" xfId="4543" xr:uid="{00000000-0005-0000-0000-0000BF110000}"/>
    <cellStyle name="Accent3 49 3 2 2" xfId="4544" xr:uid="{00000000-0005-0000-0000-0000C0110000}"/>
    <cellStyle name="Accent3 49 3 2 2 2" xfId="33188" xr:uid="{E2D6180A-CE86-4F89-B845-F086E492AC39}"/>
    <cellStyle name="Accent3 49 3 2 3" xfId="33187" xr:uid="{7C400852-1F99-4DA6-B8DE-645D1975C7A1}"/>
    <cellStyle name="Accent3 49 3 3" xfId="4545" xr:uid="{00000000-0005-0000-0000-0000C1110000}"/>
    <cellStyle name="Accent3 49 3 3 2" xfId="33189" xr:uid="{0858A380-CB7C-4A4C-970F-38F0DE842505}"/>
    <cellStyle name="Accent3 49 3 4" xfId="33186" xr:uid="{B4CAF1CE-E77E-4241-A850-BE3AF4C1967B}"/>
    <cellStyle name="Accent3 49 4" xfId="4546" xr:uid="{00000000-0005-0000-0000-0000C2110000}"/>
    <cellStyle name="Accent3 49 4 2" xfId="33190" xr:uid="{F143C4C7-B67A-49C9-8370-A9BB2268C18B}"/>
    <cellStyle name="Accent3 49 5" xfId="33183" xr:uid="{30AD7896-8397-4311-A592-0AFCA3769CCA}"/>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2 2 2" xfId="33193" xr:uid="{60A2BE08-AD55-4B18-B76B-1F16BD60040A}"/>
    <cellStyle name="Accent3 5 2 2 3" xfId="33192" xr:uid="{C8E8DE90-D009-4EB4-B5BC-89BD4AA02388}"/>
    <cellStyle name="Accent3 5 2 3" xfId="4551" xr:uid="{00000000-0005-0000-0000-0000C7110000}"/>
    <cellStyle name="Accent3 5 2 3 2" xfId="4552" xr:uid="{00000000-0005-0000-0000-0000C8110000}"/>
    <cellStyle name="Accent3 5 2 3 2 2" xfId="4553" xr:uid="{00000000-0005-0000-0000-0000C9110000}"/>
    <cellStyle name="Accent3 5 2 3 2 2 2" xfId="33196" xr:uid="{10F4E584-9D27-4DF0-8734-5F45750AB05A}"/>
    <cellStyle name="Accent3 5 2 3 2 3" xfId="33195" xr:uid="{8C991F02-C044-40AB-803C-56B94B4F2FDD}"/>
    <cellStyle name="Accent3 5 2 3 3" xfId="4554" xr:uid="{00000000-0005-0000-0000-0000CA110000}"/>
    <cellStyle name="Accent3 5 2 3 3 2" xfId="33197" xr:uid="{D1E23D51-CC47-4861-9499-3CC8D7C73779}"/>
    <cellStyle name="Accent3 5 2 3 4" xfId="33194" xr:uid="{E6C432BB-DD04-495D-B453-D0FD602060CA}"/>
    <cellStyle name="Accent3 5 2 4" xfId="4555" xr:uid="{00000000-0005-0000-0000-0000CB110000}"/>
    <cellStyle name="Accent3 5 2 4 2" xfId="33198" xr:uid="{DEE80172-8C5C-40E5-B1F0-C7C5A7A65CBF}"/>
    <cellStyle name="Accent3 5 2 5" xfId="33191" xr:uid="{6C2477CB-FE70-4200-BC06-1B497F0AF187}"/>
    <cellStyle name="Accent3 5 3" xfId="4556" xr:uid="{00000000-0005-0000-0000-0000CC110000}"/>
    <cellStyle name="Accent3 5 3 2" xfId="4557" xr:uid="{00000000-0005-0000-0000-0000CD110000}"/>
    <cellStyle name="Accent3 5 3 2 2" xfId="4558" xr:uid="{00000000-0005-0000-0000-0000CE110000}"/>
    <cellStyle name="Accent3 5 3 2 2 2" xfId="33201" xr:uid="{1D4CD2D7-8F23-44D9-90DD-14F7ED057787}"/>
    <cellStyle name="Accent3 5 3 2 3" xfId="33200" xr:uid="{1443E784-93C5-45AE-A37A-4E38AD575EB1}"/>
    <cellStyle name="Accent3 5 3 3" xfId="4559" xr:uid="{00000000-0005-0000-0000-0000CF110000}"/>
    <cellStyle name="Accent3 5 3 3 2" xfId="4560" xr:uid="{00000000-0005-0000-0000-0000D0110000}"/>
    <cellStyle name="Accent3 5 3 3 2 2" xfId="4561" xr:uid="{00000000-0005-0000-0000-0000D1110000}"/>
    <cellStyle name="Accent3 5 3 3 2 2 2" xfId="33204" xr:uid="{5C3599CB-C7DD-4F7E-9628-C0828791B054}"/>
    <cellStyle name="Accent3 5 3 3 2 3" xfId="33203" xr:uid="{4FC72BC0-E6AD-41B5-A1C3-94E34E162700}"/>
    <cellStyle name="Accent3 5 3 3 3" xfId="4562" xr:uid="{00000000-0005-0000-0000-0000D2110000}"/>
    <cellStyle name="Accent3 5 3 3 3 2" xfId="33205" xr:uid="{829C04C2-72E8-476B-9A42-D55C3C82E5C3}"/>
    <cellStyle name="Accent3 5 3 3 4" xfId="33202" xr:uid="{CA580D3E-88CC-452A-AB1C-76AE6C199194}"/>
    <cellStyle name="Accent3 5 3 4" xfId="4563" xr:uid="{00000000-0005-0000-0000-0000D3110000}"/>
    <cellStyle name="Accent3 5 3 4 2" xfId="33206" xr:uid="{2CFCE338-0D7A-49BD-A976-41950D5B7496}"/>
    <cellStyle name="Accent3 5 3 5" xfId="33199" xr:uid="{62D1C65B-F513-46A1-8D77-1A00CD9B1D31}"/>
    <cellStyle name="Accent3 5 4" xfId="4564" xr:uid="{00000000-0005-0000-0000-0000D4110000}"/>
    <cellStyle name="Accent3 5 4 2" xfId="4565" xr:uid="{00000000-0005-0000-0000-0000D5110000}"/>
    <cellStyle name="Accent3 5 4 2 2" xfId="33208" xr:uid="{B86DD3E9-3CD2-4C37-9E8C-2EA9E7E2DD11}"/>
    <cellStyle name="Accent3 5 4 3" xfId="33207" xr:uid="{3FD89B07-0BAB-49FE-8C84-73C99D3D50CD}"/>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6 2 2" xfId="33210" xr:uid="{48C9C0C2-059C-4E18-B668-5DE72593D709}"/>
    <cellStyle name="Accent3 5 6 3" xfId="33209" xr:uid="{A825EFC9-ED45-4E22-A592-4300E6D89FD8}"/>
    <cellStyle name="Accent3 5 7" xfId="4572" xr:uid="{00000000-0005-0000-0000-0000DC110000}"/>
    <cellStyle name="Accent3 5 7 2" xfId="33211" xr:uid="{28B78FF1-103A-420D-A17F-05ACB6F5785C}"/>
    <cellStyle name="Accent3 50" xfId="4573" xr:uid="{00000000-0005-0000-0000-0000DD110000}"/>
    <cellStyle name="Accent3 50 2" xfId="4574" xr:uid="{00000000-0005-0000-0000-0000DE110000}"/>
    <cellStyle name="Accent3 50 2 2" xfId="4575" xr:uid="{00000000-0005-0000-0000-0000DF110000}"/>
    <cellStyle name="Accent3 50 2 2 2" xfId="33214" xr:uid="{70FBB454-642E-40BA-A346-65E34769056C}"/>
    <cellStyle name="Accent3 50 2 3" xfId="33213" xr:uid="{7CA7BB9C-C891-4A7E-BB81-8096E8F7417F}"/>
    <cellStyle name="Accent3 50 3" xfId="4576" xr:uid="{00000000-0005-0000-0000-0000E0110000}"/>
    <cellStyle name="Accent3 50 3 2" xfId="4577" xr:uid="{00000000-0005-0000-0000-0000E1110000}"/>
    <cellStyle name="Accent3 50 3 2 2" xfId="4578" xr:uid="{00000000-0005-0000-0000-0000E2110000}"/>
    <cellStyle name="Accent3 50 3 2 2 2" xfId="33217" xr:uid="{9FDB5B06-1EE1-4563-9CEE-E03EFEF200D5}"/>
    <cellStyle name="Accent3 50 3 2 3" xfId="33216" xr:uid="{0AF34903-20D8-46AD-992E-273A37B3C6DC}"/>
    <cellStyle name="Accent3 50 3 3" xfId="4579" xr:uid="{00000000-0005-0000-0000-0000E3110000}"/>
    <cellStyle name="Accent3 50 3 3 2" xfId="33218" xr:uid="{81CE9FA0-43B0-48A2-A20A-B391A2F2DB4F}"/>
    <cellStyle name="Accent3 50 3 4" xfId="33215" xr:uid="{D43D0C63-4F6C-47F9-BF7F-C435E42E65B3}"/>
    <cellStyle name="Accent3 50 4" xfId="4580" xr:uid="{00000000-0005-0000-0000-0000E4110000}"/>
    <cellStyle name="Accent3 50 4 2" xfId="33219" xr:uid="{2EC5C3A2-1420-4F33-B0E5-4D69551513A4}"/>
    <cellStyle name="Accent3 50 5" xfId="33212" xr:uid="{18D7559D-F6E6-446E-A45D-78D77D76DCB4}"/>
    <cellStyle name="Accent3 51" xfId="4581" xr:uid="{00000000-0005-0000-0000-0000E5110000}"/>
    <cellStyle name="Accent3 51 2" xfId="4582" xr:uid="{00000000-0005-0000-0000-0000E6110000}"/>
    <cellStyle name="Accent3 51 2 2" xfId="4583" xr:uid="{00000000-0005-0000-0000-0000E7110000}"/>
    <cellStyle name="Accent3 51 2 2 2" xfId="33222" xr:uid="{FF63CEBC-E09E-4DE4-B8BA-AB5AFFC748FE}"/>
    <cellStyle name="Accent3 51 2 3" xfId="33221" xr:uid="{85B08C68-97CB-4CEC-AD57-CA87AC7E7EBE}"/>
    <cellStyle name="Accent3 51 3" xfId="4584" xr:uid="{00000000-0005-0000-0000-0000E8110000}"/>
    <cellStyle name="Accent3 51 3 2" xfId="4585" xr:uid="{00000000-0005-0000-0000-0000E9110000}"/>
    <cellStyle name="Accent3 51 3 2 2" xfId="4586" xr:uid="{00000000-0005-0000-0000-0000EA110000}"/>
    <cellStyle name="Accent3 51 3 2 2 2" xfId="33225" xr:uid="{29F70118-89F9-43E7-A5DA-228015453323}"/>
    <cellStyle name="Accent3 51 3 2 3" xfId="33224" xr:uid="{C32D78DB-0344-4006-8EDB-E7A5FE3552A0}"/>
    <cellStyle name="Accent3 51 3 3" xfId="4587" xr:uid="{00000000-0005-0000-0000-0000EB110000}"/>
    <cellStyle name="Accent3 51 3 3 2" xfId="33226" xr:uid="{258C3F2D-9579-44AD-A516-4CBBE15F887B}"/>
    <cellStyle name="Accent3 51 3 4" xfId="33223" xr:uid="{FDDC5B93-14F2-4AA8-83F2-F55CDDDB8D94}"/>
    <cellStyle name="Accent3 51 4" xfId="4588" xr:uid="{00000000-0005-0000-0000-0000EC110000}"/>
    <cellStyle name="Accent3 51 4 2" xfId="33227" xr:uid="{83705CFF-4C8A-4A40-8383-3D24D7FD042A}"/>
    <cellStyle name="Accent3 51 5" xfId="33220" xr:uid="{2E6D3B19-42EC-4282-B209-C1CA0CF74894}"/>
    <cellStyle name="Accent3 52" xfId="4589" xr:uid="{00000000-0005-0000-0000-0000ED110000}"/>
    <cellStyle name="Accent3 52 2" xfId="4590" xr:uid="{00000000-0005-0000-0000-0000EE110000}"/>
    <cellStyle name="Accent3 52 2 2" xfId="4591" xr:uid="{00000000-0005-0000-0000-0000EF110000}"/>
    <cellStyle name="Accent3 52 2 2 2" xfId="33230" xr:uid="{98C341F4-8D9F-40F2-9ABB-647FF711C1F5}"/>
    <cellStyle name="Accent3 52 2 3" xfId="33229" xr:uid="{AC22C211-02CE-49F7-967C-9A12B667792E}"/>
    <cellStyle name="Accent3 52 3" xfId="4592" xr:uid="{00000000-0005-0000-0000-0000F0110000}"/>
    <cellStyle name="Accent3 52 3 2" xfId="33231" xr:uid="{4FBC6567-6943-4A53-813F-891DDB5C9264}"/>
    <cellStyle name="Accent3 52 4" xfId="33228" xr:uid="{28B46731-C03D-4395-9C60-B735382A34F2}"/>
    <cellStyle name="Accent3 53" xfId="4593" xr:uid="{00000000-0005-0000-0000-0000F1110000}"/>
    <cellStyle name="Accent3 53 2" xfId="4594" xr:uid="{00000000-0005-0000-0000-0000F2110000}"/>
    <cellStyle name="Accent3 53 2 2" xfId="4595" xr:uid="{00000000-0005-0000-0000-0000F3110000}"/>
    <cellStyle name="Accent3 53 2 2 2" xfId="33234" xr:uid="{F1C82B09-07DA-41F7-A10A-3FCB44D95F34}"/>
    <cellStyle name="Accent3 53 2 3" xfId="33233" xr:uid="{0289EF10-D5D7-4D93-A5C3-ECB5DAE1ECB5}"/>
    <cellStyle name="Accent3 53 3" xfId="4596" xr:uid="{00000000-0005-0000-0000-0000F4110000}"/>
    <cellStyle name="Accent3 53 3 2" xfId="33235" xr:uid="{195DBEF0-9694-4923-BCDB-6086F5EEE410}"/>
    <cellStyle name="Accent3 53 4" xfId="33232" xr:uid="{92920537-F14B-450C-ABF0-D1BD3B2EFCF9}"/>
    <cellStyle name="Accent3 54" xfId="4597" xr:uid="{00000000-0005-0000-0000-0000F5110000}"/>
    <cellStyle name="Accent3 54 2" xfId="4598" xr:uid="{00000000-0005-0000-0000-0000F6110000}"/>
    <cellStyle name="Accent3 54 2 2" xfId="4599" xr:uid="{00000000-0005-0000-0000-0000F7110000}"/>
    <cellStyle name="Accent3 54 2 2 2" xfId="33238" xr:uid="{03A6DC1D-032C-407D-928B-5369A6F83510}"/>
    <cellStyle name="Accent3 54 2 3" xfId="33237" xr:uid="{0A0D4B9F-F335-4713-9B1C-7A552286A14B}"/>
    <cellStyle name="Accent3 54 3" xfId="4600" xr:uid="{00000000-0005-0000-0000-0000F8110000}"/>
    <cellStyle name="Accent3 54 3 2" xfId="33239" xr:uid="{DE3BDD9B-2DD8-4FC4-A8E0-1179ADCC0A4C}"/>
    <cellStyle name="Accent3 54 4" xfId="33236" xr:uid="{8916DE9B-B9EF-489A-9515-5C6E811C30A0}"/>
    <cellStyle name="Accent3 55" xfId="4601" xr:uid="{00000000-0005-0000-0000-0000F9110000}"/>
    <cellStyle name="Accent3 55 2" xfId="4602" xr:uid="{00000000-0005-0000-0000-0000FA110000}"/>
    <cellStyle name="Accent3 55 2 2" xfId="4603" xr:uid="{00000000-0005-0000-0000-0000FB110000}"/>
    <cellStyle name="Accent3 55 2 2 2" xfId="33242" xr:uid="{D417A758-1487-4A29-9B41-EF2267C44CCC}"/>
    <cellStyle name="Accent3 55 2 3" xfId="33241" xr:uid="{03E4AA4A-8156-4688-8B7D-63486625DD79}"/>
    <cellStyle name="Accent3 55 3" xfId="4604" xr:uid="{00000000-0005-0000-0000-0000FC110000}"/>
    <cellStyle name="Accent3 55 3 2" xfId="33243" xr:uid="{A063AE81-46D4-42F7-8BE8-5A01A3C4AD96}"/>
    <cellStyle name="Accent3 55 4" xfId="33240" xr:uid="{BC90619E-E3DC-4611-8777-79A9DE2C51F4}"/>
    <cellStyle name="Accent3 56" xfId="4605" xr:uid="{00000000-0005-0000-0000-0000FD110000}"/>
    <cellStyle name="Accent3 56 2" xfId="4606" xr:uid="{00000000-0005-0000-0000-0000FE110000}"/>
    <cellStyle name="Accent3 56 2 2" xfId="4607" xr:uid="{00000000-0005-0000-0000-0000FF110000}"/>
    <cellStyle name="Accent3 56 2 2 2" xfId="33246" xr:uid="{7DDF8719-CAED-43F6-85C9-59A6D1E05CDB}"/>
    <cellStyle name="Accent3 56 2 3" xfId="33245" xr:uid="{36D77579-A1F5-47C9-AF0D-4AEE808F7B4E}"/>
    <cellStyle name="Accent3 56 3" xfId="4608" xr:uid="{00000000-0005-0000-0000-000000120000}"/>
    <cellStyle name="Accent3 56 3 2" xfId="33247" xr:uid="{BFF4AD7C-4B8F-4447-80AD-F933D5A50601}"/>
    <cellStyle name="Accent3 56 4" xfId="33244" xr:uid="{7C9CEA2B-43DA-46A2-A6E3-A200E5EB3607}"/>
    <cellStyle name="Accent3 57" xfId="4609" xr:uid="{00000000-0005-0000-0000-000001120000}"/>
    <cellStyle name="Accent3 57 2" xfId="4610" xr:uid="{00000000-0005-0000-0000-000002120000}"/>
    <cellStyle name="Accent3 57 2 2" xfId="4611" xr:uid="{00000000-0005-0000-0000-000003120000}"/>
    <cellStyle name="Accent3 57 2 2 2" xfId="33250" xr:uid="{F32BDC71-044F-45D6-BE20-89571C576B77}"/>
    <cellStyle name="Accent3 57 2 3" xfId="33249" xr:uid="{3E5D3690-56D2-43A2-BFF6-80D548FFAF3D}"/>
    <cellStyle name="Accent3 57 3" xfId="4612" xr:uid="{00000000-0005-0000-0000-000004120000}"/>
    <cellStyle name="Accent3 57 3 2" xfId="33251" xr:uid="{5539E13A-1DC2-493F-9B17-EDD7F227CE4D}"/>
    <cellStyle name="Accent3 57 4" xfId="33248" xr:uid="{72D94288-4119-416B-ABCD-69B6EFE352B6}"/>
    <cellStyle name="Accent3 58" xfId="4613" xr:uid="{00000000-0005-0000-0000-000005120000}"/>
    <cellStyle name="Accent3 58 2" xfId="4614" xr:uid="{00000000-0005-0000-0000-000006120000}"/>
    <cellStyle name="Accent3 58 2 2" xfId="4615" xr:uid="{00000000-0005-0000-0000-000007120000}"/>
    <cellStyle name="Accent3 58 2 2 2" xfId="33254" xr:uid="{B1C85DC3-D32A-43B5-ACEF-639906DA4042}"/>
    <cellStyle name="Accent3 58 2 3" xfId="33253" xr:uid="{46D9CA47-43AE-4974-8A9F-74DCC6712F93}"/>
    <cellStyle name="Accent3 58 3" xfId="4616" xr:uid="{00000000-0005-0000-0000-000008120000}"/>
    <cellStyle name="Accent3 58 3 2" xfId="4617" xr:uid="{00000000-0005-0000-0000-000009120000}"/>
    <cellStyle name="Accent3 58 3 2 2" xfId="4618" xr:uid="{00000000-0005-0000-0000-00000A120000}"/>
    <cellStyle name="Accent3 58 3 2 2 2" xfId="33257" xr:uid="{292901BA-1C2F-4047-AED2-3683AE304178}"/>
    <cellStyle name="Accent3 58 3 2 3" xfId="33256" xr:uid="{8574A879-6314-4258-8355-A559582F511E}"/>
    <cellStyle name="Accent3 58 3 3" xfId="4619" xr:uid="{00000000-0005-0000-0000-00000B120000}"/>
    <cellStyle name="Accent3 58 3 3 2" xfId="33258" xr:uid="{AEF4A9E5-D365-4555-A4FC-FD0CC23584AF}"/>
    <cellStyle name="Accent3 58 3 4" xfId="33255" xr:uid="{320FFBF9-E2BF-4E7F-BB79-F33369777361}"/>
    <cellStyle name="Accent3 58 4" xfId="4620" xr:uid="{00000000-0005-0000-0000-00000C120000}"/>
    <cellStyle name="Accent3 58 4 2" xfId="33259" xr:uid="{A9A10F2A-1E33-40A6-BE5F-A213F8AD5149}"/>
    <cellStyle name="Accent3 58 5" xfId="33252" xr:uid="{AEA50003-DDDE-4491-8FCD-733C4D2E09B9}"/>
    <cellStyle name="Accent3 59" xfId="4621" xr:uid="{00000000-0005-0000-0000-00000D120000}"/>
    <cellStyle name="Accent3 59 2" xfId="4622" xr:uid="{00000000-0005-0000-0000-00000E120000}"/>
    <cellStyle name="Accent3 59 2 2" xfId="4623" xr:uid="{00000000-0005-0000-0000-00000F120000}"/>
    <cellStyle name="Accent3 59 2 2 2" xfId="33262" xr:uid="{7397C693-EF7E-4C03-B700-9835EB4E71B6}"/>
    <cellStyle name="Accent3 59 2 3" xfId="33261" xr:uid="{5B480278-67EC-4726-A6B3-7BD17D6484C0}"/>
    <cellStyle name="Accent3 59 3" xfId="4624" xr:uid="{00000000-0005-0000-0000-000010120000}"/>
    <cellStyle name="Accent3 59 3 2" xfId="4625" xr:uid="{00000000-0005-0000-0000-000011120000}"/>
    <cellStyle name="Accent3 59 3 2 2" xfId="4626" xr:uid="{00000000-0005-0000-0000-000012120000}"/>
    <cellStyle name="Accent3 59 3 2 2 2" xfId="33265" xr:uid="{4F76EA43-316A-4E18-A2DF-267711F52F0D}"/>
    <cellStyle name="Accent3 59 3 2 3" xfId="33264" xr:uid="{FE788D2D-7F6F-4FA9-878C-28CCE629FE44}"/>
    <cellStyle name="Accent3 59 3 3" xfId="4627" xr:uid="{00000000-0005-0000-0000-000013120000}"/>
    <cellStyle name="Accent3 59 3 3 2" xfId="33266" xr:uid="{2E03CDB3-8164-4341-9513-7E6F15272712}"/>
    <cellStyle name="Accent3 59 3 4" xfId="33263" xr:uid="{548F396C-95EE-475B-9EDC-30E5C36036C6}"/>
    <cellStyle name="Accent3 59 4" xfId="4628" xr:uid="{00000000-0005-0000-0000-000014120000}"/>
    <cellStyle name="Accent3 59 4 2" xfId="33267" xr:uid="{71505B82-56C3-4345-9D33-4068F991126B}"/>
    <cellStyle name="Accent3 59 5" xfId="33260" xr:uid="{260886F9-0577-4200-9244-D487C5B52A69}"/>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2 2 2" xfId="33271" xr:uid="{25C4EC3D-7B93-45C6-9B16-7A643431E7D0}"/>
    <cellStyle name="Accent3 6 2 2 3" xfId="33270" xr:uid="{5B5B575B-8B87-4D97-86E6-0B4A69C19ED7}"/>
    <cellStyle name="Accent3 6 2 3" xfId="4633" xr:uid="{00000000-0005-0000-0000-000019120000}"/>
    <cellStyle name="Accent3 6 2 3 2" xfId="4634" xr:uid="{00000000-0005-0000-0000-00001A120000}"/>
    <cellStyle name="Accent3 6 2 3 2 2" xfId="4635" xr:uid="{00000000-0005-0000-0000-00001B120000}"/>
    <cellStyle name="Accent3 6 2 3 2 2 2" xfId="33274" xr:uid="{A328E44B-11BA-4C14-AF4F-EDE9EE0D7301}"/>
    <cellStyle name="Accent3 6 2 3 2 3" xfId="33273" xr:uid="{52A40D9B-4A07-4F39-941C-0B3EEAEABBFB}"/>
    <cellStyle name="Accent3 6 2 3 3" xfId="4636" xr:uid="{00000000-0005-0000-0000-00001C120000}"/>
    <cellStyle name="Accent3 6 2 3 3 2" xfId="33275" xr:uid="{1D04851B-979B-4692-83F2-9610B644BFCF}"/>
    <cellStyle name="Accent3 6 2 3 4" xfId="33272" xr:uid="{524B7036-F3A2-4A63-9847-0EAD5020037E}"/>
    <cellStyle name="Accent3 6 2 4" xfId="4637" xr:uid="{00000000-0005-0000-0000-00001D120000}"/>
    <cellStyle name="Accent3 6 2 4 2" xfId="33276" xr:uid="{7AA62715-7254-4012-8D3B-49551AD6DBF0}"/>
    <cellStyle name="Accent3 6 2 5" xfId="33269" xr:uid="{7CB2228A-0659-4688-B3C4-D3C9251C6F75}"/>
    <cellStyle name="Accent3 6 3" xfId="4638" xr:uid="{00000000-0005-0000-0000-00001E120000}"/>
    <cellStyle name="Accent3 6 3 2" xfId="4639" xr:uid="{00000000-0005-0000-0000-00001F120000}"/>
    <cellStyle name="Accent3 6 3 2 2" xfId="33278" xr:uid="{08FBACB5-15B0-40E4-ACD1-C051DFDA5290}"/>
    <cellStyle name="Accent3 6 3 3" xfId="33277" xr:uid="{D070D629-31DB-4D6E-BDF9-504E9A850794}"/>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 5 2" xfId="33279" xr:uid="{AE12B7E0-856B-4F80-9B35-47817F76A2C1}"/>
    <cellStyle name="Accent3 6 6" xfId="33268" xr:uid="{4B790BDE-F928-4C62-89CF-344EC5D3391E}"/>
    <cellStyle name="Accent3 60" xfId="4645" xr:uid="{00000000-0005-0000-0000-000025120000}"/>
    <cellStyle name="Accent3 60 2" xfId="4646" xr:uid="{00000000-0005-0000-0000-000026120000}"/>
    <cellStyle name="Accent3 60 2 2" xfId="4647" xr:uid="{00000000-0005-0000-0000-000027120000}"/>
    <cellStyle name="Accent3 60 2 2 2" xfId="33282" xr:uid="{B3D86CCC-ABAE-4466-BC6C-B70F1C4586A2}"/>
    <cellStyle name="Accent3 60 2 3" xfId="33281" xr:uid="{21174DA8-C2B0-4EFA-B79F-5A835ACC414E}"/>
    <cellStyle name="Accent3 60 3" xfId="4648" xr:uid="{00000000-0005-0000-0000-000028120000}"/>
    <cellStyle name="Accent3 60 3 2" xfId="4649" xr:uid="{00000000-0005-0000-0000-000029120000}"/>
    <cellStyle name="Accent3 60 3 2 2" xfId="4650" xr:uid="{00000000-0005-0000-0000-00002A120000}"/>
    <cellStyle name="Accent3 60 3 2 2 2" xfId="33285" xr:uid="{9E822128-2167-42D4-9D01-C1B9162EEC53}"/>
    <cellStyle name="Accent3 60 3 2 3" xfId="33284" xr:uid="{EE149B04-1FB3-40D5-A937-43FDA92B7281}"/>
    <cellStyle name="Accent3 60 3 3" xfId="4651" xr:uid="{00000000-0005-0000-0000-00002B120000}"/>
    <cellStyle name="Accent3 60 3 3 2" xfId="33286" xr:uid="{588F6A10-84BE-4E39-A31A-85736C0D446B}"/>
    <cellStyle name="Accent3 60 3 4" xfId="33283" xr:uid="{FA9F22B6-6CBF-4485-8D46-BA48F2458809}"/>
    <cellStyle name="Accent3 60 4" xfId="4652" xr:uid="{00000000-0005-0000-0000-00002C120000}"/>
    <cellStyle name="Accent3 60 4 2" xfId="33287" xr:uid="{01D47C7F-5F1E-4EA2-91EE-95A020B8DA89}"/>
    <cellStyle name="Accent3 60 5" xfId="33280" xr:uid="{9710351A-679D-4FC6-8DF9-3004FD97170D}"/>
    <cellStyle name="Accent3 61" xfId="4653" xr:uid="{00000000-0005-0000-0000-00002D120000}"/>
    <cellStyle name="Accent3 61 2" xfId="4654" xr:uid="{00000000-0005-0000-0000-00002E120000}"/>
    <cellStyle name="Accent3 61 2 2" xfId="4655" xr:uid="{00000000-0005-0000-0000-00002F120000}"/>
    <cellStyle name="Accent3 61 2 2 2" xfId="33290" xr:uid="{8AFDE4DC-6FC4-4A63-981B-6748A29825E2}"/>
    <cellStyle name="Accent3 61 2 3" xfId="33289" xr:uid="{1670C9B0-425E-4782-B7F8-5CDFEC0E3424}"/>
    <cellStyle name="Accent3 61 3" xfId="4656" xr:uid="{00000000-0005-0000-0000-000030120000}"/>
    <cellStyle name="Accent3 61 3 2" xfId="4657" xr:uid="{00000000-0005-0000-0000-000031120000}"/>
    <cellStyle name="Accent3 61 3 2 2" xfId="4658" xr:uid="{00000000-0005-0000-0000-000032120000}"/>
    <cellStyle name="Accent3 61 3 2 2 2" xfId="33293" xr:uid="{EB0C4BFA-A26B-4E18-8714-721950FA9F2A}"/>
    <cellStyle name="Accent3 61 3 2 3" xfId="33292" xr:uid="{982AFB84-67A9-447C-AEAE-B7F8AED60286}"/>
    <cellStyle name="Accent3 61 3 3" xfId="4659" xr:uid="{00000000-0005-0000-0000-000033120000}"/>
    <cellStyle name="Accent3 61 3 3 2" xfId="33294" xr:uid="{DD94E5CA-483F-4EE3-9572-0CE206C8F845}"/>
    <cellStyle name="Accent3 61 3 4" xfId="33291" xr:uid="{181CCD18-AC33-45FD-ACA5-DBF54CA030CB}"/>
    <cellStyle name="Accent3 61 4" xfId="4660" xr:uid="{00000000-0005-0000-0000-000034120000}"/>
    <cellStyle name="Accent3 61 4 2" xfId="33295" xr:uid="{AE601761-491E-4598-8E56-F9386B087498}"/>
    <cellStyle name="Accent3 61 5" xfId="33288" xr:uid="{8D5D6B2D-8E48-4FDF-A246-63DD25182783}"/>
    <cellStyle name="Accent3 62" xfId="4661" xr:uid="{00000000-0005-0000-0000-000035120000}"/>
    <cellStyle name="Accent3 62 2" xfId="4662" xr:uid="{00000000-0005-0000-0000-000036120000}"/>
    <cellStyle name="Accent3 62 2 2" xfId="4663" xr:uid="{00000000-0005-0000-0000-000037120000}"/>
    <cellStyle name="Accent3 62 2 2 2" xfId="33298" xr:uid="{E26CA259-A5CD-47B9-AB0D-ED59B2E8DF90}"/>
    <cellStyle name="Accent3 62 2 3" xfId="33297" xr:uid="{2754B2EB-FABA-41A0-B51B-A14D800F4207}"/>
    <cellStyle name="Accent3 62 3" xfId="4664" xr:uid="{00000000-0005-0000-0000-000038120000}"/>
    <cellStyle name="Accent3 62 3 2" xfId="4665" xr:uid="{00000000-0005-0000-0000-000039120000}"/>
    <cellStyle name="Accent3 62 3 2 2" xfId="4666" xr:uid="{00000000-0005-0000-0000-00003A120000}"/>
    <cellStyle name="Accent3 62 3 2 2 2" xfId="33301" xr:uid="{5B104AA5-A4DD-4DF8-A456-144577E1F26E}"/>
    <cellStyle name="Accent3 62 3 2 3" xfId="33300" xr:uid="{9D199114-6F63-4BDB-B166-F9E359E54FB9}"/>
    <cellStyle name="Accent3 62 3 3" xfId="4667" xr:uid="{00000000-0005-0000-0000-00003B120000}"/>
    <cellStyle name="Accent3 62 3 3 2" xfId="33302" xr:uid="{27E5CD80-93D1-4D7A-9603-E60EFC0E6958}"/>
    <cellStyle name="Accent3 62 3 4" xfId="33299" xr:uid="{C8CBBC81-3292-4F3C-A760-DDD8FE5A1E98}"/>
    <cellStyle name="Accent3 62 4" xfId="4668" xr:uid="{00000000-0005-0000-0000-00003C120000}"/>
    <cellStyle name="Accent3 62 4 2" xfId="33303" xr:uid="{1532F903-8920-48EA-B196-07F11ECAAB58}"/>
    <cellStyle name="Accent3 62 5" xfId="33296" xr:uid="{2ABDF44B-8846-4EBF-BA8D-ABCA4C869CD9}"/>
    <cellStyle name="Accent3 63" xfId="4669" xr:uid="{00000000-0005-0000-0000-00003D120000}"/>
    <cellStyle name="Accent3 63 2" xfId="4670" xr:uid="{00000000-0005-0000-0000-00003E120000}"/>
    <cellStyle name="Accent3 63 2 2" xfId="4671" xr:uid="{00000000-0005-0000-0000-00003F120000}"/>
    <cellStyle name="Accent3 63 2 2 2" xfId="33306" xr:uid="{CC26BF7C-5370-40C7-A740-1A615838BFF6}"/>
    <cellStyle name="Accent3 63 2 3" xfId="33305" xr:uid="{D6F5C874-B594-46F0-82CF-5BC53FBD181F}"/>
    <cellStyle name="Accent3 63 3" xfId="4672" xr:uid="{00000000-0005-0000-0000-000040120000}"/>
    <cellStyle name="Accent3 63 3 2" xfId="4673" xr:uid="{00000000-0005-0000-0000-000041120000}"/>
    <cellStyle name="Accent3 63 3 2 2" xfId="4674" xr:uid="{00000000-0005-0000-0000-000042120000}"/>
    <cellStyle name="Accent3 63 3 2 2 2" xfId="33309" xr:uid="{649A34BF-1DDD-4A9D-BAD4-09F1655D488C}"/>
    <cellStyle name="Accent3 63 3 2 3" xfId="33308" xr:uid="{CEA50522-39EF-4FFA-AC1E-7B4BF99D4731}"/>
    <cellStyle name="Accent3 63 3 3" xfId="4675" xr:uid="{00000000-0005-0000-0000-000043120000}"/>
    <cellStyle name="Accent3 63 3 3 2" xfId="33310" xr:uid="{FD96176A-8E0A-4503-94BA-776315284208}"/>
    <cellStyle name="Accent3 63 3 4" xfId="33307" xr:uid="{17DC84B4-BA9D-40F3-8D48-461AE28D8FC7}"/>
    <cellStyle name="Accent3 63 4" xfId="4676" xr:uid="{00000000-0005-0000-0000-000044120000}"/>
    <cellStyle name="Accent3 63 4 2" xfId="33311" xr:uid="{05BDC78E-3926-4AC4-8A4F-B1C4B5B256EE}"/>
    <cellStyle name="Accent3 63 5" xfId="33304" xr:uid="{9CD6416B-6BA9-492B-8991-EA393EB26234}"/>
    <cellStyle name="Accent3 64" xfId="4677" xr:uid="{00000000-0005-0000-0000-000045120000}"/>
    <cellStyle name="Accent3 64 2" xfId="4678" xr:uid="{00000000-0005-0000-0000-000046120000}"/>
    <cellStyle name="Accent3 64 2 2" xfId="4679" xr:uid="{00000000-0005-0000-0000-000047120000}"/>
    <cellStyle name="Accent3 64 2 2 2" xfId="33314" xr:uid="{22A7FB79-E058-4749-9B17-D5149E6F457C}"/>
    <cellStyle name="Accent3 64 2 3" xfId="33313" xr:uid="{B60266EB-AE59-402B-8C54-1BC1308948F7}"/>
    <cellStyle name="Accent3 64 3" xfId="4680" xr:uid="{00000000-0005-0000-0000-000048120000}"/>
    <cellStyle name="Accent3 64 3 2" xfId="4681" xr:uid="{00000000-0005-0000-0000-000049120000}"/>
    <cellStyle name="Accent3 64 3 2 2" xfId="4682" xr:uid="{00000000-0005-0000-0000-00004A120000}"/>
    <cellStyle name="Accent3 64 3 2 2 2" xfId="33317" xr:uid="{1861F51A-9F9D-4EE0-B247-F82F1AFA7819}"/>
    <cellStyle name="Accent3 64 3 2 3" xfId="33316" xr:uid="{75047DE5-D737-40D7-9750-0F1A2573EB01}"/>
    <cellStyle name="Accent3 64 3 3" xfId="4683" xr:uid="{00000000-0005-0000-0000-00004B120000}"/>
    <cellStyle name="Accent3 64 3 3 2" xfId="33318" xr:uid="{50CF1DF6-8F0B-4954-A50B-14CC18F75F37}"/>
    <cellStyle name="Accent3 64 3 4" xfId="33315" xr:uid="{05B4DB46-BF18-4802-8004-5EF733EE7C3B}"/>
    <cellStyle name="Accent3 64 4" xfId="4684" xr:uid="{00000000-0005-0000-0000-00004C120000}"/>
    <cellStyle name="Accent3 64 4 2" xfId="33319" xr:uid="{D9C7FDFB-B35A-4866-B8F1-42D99412F468}"/>
    <cellStyle name="Accent3 64 5" xfId="33312" xr:uid="{5567293F-747C-49DA-A69C-6D479E80938C}"/>
    <cellStyle name="Accent3 65" xfId="4685" xr:uid="{00000000-0005-0000-0000-00004D120000}"/>
    <cellStyle name="Accent3 65 2" xfId="4686" xr:uid="{00000000-0005-0000-0000-00004E120000}"/>
    <cellStyle name="Accent3 65 2 2" xfId="4687" xr:uid="{00000000-0005-0000-0000-00004F120000}"/>
    <cellStyle name="Accent3 65 2 2 2" xfId="33322" xr:uid="{4C93B487-9C1F-4A20-9FBA-7177189E0E0B}"/>
    <cellStyle name="Accent3 65 2 3" xfId="33321" xr:uid="{0EBD41E3-BC45-4996-AAFE-036BE81DA4BF}"/>
    <cellStyle name="Accent3 65 3" xfId="4688" xr:uid="{00000000-0005-0000-0000-000050120000}"/>
    <cellStyle name="Accent3 65 3 2" xfId="4689" xr:uid="{00000000-0005-0000-0000-000051120000}"/>
    <cellStyle name="Accent3 65 3 2 2" xfId="4690" xr:uid="{00000000-0005-0000-0000-000052120000}"/>
    <cellStyle name="Accent3 65 3 2 2 2" xfId="33325" xr:uid="{1D377EFC-05CF-4E19-9AA1-18AB307E23D7}"/>
    <cellStyle name="Accent3 65 3 2 3" xfId="33324" xr:uid="{31429DF1-7B05-40D7-9EC3-22514DBFE1EE}"/>
    <cellStyle name="Accent3 65 3 3" xfId="4691" xr:uid="{00000000-0005-0000-0000-000053120000}"/>
    <cellStyle name="Accent3 65 3 3 2" xfId="33326" xr:uid="{555DCAF3-783E-4A22-A42D-CE71A108ECA3}"/>
    <cellStyle name="Accent3 65 3 4" xfId="33323" xr:uid="{4727B99A-AD36-4205-86FA-18A2CD976D23}"/>
    <cellStyle name="Accent3 65 4" xfId="4692" xr:uid="{00000000-0005-0000-0000-000054120000}"/>
    <cellStyle name="Accent3 65 4 2" xfId="33327" xr:uid="{F7EF20BF-94BA-446D-9437-079F883ED006}"/>
    <cellStyle name="Accent3 65 5" xfId="33320" xr:uid="{6BAEE8CC-D3F0-4521-ABF6-EB77367E4495}"/>
    <cellStyle name="Accent3 66" xfId="4693" xr:uid="{00000000-0005-0000-0000-000055120000}"/>
    <cellStyle name="Accent3 66 2" xfId="4694" xr:uid="{00000000-0005-0000-0000-000056120000}"/>
    <cellStyle name="Accent3 66 2 2" xfId="4695" xr:uid="{00000000-0005-0000-0000-000057120000}"/>
    <cellStyle name="Accent3 66 2 2 2" xfId="33330" xr:uid="{E39C6043-B609-40D5-9ECA-3371C0D44E8F}"/>
    <cellStyle name="Accent3 66 2 3" xfId="33329" xr:uid="{304F8F0A-A59D-4E38-9C13-7106A84D7C8F}"/>
    <cellStyle name="Accent3 66 3" xfId="4696" xr:uid="{00000000-0005-0000-0000-000058120000}"/>
    <cellStyle name="Accent3 66 3 2" xfId="4697" xr:uid="{00000000-0005-0000-0000-000059120000}"/>
    <cellStyle name="Accent3 66 3 2 2" xfId="4698" xr:uid="{00000000-0005-0000-0000-00005A120000}"/>
    <cellStyle name="Accent3 66 3 2 2 2" xfId="33333" xr:uid="{9C552B3D-B41B-49EF-9B47-A3561EF48509}"/>
    <cellStyle name="Accent3 66 3 2 3" xfId="33332" xr:uid="{198D98EA-7C5B-49BA-B5E8-2C216295E752}"/>
    <cellStyle name="Accent3 66 3 3" xfId="4699" xr:uid="{00000000-0005-0000-0000-00005B120000}"/>
    <cellStyle name="Accent3 66 3 3 2" xfId="33334" xr:uid="{100B14A9-958C-4E24-9C6A-2975DA1B3479}"/>
    <cellStyle name="Accent3 66 3 4" xfId="33331" xr:uid="{BD900F04-BA00-43F6-8296-814349FFD4C9}"/>
    <cellStyle name="Accent3 66 4" xfId="4700" xr:uid="{00000000-0005-0000-0000-00005C120000}"/>
    <cellStyle name="Accent3 66 4 2" xfId="33335" xr:uid="{F5226E43-E67E-46E9-BDAE-52082B307C90}"/>
    <cellStyle name="Accent3 66 5" xfId="33328" xr:uid="{017A3026-0D43-4136-BD02-96C4CFA44860}"/>
    <cellStyle name="Accent3 67" xfId="4701" xr:uid="{00000000-0005-0000-0000-00005D120000}"/>
    <cellStyle name="Accent3 67 2" xfId="4702" xr:uid="{00000000-0005-0000-0000-00005E120000}"/>
    <cellStyle name="Accent3 67 2 2" xfId="4703" xr:uid="{00000000-0005-0000-0000-00005F120000}"/>
    <cellStyle name="Accent3 67 2 2 2" xfId="33338" xr:uid="{E0E0BA08-2C7B-48FB-AAD6-C7B6625376DD}"/>
    <cellStyle name="Accent3 67 2 3" xfId="33337" xr:uid="{EE6841C0-20EB-4B28-BBD7-2490ACFB916E}"/>
    <cellStyle name="Accent3 67 3" xfId="4704" xr:uid="{00000000-0005-0000-0000-000060120000}"/>
    <cellStyle name="Accent3 67 3 2" xfId="4705" xr:uid="{00000000-0005-0000-0000-000061120000}"/>
    <cellStyle name="Accent3 67 3 2 2" xfId="4706" xr:uid="{00000000-0005-0000-0000-000062120000}"/>
    <cellStyle name="Accent3 67 3 2 2 2" xfId="33341" xr:uid="{1FF40E2E-70E6-4949-A972-20ECC2812416}"/>
    <cellStyle name="Accent3 67 3 2 3" xfId="33340" xr:uid="{D2B816BC-9179-4A03-A672-7EE71FB2EC56}"/>
    <cellStyle name="Accent3 67 3 3" xfId="4707" xr:uid="{00000000-0005-0000-0000-000063120000}"/>
    <cellStyle name="Accent3 67 3 3 2" xfId="33342" xr:uid="{2AD5670C-A12E-4675-8D0E-8D5590E645CD}"/>
    <cellStyle name="Accent3 67 3 4" xfId="33339" xr:uid="{0C40A208-7D3A-4D16-B374-8D4ECFE27B98}"/>
    <cellStyle name="Accent3 67 4" xfId="4708" xr:uid="{00000000-0005-0000-0000-000064120000}"/>
    <cellStyle name="Accent3 67 4 2" xfId="33343" xr:uid="{CE16C81F-E4A9-4554-8EF7-44D4734B8F2B}"/>
    <cellStyle name="Accent3 67 5" xfId="33336" xr:uid="{B8A45716-DB26-42B3-A85C-8D661B6FEB2D}"/>
    <cellStyle name="Accent3 68" xfId="4709" xr:uid="{00000000-0005-0000-0000-000065120000}"/>
    <cellStyle name="Accent3 68 2" xfId="4710" xr:uid="{00000000-0005-0000-0000-000066120000}"/>
    <cellStyle name="Accent3 68 2 2" xfId="4711" xr:uid="{00000000-0005-0000-0000-000067120000}"/>
    <cellStyle name="Accent3 68 2 2 2" xfId="33346" xr:uid="{88C6B7DA-8FAE-4759-BE72-1CB84E4988F0}"/>
    <cellStyle name="Accent3 68 2 3" xfId="33345" xr:uid="{426F299C-C8A4-476E-98CF-AF674FB51C9B}"/>
    <cellStyle name="Accent3 68 3" xfId="4712" xr:uid="{00000000-0005-0000-0000-000068120000}"/>
    <cellStyle name="Accent3 68 3 2" xfId="4713" xr:uid="{00000000-0005-0000-0000-000069120000}"/>
    <cellStyle name="Accent3 68 3 2 2" xfId="4714" xr:uid="{00000000-0005-0000-0000-00006A120000}"/>
    <cellStyle name="Accent3 68 3 2 2 2" xfId="33349" xr:uid="{F8A82A69-0952-4E53-822C-B008EE459255}"/>
    <cellStyle name="Accent3 68 3 2 3" xfId="33348" xr:uid="{96DC3FAF-B8DF-4625-9EAC-EA898C497F07}"/>
    <cellStyle name="Accent3 68 3 3" xfId="4715" xr:uid="{00000000-0005-0000-0000-00006B120000}"/>
    <cellStyle name="Accent3 68 3 3 2" xfId="33350" xr:uid="{45754BEE-F74C-4BF9-8248-A751CD27F7F6}"/>
    <cellStyle name="Accent3 68 3 4" xfId="33347" xr:uid="{EA13AA3E-C468-4EA7-849E-8AAF89A7BEEA}"/>
    <cellStyle name="Accent3 68 4" xfId="4716" xr:uid="{00000000-0005-0000-0000-00006C120000}"/>
    <cellStyle name="Accent3 68 4 2" xfId="33351" xr:uid="{E5989437-6068-47C9-A204-6E8D640130F6}"/>
    <cellStyle name="Accent3 68 5" xfId="33344" xr:uid="{D4119E43-6934-41F8-8A2F-FF46A4917622}"/>
    <cellStyle name="Accent3 69" xfId="4717" xr:uid="{00000000-0005-0000-0000-00006D120000}"/>
    <cellStyle name="Accent3 69 2" xfId="4718" xr:uid="{00000000-0005-0000-0000-00006E120000}"/>
    <cellStyle name="Accent3 69 2 2" xfId="4719" xr:uid="{00000000-0005-0000-0000-00006F120000}"/>
    <cellStyle name="Accent3 69 2 2 2" xfId="33354" xr:uid="{6AC4532B-FFB9-4330-986F-E2E991928866}"/>
    <cellStyle name="Accent3 69 2 3" xfId="33353" xr:uid="{4F0402CA-7085-453C-8AD0-7BAC7557D308}"/>
    <cellStyle name="Accent3 69 3" xfId="4720" xr:uid="{00000000-0005-0000-0000-000070120000}"/>
    <cellStyle name="Accent3 69 3 2" xfId="4721" xr:uid="{00000000-0005-0000-0000-000071120000}"/>
    <cellStyle name="Accent3 69 3 2 2" xfId="4722" xr:uid="{00000000-0005-0000-0000-000072120000}"/>
    <cellStyle name="Accent3 69 3 2 2 2" xfId="33357" xr:uid="{5FE2717C-05EB-4C24-9E5C-76AD61B31991}"/>
    <cellStyle name="Accent3 69 3 2 3" xfId="33356" xr:uid="{3D2E6EB4-881F-4677-8BE8-D40E9CDF83CB}"/>
    <cellStyle name="Accent3 69 3 3" xfId="4723" xr:uid="{00000000-0005-0000-0000-000073120000}"/>
    <cellStyle name="Accent3 69 3 3 2" xfId="33358" xr:uid="{1D0A1393-96D3-4F03-93A6-47E25D75FEE7}"/>
    <cellStyle name="Accent3 69 3 4" xfId="33355" xr:uid="{62E09C3B-03B8-4DCC-80A8-C82321CE262B}"/>
    <cellStyle name="Accent3 69 4" xfId="4724" xr:uid="{00000000-0005-0000-0000-000074120000}"/>
    <cellStyle name="Accent3 69 4 2" xfId="33359" xr:uid="{A61190D0-CBAB-40A3-BBFF-5460B0C784CF}"/>
    <cellStyle name="Accent3 69 5" xfId="33352" xr:uid="{91A789C5-A93A-41DF-B348-CDFB2BF407F8}"/>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2 2 2" xfId="33363" xr:uid="{4E061E33-1A7B-4F1C-9324-7167AB292C75}"/>
    <cellStyle name="Accent3 7 2 2 3" xfId="33362" xr:uid="{B5A12E1B-BF6C-4A32-A75B-D4BE6BEDE135}"/>
    <cellStyle name="Accent3 7 2 3" xfId="4729" xr:uid="{00000000-0005-0000-0000-000079120000}"/>
    <cellStyle name="Accent3 7 2 3 2" xfId="4730" xr:uid="{00000000-0005-0000-0000-00007A120000}"/>
    <cellStyle name="Accent3 7 2 3 2 2" xfId="4731" xr:uid="{00000000-0005-0000-0000-00007B120000}"/>
    <cellStyle name="Accent3 7 2 3 2 2 2" xfId="33366" xr:uid="{D1C83909-BC6E-454E-A92D-CB78109F8228}"/>
    <cellStyle name="Accent3 7 2 3 2 3" xfId="33365" xr:uid="{91E16D21-A53C-42BA-AA26-AE57ABD4B32A}"/>
    <cellStyle name="Accent3 7 2 3 3" xfId="4732" xr:uid="{00000000-0005-0000-0000-00007C120000}"/>
    <cellStyle name="Accent3 7 2 3 3 2" xfId="33367" xr:uid="{E71BF47E-5660-4851-899D-A8C93DC56C4F}"/>
    <cellStyle name="Accent3 7 2 3 4" xfId="33364" xr:uid="{E361923A-DAEA-4BEE-B5C6-9A41BFF0EE9A}"/>
    <cellStyle name="Accent3 7 2 4" xfId="4733" xr:uid="{00000000-0005-0000-0000-00007D120000}"/>
    <cellStyle name="Accent3 7 2 4 2" xfId="33368" xr:uid="{A38037D0-5E6C-4D0B-9D2D-9AD8824F7331}"/>
    <cellStyle name="Accent3 7 2 5" xfId="33361" xr:uid="{062DE14A-CBB5-4667-81FF-9D35FB1D5B79}"/>
    <cellStyle name="Accent3 7 3" xfId="4734" xr:uid="{00000000-0005-0000-0000-00007E120000}"/>
    <cellStyle name="Accent3 7 3 2" xfId="4735" xr:uid="{00000000-0005-0000-0000-00007F120000}"/>
    <cellStyle name="Accent3 7 3 2 2" xfId="33370" xr:uid="{10487507-9823-48B6-B64B-9B1D189CA972}"/>
    <cellStyle name="Accent3 7 3 3" xfId="33369" xr:uid="{C324CE6D-E97B-4119-90B6-A427AAB15354}"/>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 5 2" xfId="33371" xr:uid="{14B755A5-9E20-4517-8CAD-390098513C6A}"/>
    <cellStyle name="Accent3 7 6" xfId="33360" xr:uid="{1CD9EDF5-D4B4-4816-A67A-722B3CBDCB1E}"/>
    <cellStyle name="Accent3 70" xfId="4741" xr:uid="{00000000-0005-0000-0000-000085120000}"/>
    <cellStyle name="Accent3 70 2" xfId="4742" xr:uid="{00000000-0005-0000-0000-000086120000}"/>
    <cellStyle name="Accent3 70 2 2" xfId="4743" xr:uid="{00000000-0005-0000-0000-000087120000}"/>
    <cellStyle name="Accent3 70 2 2 2" xfId="33374" xr:uid="{08C34E7B-9BF3-41DB-91E5-5F590E459D2A}"/>
    <cellStyle name="Accent3 70 2 3" xfId="33373" xr:uid="{EDA2AEA1-FC04-4CFE-A38D-94A2BA0EBF61}"/>
    <cellStyle name="Accent3 70 3" xfId="4744" xr:uid="{00000000-0005-0000-0000-000088120000}"/>
    <cellStyle name="Accent3 70 3 2" xfId="4745" xr:uid="{00000000-0005-0000-0000-000089120000}"/>
    <cellStyle name="Accent3 70 3 2 2" xfId="4746" xr:uid="{00000000-0005-0000-0000-00008A120000}"/>
    <cellStyle name="Accent3 70 3 2 2 2" xfId="33377" xr:uid="{E36CCD62-8CA9-4EF5-97A3-611BC4DA3A44}"/>
    <cellStyle name="Accent3 70 3 2 3" xfId="33376" xr:uid="{7942F9CD-C594-49A3-A3C7-40F5519B7C2D}"/>
    <cellStyle name="Accent3 70 3 3" xfId="4747" xr:uid="{00000000-0005-0000-0000-00008B120000}"/>
    <cellStyle name="Accent3 70 3 3 2" xfId="33378" xr:uid="{3353CE7C-93CE-483B-A85A-A64487C4E737}"/>
    <cellStyle name="Accent3 70 3 4" xfId="33375" xr:uid="{58E5CA7C-AF9A-46FE-BE73-EF3FC7AA3C27}"/>
    <cellStyle name="Accent3 70 4" xfId="4748" xr:uid="{00000000-0005-0000-0000-00008C120000}"/>
    <cellStyle name="Accent3 70 4 2" xfId="33379" xr:uid="{20FBC862-DDE6-4B35-8CE6-DDAC15D9C6EB}"/>
    <cellStyle name="Accent3 70 5" xfId="33372" xr:uid="{4AF0CFCD-DD4A-4DA1-9D1F-96FADD8E5DF9}"/>
    <cellStyle name="Accent3 71" xfId="4749" xr:uid="{00000000-0005-0000-0000-00008D120000}"/>
    <cellStyle name="Accent3 71 2" xfId="4750" xr:uid="{00000000-0005-0000-0000-00008E120000}"/>
    <cellStyle name="Accent3 71 2 2" xfId="4751" xr:uid="{00000000-0005-0000-0000-00008F120000}"/>
    <cellStyle name="Accent3 71 2 2 2" xfId="33382" xr:uid="{E2C430F0-A4E7-4CF9-BE27-FFA3B5DDA38A}"/>
    <cellStyle name="Accent3 71 2 3" xfId="33381" xr:uid="{795F1A27-49DB-4B71-823C-419B9943C9B5}"/>
    <cellStyle name="Accent3 71 3" xfId="4752" xr:uid="{00000000-0005-0000-0000-000090120000}"/>
    <cellStyle name="Accent3 71 3 2" xfId="4753" xr:uid="{00000000-0005-0000-0000-000091120000}"/>
    <cellStyle name="Accent3 71 3 2 2" xfId="4754" xr:uid="{00000000-0005-0000-0000-000092120000}"/>
    <cellStyle name="Accent3 71 3 2 2 2" xfId="33385" xr:uid="{7FF33D15-493B-42B3-AAF8-FF2246A03372}"/>
    <cellStyle name="Accent3 71 3 2 3" xfId="33384" xr:uid="{5D072592-B98C-43A1-8DE6-F361456A2585}"/>
    <cellStyle name="Accent3 71 3 3" xfId="4755" xr:uid="{00000000-0005-0000-0000-000093120000}"/>
    <cellStyle name="Accent3 71 3 3 2" xfId="33386" xr:uid="{3FD2B0E9-AFC8-4461-86E7-149456F8750D}"/>
    <cellStyle name="Accent3 71 3 4" xfId="33383" xr:uid="{76B04F39-CD16-4C54-9228-66AEFC2614F4}"/>
    <cellStyle name="Accent3 71 4" xfId="4756" xr:uid="{00000000-0005-0000-0000-000094120000}"/>
    <cellStyle name="Accent3 71 4 2" xfId="33387" xr:uid="{004E37F8-BB86-4326-92B3-76662299B75C}"/>
    <cellStyle name="Accent3 71 5" xfId="33380" xr:uid="{8254BB6E-27CA-48C4-9F00-424758D6BDC9}"/>
    <cellStyle name="Accent3 72" xfId="4757" xr:uid="{00000000-0005-0000-0000-000095120000}"/>
    <cellStyle name="Accent3 72 2" xfId="4758" xr:uid="{00000000-0005-0000-0000-000096120000}"/>
    <cellStyle name="Accent3 72 2 2" xfId="4759" xr:uid="{00000000-0005-0000-0000-000097120000}"/>
    <cellStyle name="Accent3 72 2 2 2" xfId="33390" xr:uid="{7E356D94-4F69-4631-937B-00A96539AA18}"/>
    <cellStyle name="Accent3 72 2 3" xfId="33389" xr:uid="{AFC6B4DA-CA23-464F-AC89-88CFF3FFE0F7}"/>
    <cellStyle name="Accent3 72 3" xfId="4760" xr:uid="{00000000-0005-0000-0000-000098120000}"/>
    <cellStyle name="Accent3 72 3 2" xfId="4761" xr:uid="{00000000-0005-0000-0000-000099120000}"/>
    <cellStyle name="Accent3 72 3 2 2" xfId="4762" xr:uid="{00000000-0005-0000-0000-00009A120000}"/>
    <cellStyle name="Accent3 72 3 2 2 2" xfId="33393" xr:uid="{A32ED234-28FF-48B0-B236-1496ADF1F5D8}"/>
    <cellStyle name="Accent3 72 3 2 3" xfId="33392" xr:uid="{F7127DB8-8B12-47BF-B08D-5F861EBA4D40}"/>
    <cellStyle name="Accent3 72 3 3" xfId="4763" xr:uid="{00000000-0005-0000-0000-00009B120000}"/>
    <cellStyle name="Accent3 72 3 3 2" xfId="33394" xr:uid="{FC3F8F09-9F4D-4BDF-8BA7-8E8055318E98}"/>
    <cellStyle name="Accent3 72 3 4" xfId="33391" xr:uid="{A9550556-8ED5-4549-AC60-25949102D78C}"/>
    <cellStyle name="Accent3 72 4" xfId="4764" xr:uid="{00000000-0005-0000-0000-00009C120000}"/>
    <cellStyle name="Accent3 72 4 2" xfId="33395" xr:uid="{F1D6DD74-8744-4CCA-A1D2-F96EB0A33A96}"/>
    <cellStyle name="Accent3 72 5" xfId="33388" xr:uid="{E056279C-3CE0-4F62-B212-7F4C2BE95682}"/>
    <cellStyle name="Accent3 73" xfId="4765" xr:uid="{00000000-0005-0000-0000-00009D120000}"/>
    <cellStyle name="Accent3 73 2" xfId="4766" xr:uid="{00000000-0005-0000-0000-00009E120000}"/>
    <cellStyle name="Accent3 73 2 2" xfId="4767" xr:uid="{00000000-0005-0000-0000-00009F120000}"/>
    <cellStyle name="Accent3 73 2 2 2" xfId="33398" xr:uid="{A1FA1C97-3BAC-4AFA-9745-F497EC54E457}"/>
    <cellStyle name="Accent3 73 2 3" xfId="33397" xr:uid="{97410B70-E0F1-4663-857E-9A2604D0286D}"/>
    <cellStyle name="Accent3 73 3" xfId="4768" xr:uid="{00000000-0005-0000-0000-0000A0120000}"/>
    <cellStyle name="Accent3 73 3 2" xfId="4769" xr:uid="{00000000-0005-0000-0000-0000A1120000}"/>
    <cellStyle name="Accent3 73 3 2 2" xfId="4770" xr:uid="{00000000-0005-0000-0000-0000A2120000}"/>
    <cellStyle name="Accent3 73 3 2 2 2" xfId="33401" xr:uid="{CFAFE2B0-B3BE-466C-B18A-13D5CD89A206}"/>
    <cellStyle name="Accent3 73 3 2 3" xfId="33400" xr:uid="{96AA55A1-E266-44B9-9A6D-7500F597A214}"/>
    <cellStyle name="Accent3 73 3 3" xfId="4771" xr:uid="{00000000-0005-0000-0000-0000A3120000}"/>
    <cellStyle name="Accent3 73 3 3 2" xfId="33402" xr:uid="{B71D8A05-2F6F-4FB1-8FFD-D8199DAD735D}"/>
    <cellStyle name="Accent3 73 3 4" xfId="33399" xr:uid="{E6AE8415-0A8C-410F-A08E-7B8A73E502BF}"/>
    <cellStyle name="Accent3 73 4" xfId="4772" xr:uid="{00000000-0005-0000-0000-0000A4120000}"/>
    <cellStyle name="Accent3 73 4 2" xfId="33403" xr:uid="{6B01BC1F-3122-41B1-949C-3158B33BFADC}"/>
    <cellStyle name="Accent3 73 5" xfId="33396" xr:uid="{D9B7CB76-FD6E-4BDB-9F98-A930B6837C89}"/>
    <cellStyle name="Accent3 74" xfId="4773" xr:uid="{00000000-0005-0000-0000-0000A5120000}"/>
    <cellStyle name="Accent3 74 2" xfId="4774" xr:uid="{00000000-0005-0000-0000-0000A6120000}"/>
    <cellStyle name="Accent3 74 2 2" xfId="4775" xr:uid="{00000000-0005-0000-0000-0000A7120000}"/>
    <cellStyle name="Accent3 74 2 2 2" xfId="33406" xr:uid="{F6BCDC0D-8A28-4A3A-A6B1-551597CFC09B}"/>
    <cellStyle name="Accent3 74 2 3" xfId="33405" xr:uid="{C87CF590-88FB-4E98-BEC4-15B96272E8AB}"/>
    <cellStyle name="Accent3 74 3" xfId="4776" xr:uid="{00000000-0005-0000-0000-0000A8120000}"/>
    <cellStyle name="Accent3 74 3 2" xfId="4777" xr:uid="{00000000-0005-0000-0000-0000A9120000}"/>
    <cellStyle name="Accent3 74 3 2 2" xfId="4778" xr:uid="{00000000-0005-0000-0000-0000AA120000}"/>
    <cellStyle name="Accent3 74 3 2 2 2" xfId="33409" xr:uid="{0B441FCD-F587-4F0E-A171-9188A983B378}"/>
    <cellStyle name="Accent3 74 3 2 3" xfId="33408" xr:uid="{92D59649-8D85-4CF1-BEFA-5F409F6B88D1}"/>
    <cellStyle name="Accent3 74 3 3" xfId="4779" xr:uid="{00000000-0005-0000-0000-0000AB120000}"/>
    <cellStyle name="Accent3 74 3 3 2" xfId="33410" xr:uid="{A7D4BF36-994C-420C-BB97-1EB37BE12B9A}"/>
    <cellStyle name="Accent3 74 3 4" xfId="33407" xr:uid="{57F8AC8E-A225-46BD-9202-4721FE022A07}"/>
    <cellStyle name="Accent3 74 4" xfId="4780" xr:uid="{00000000-0005-0000-0000-0000AC120000}"/>
    <cellStyle name="Accent3 74 4 2" xfId="33411" xr:uid="{E96F9738-9680-4090-A3AD-23961F91A4A5}"/>
    <cellStyle name="Accent3 74 5" xfId="33404" xr:uid="{B437269D-ADA5-4445-96CE-079D5ED555DF}"/>
    <cellStyle name="Accent3 75" xfId="4781" xr:uid="{00000000-0005-0000-0000-0000AD120000}"/>
    <cellStyle name="Accent3 75 2" xfId="4782" xr:uid="{00000000-0005-0000-0000-0000AE120000}"/>
    <cellStyle name="Accent3 75 2 2" xfId="4783" xr:uid="{00000000-0005-0000-0000-0000AF120000}"/>
    <cellStyle name="Accent3 75 2 2 2" xfId="33414" xr:uid="{3DC678B7-5BB7-42EA-821B-DED8EB1AD435}"/>
    <cellStyle name="Accent3 75 2 3" xfId="33413" xr:uid="{CFE47BE5-8E29-49F6-8E41-63CC825A57CD}"/>
    <cellStyle name="Accent3 75 3" xfId="4784" xr:uid="{00000000-0005-0000-0000-0000B0120000}"/>
    <cellStyle name="Accent3 75 3 2" xfId="4785" xr:uid="{00000000-0005-0000-0000-0000B1120000}"/>
    <cellStyle name="Accent3 75 3 2 2" xfId="4786" xr:uid="{00000000-0005-0000-0000-0000B2120000}"/>
    <cellStyle name="Accent3 75 3 2 2 2" xfId="33417" xr:uid="{25DC600C-9B08-47BD-9A35-F49C873A4AF8}"/>
    <cellStyle name="Accent3 75 3 2 3" xfId="33416" xr:uid="{37756710-2603-496E-948B-8BD368D27E34}"/>
    <cellStyle name="Accent3 75 3 3" xfId="4787" xr:uid="{00000000-0005-0000-0000-0000B3120000}"/>
    <cellStyle name="Accent3 75 3 3 2" xfId="33418" xr:uid="{F214C584-9632-4D1D-9648-42BC3239750B}"/>
    <cellStyle name="Accent3 75 3 4" xfId="33415" xr:uid="{3F655E8A-C110-41D1-97D8-541D511944E8}"/>
    <cellStyle name="Accent3 75 4" xfId="4788" xr:uid="{00000000-0005-0000-0000-0000B4120000}"/>
    <cellStyle name="Accent3 75 4 2" xfId="33419" xr:uid="{6FBCEE4F-EDAA-4A97-B668-FBF31D8F6DE6}"/>
    <cellStyle name="Accent3 75 5" xfId="33412" xr:uid="{5F45ACAE-BFD3-4CCB-83F8-81FD9DC47C98}"/>
    <cellStyle name="Accent3 76" xfId="4789" xr:uid="{00000000-0005-0000-0000-0000B5120000}"/>
    <cellStyle name="Accent3 76 2" xfId="4790" xr:uid="{00000000-0005-0000-0000-0000B6120000}"/>
    <cellStyle name="Accent3 76 2 2" xfId="4791" xr:uid="{00000000-0005-0000-0000-0000B7120000}"/>
    <cellStyle name="Accent3 76 2 2 2" xfId="33422" xr:uid="{8F9EEF27-3478-4484-B528-329918261456}"/>
    <cellStyle name="Accent3 76 2 3" xfId="33421" xr:uid="{18F8ABAA-CBD6-403A-916B-9E90B4BC58EF}"/>
    <cellStyle name="Accent3 76 3" xfId="4792" xr:uid="{00000000-0005-0000-0000-0000B8120000}"/>
    <cellStyle name="Accent3 76 3 2" xfId="4793" xr:uid="{00000000-0005-0000-0000-0000B9120000}"/>
    <cellStyle name="Accent3 76 3 2 2" xfId="4794" xr:uid="{00000000-0005-0000-0000-0000BA120000}"/>
    <cellStyle name="Accent3 76 3 2 2 2" xfId="33425" xr:uid="{0CD58F19-99A6-4F48-93A5-0A994E493D2A}"/>
    <cellStyle name="Accent3 76 3 2 3" xfId="33424" xr:uid="{2B8745E9-EE74-4751-8DF7-00C2EDD93F88}"/>
    <cellStyle name="Accent3 76 3 3" xfId="4795" xr:uid="{00000000-0005-0000-0000-0000BB120000}"/>
    <cellStyle name="Accent3 76 3 3 2" xfId="33426" xr:uid="{B4451A12-8380-4D3A-83D7-3989DFD11FF2}"/>
    <cellStyle name="Accent3 76 3 4" xfId="33423" xr:uid="{DE461C07-E02A-4867-9FD1-7BF1C209D3F1}"/>
    <cellStyle name="Accent3 76 4" xfId="4796" xr:uid="{00000000-0005-0000-0000-0000BC120000}"/>
    <cellStyle name="Accent3 76 4 2" xfId="33427" xr:uid="{EF9E42BF-47E4-42A9-8AF7-C83724E74830}"/>
    <cellStyle name="Accent3 76 5" xfId="33420" xr:uid="{AC1D43AC-02D2-429E-97A3-6C2597AE65C1}"/>
    <cellStyle name="Accent3 77" xfId="4797" xr:uid="{00000000-0005-0000-0000-0000BD120000}"/>
    <cellStyle name="Accent3 77 2" xfId="4798" xr:uid="{00000000-0005-0000-0000-0000BE120000}"/>
    <cellStyle name="Accent3 77 2 2" xfId="4799" xr:uid="{00000000-0005-0000-0000-0000BF120000}"/>
    <cellStyle name="Accent3 77 2 2 2" xfId="33430" xr:uid="{EBA28D0F-F5E6-4A4B-9337-805A276BC488}"/>
    <cellStyle name="Accent3 77 2 3" xfId="33429" xr:uid="{AFDF3A4C-6BEB-408F-9A7D-8EC695ECB726}"/>
    <cellStyle name="Accent3 77 3" xfId="4800" xr:uid="{00000000-0005-0000-0000-0000C0120000}"/>
    <cellStyle name="Accent3 77 3 2" xfId="4801" xr:uid="{00000000-0005-0000-0000-0000C1120000}"/>
    <cellStyle name="Accent3 77 3 2 2" xfId="4802" xr:uid="{00000000-0005-0000-0000-0000C2120000}"/>
    <cellStyle name="Accent3 77 3 2 2 2" xfId="33433" xr:uid="{0B8541EF-D7EA-4B4F-8C95-8CF403021177}"/>
    <cellStyle name="Accent3 77 3 2 3" xfId="33432" xr:uid="{06404C98-D271-4DDB-8DA5-18834C8F837E}"/>
    <cellStyle name="Accent3 77 3 3" xfId="4803" xr:uid="{00000000-0005-0000-0000-0000C3120000}"/>
    <cellStyle name="Accent3 77 3 3 2" xfId="33434" xr:uid="{2BE3BB87-A933-4822-B26D-C9589972AD49}"/>
    <cellStyle name="Accent3 77 3 4" xfId="33431" xr:uid="{4EE4EB4B-801F-4CD0-9D46-EA432E4FB253}"/>
    <cellStyle name="Accent3 77 4" xfId="4804" xr:uid="{00000000-0005-0000-0000-0000C4120000}"/>
    <cellStyle name="Accent3 77 4 2" xfId="33435" xr:uid="{12F9DF1D-4289-4831-BC41-271720F69867}"/>
    <cellStyle name="Accent3 77 5" xfId="33428" xr:uid="{D6E80A5B-5D27-4F44-85B2-8C5C6A25555C}"/>
    <cellStyle name="Accent3 78" xfId="4805" xr:uid="{00000000-0005-0000-0000-0000C5120000}"/>
    <cellStyle name="Accent3 78 2" xfId="4806" xr:uid="{00000000-0005-0000-0000-0000C6120000}"/>
    <cellStyle name="Accent3 78 2 2" xfId="4807" xr:uid="{00000000-0005-0000-0000-0000C7120000}"/>
    <cellStyle name="Accent3 78 2 2 2" xfId="33438" xr:uid="{8B2573B5-22F7-4583-A105-C2AE91ECC240}"/>
    <cellStyle name="Accent3 78 2 3" xfId="33437" xr:uid="{92962953-A561-449C-8EC0-4E2687557E01}"/>
    <cellStyle name="Accent3 78 3" xfId="4808" xr:uid="{00000000-0005-0000-0000-0000C8120000}"/>
    <cellStyle name="Accent3 78 3 2" xfId="4809" xr:uid="{00000000-0005-0000-0000-0000C9120000}"/>
    <cellStyle name="Accent3 78 3 2 2" xfId="4810" xr:uid="{00000000-0005-0000-0000-0000CA120000}"/>
    <cellStyle name="Accent3 78 3 2 2 2" xfId="33441" xr:uid="{BE3D1591-72F3-4CCB-8BC3-690221DE414D}"/>
    <cellStyle name="Accent3 78 3 2 3" xfId="33440" xr:uid="{C37F612F-62EA-4C6B-A9F6-D67B20F2D90B}"/>
    <cellStyle name="Accent3 78 3 3" xfId="4811" xr:uid="{00000000-0005-0000-0000-0000CB120000}"/>
    <cellStyle name="Accent3 78 3 3 2" xfId="33442" xr:uid="{E787DA5D-00F8-4FC8-A3E3-AF8747A4493F}"/>
    <cellStyle name="Accent3 78 3 4" xfId="33439" xr:uid="{4A07D644-D22B-4CA8-B6A3-89F2D9496CF9}"/>
    <cellStyle name="Accent3 78 4" xfId="4812" xr:uid="{00000000-0005-0000-0000-0000CC120000}"/>
    <cellStyle name="Accent3 78 4 2" xfId="33443" xr:uid="{833BFB56-4876-4D72-AD35-75118D7EDEB2}"/>
    <cellStyle name="Accent3 78 5" xfId="33436" xr:uid="{DA36E659-FF0C-4015-8C04-8F02DB575493}"/>
    <cellStyle name="Accent3 79" xfId="4813" xr:uid="{00000000-0005-0000-0000-0000CD120000}"/>
    <cellStyle name="Accent3 79 2" xfId="4814" xr:uid="{00000000-0005-0000-0000-0000CE120000}"/>
    <cellStyle name="Accent3 79 2 2" xfId="4815" xr:uid="{00000000-0005-0000-0000-0000CF120000}"/>
    <cellStyle name="Accent3 79 2 2 2" xfId="33446" xr:uid="{45C6C5D7-51EE-4B2F-A1DD-B136071723DA}"/>
    <cellStyle name="Accent3 79 2 3" xfId="33445" xr:uid="{3217CA43-0256-492A-9617-D4E8289F0ED6}"/>
    <cellStyle name="Accent3 79 3" xfId="4816" xr:uid="{00000000-0005-0000-0000-0000D0120000}"/>
    <cellStyle name="Accent3 79 3 2" xfId="4817" xr:uid="{00000000-0005-0000-0000-0000D1120000}"/>
    <cellStyle name="Accent3 79 3 2 2" xfId="4818" xr:uid="{00000000-0005-0000-0000-0000D2120000}"/>
    <cellStyle name="Accent3 79 3 2 2 2" xfId="33449" xr:uid="{8B3C5C23-DBD0-4CF8-9E8B-A0768965B9D2}"/>
    <cellStyle name="Accent3 79 3 2 3" xfId="33448" xr:uid="{309658E1-0BCF-4275-8CAB-A2297B1F0C85}"/>
    <cellStyle name="Accent3 79 3 3" xfId="4819" xr:uid="{00000000-0005-0000-0000-0000D3120000}"/>
    <cellStyle name="Accent3 79 3 3 2" xfId="33450" xr:uid="{102340DB-5613-4FB3-AF65-89BCB607444A}"/>
    <cellStyle name="Accent3 79 3 4" xfId="33447" xr:uid="{5829FE49-D224-4332-BC65-6CDFA9EDCC99}"/>
    <cellStyle name="Accent3 79 4" xfId="4820" xr:uid="{00000000-0005-0000-0000-0000D4120000}"/>
    <cellStyle name="Accent3 79 4 2" xfId="33451" xr:uid="{BD69C464-765D-4ABC-8BB8-4CF18FFB3042}"/>
    <cellStyle name="Accent3 79 5" xfId="33444" xr:uid="{B5B304D5-1544-4F38-B281-82AC9ED3ED05}"/>
    <cellStyle name="Accent3 8" xfId="4821" xr:uid="{00000000-0005-0000-0000-0000D5120000}"/>
    <cellStyle name="Accent3 8 2" xfId="4822" xr:uid="{00000000-0005-0000-0000-0000D6120000}"/>
    <cellStyle name="Accent3 8 2 2" xfId="4823" xr:uid="{00000000-0005-0000-0000-0000D7120000}"/>
    <cellStyle name="Accent3 8 2 2 2" xfId="33454" xr:uid="{D01D2A80-8D22-4F7F-A01D-6D0BA0727D4F}"/>
    <cellStyle name="Accent3 8 2 3" xfId="33453" xr:uid="{92EE9BDA-C797-4FAA-80CF-C0A2A8A3B9B3}"/>
    <cellStyle name="Accent3 8 3" xfId="4824" xr:uid="{00000000-0005-0000-0000-0000D8120000}"/>
    <cellStyle name="Accent3 8 3 2" xfId="33455" xr:uid="{70FCA630-96AE-4DAD-8AD8-ECF145D29C58}"/>
    <cellStyle name="Accent3 8 4" xfId="33452" xr:uid="{4E8921F5-ACA9-4EB8-BD3C-D9B706EAFA1A}"/>
    <cellStyle name="Accent3 80" xfId="4825" xr:uid="{00000000-0005-0000-0000-0000D9120000}"/>
    <cellStyle name="Accent3 80 2" xfId="4826" xr:uid="{00000000-0005-0000-0000-0000DA120000}"/>
    <cellStyle name="Accent3 80 2 2" xfId="4827" xr:uid="{00000000-0005-0000-0000-0000DB120000}"/>
    <cellStyle name="Accent3 80 2 2 2" xfId="33458" xr:uid="{7CACE46F-7712-4296-83AF-742130511D5D}"/>
    <cellStyle name="Accent3 80 2 3" xfId="33457" xr:uid="{E7F4C5DD-FF1A-4086-9FB1-32436C1102C5}"/>
    <cellStyle name="Accent3 80 3" xfId="4828" xr:uid="{00000000-0005-0000-0000-0000DC120000}"/>
    <cellStyle name="Accent3 80 3 2" xfId="4829" xr:uid="{00000000-0005-0000-0000-0000DD120000}"/>
    <cellStyle name="Accent3 80 3 2 2" xfId="4830" xr:uid="{00000000-0005-0000-0000-0000DE120000}"/>
    <cellStyle name="Accent3 80 3 2 2 2" xfId="33461" xr:uid="{03D26C49-45B4-464C-87F3-74B652322C2F}"/>
    <cellStyle name="Accent3 80 3 2 3" xfId="33460" xr:uid="{7D895B7F-9995-4F4D-853C-FD82F704411E}"/>
    <cellStyle name="Accent3 80 3 3" xfId="4831" xr:uid="{00000000-0005-0000-0000-0000DF120000}"/>
    <cellStyle name="Accent3 80 3 3 2" xfId="33462" xr:uid="{114D81EC-A7EB-4332-97AD-CEC982B75819}"/>
    <cellStyle name="Accent3 80 3 4" xfId="33459" xr:uid="{DB4D3685-AF1A-4C98-9390-6002275052D6}"/>
    <cellStyle name="Accent3 80 4" xfId="4832" xr:uid="{00000000-0005-0000-0000-0000E0120000}"/>
    <cellStyle name="Accent3 80 4 2" xfId="33463" xr:uid="{9494FC0B-5788-4A9C-857D-5DFE5752B814}"/>
    <cellStyle name="Accent3 80 5" xfId="33456" xr:uid="{D7FB82E4-0396-4DE9-915D-AA651815593D}"/>
    <cellStyle name="Accent3 81" xfId="4833" xr:uid="{00000000-0005-0000-0000-0000E1120000}"/>
    <cellStyle name="Accent3 81 2" xfId="4834" xr:uid="{00000000-0005-0000-0000-0000E2120000}"/>
    <cellStyle name="Accent3 81 2 2" xfId="4835" xr:uid="{00000000-0005-0000-0000-0000E3120000}"/>
    <cellStyle name="Accent3 81 2 2 2" xfId="33466" xr:uid="{E4291BAD-5276-4665-9124-0DCA132B5AE4}"/>
    <cellStyle name="Accent3 81 2 3" xfId="33465" xr:uid="{9265C576-C7BD-495A-8A17-B88BFA40C546}"/>
    <cellStyle name="Accent3 81 3" xfId="4836" xr:uid="{00000000-0005-0000-0000-0000E4120000}"/>
    <cellStyle name="Accent3 81 3 2" xfId="4837" xr:uid="{00000000-0005-0000-0000-0000E5120000}"/>
    <cellStyle name="Accent3 81 3 2 2" xfId="4838" xr:uid="{00000000-0005-0000-0000-0000E6120000}"/>
    <cellStyle name="Accent3 81 3 2 2 2" xfId="33469" xr:uid="{6820DF3C-BA2A-4889-9DD9-5DFE62D0563E}"/>
    <cellStyle name="Accent3 81 3 2 3" xfId="33468" xr:uid="{383A95FA-AD40-4E04-A240-2B61330EC5A0}"/>
    <cellStyle name="Accent3 81 3 3" xfId="4839" xr:uid="{00000000-0005-0000-0000-0000E7120000}"/>
    <cellStyle name="Accent3 81 3 3 2" xfId="33470" xr:uid="{8164C259-BF19-4DE6-9557-437CF5EC2414}"/>
    <cellStyle name="Accent3 81 3 4" xfId="33467" xr:uid="{C054D83C-2E2E-46FB-8A50-6E97CB10683F}"/>
    <cellStyle name="Accent3 81 4" xfId="4840" xr:uid="{00000000-0005-0000-0000-0000E8120000}"/>
    <cellStyle name="Accent3 81 4 2" xfId="33471" xr:uid="{00011152-A4C7-4F67-93F0-49C5854B9BE1}"/>
    <cellStyle name="Accent3 81 5" xfId="33464" xr:uid="{4911B91F-22F5-440D-B816-6C392BC3ED53}"/>
    <cellStyle name="Accent3 82" xfId="4841" xr:uid="{00000000-0005-0000-0000-0000E9120000}"/>
    <cellStyle name="Accent3 82 2" xfId="4842" xr:uid="{00000000-0005-0000-0000-0000EA120000}"/>
    <cellStyle name="Accent3 82 2 2" xfId="4843" xr:uid="{00000000-0005-0000-0000-0000EB120000}"/>
    <cellStyle name="Accent3 82 2 2 2" xfId="33474" xr:uid="{B5D4E4E4-D0F5-4111-AD4F-B20D9AE2BA99}"/>
    <cellStyle name="Accent3 82 2 3" xfId="33473" xr:uid="{A51023FC-92E0-4A69-8276-163F0C2976EE}"/>
    <cellStyle name="Accent3 82 3" xfId="4844" xr:uid="{00000000-0005-0000-0000-0000EC120000}"/>
    <cellStyle name="Accent3 82 3 2" xfId="4845" xr:uid="{00000000-0005-0000-0000-0000ED120000}"/>
    <cellStyle name="Accent3 82 3 2 2" xfId="4846" xr:uid="{00000000-0005-0000-0000-0000EE120000}"/>
    <cellStyle name="Accent3 82 3 2 2 2" xfId="33477" xr:uid="{0795723F-A876-4DE7-9392-D5C4730844A1}"/>
    <cellStyle name="Accent3 82 3 2 3" xfId="33476" xr:uid="{61CB9863-984D-493A-8D1F-B5C67FC16D9D}"/>
    <cellStyle name="Accent3 82 3 3" xfId="4847" xr:uid="{00000000-0005-0000-0000-0000EF120000}"/>
    <cellStyle name="Accent3 82 3 3 2" xfId="33478" xr:uid="{27F20CEC-A6CE-42D1-9E45-530764C1BA9F}"/>
    <cellStyle name="Accent3 82 3 4" xfId="33475" xr:uid="{915FE006-1A9B-4B92-A332-368066C5640C}"/>
    <cellStyle name="Accent3 82 4" xfId="4848" xr:uid="{00000000-0005-0000-0000-0000F0120000}"/>
    <cellStyle name="Accent3 82 4 2" xfId="33479" xr:uid="{9E35AC2B-127F-4E82-8103-119FD1862809}"/>
    <cellStyle name="Accent3 82 5" xfId="33472" xr:uid="{355A3A78-FAF7-4CEF-8964-98DA5103862E}"/>
    <cellStyle name="Accent3 83" xfId="4849" xr:uid="{00000000-0005-0000-0000-0000F1120000}"/>
    <cellStyle name="Accent3 83 2" xfId="4850" xr:uid="{00000000-0005-0000-0000-0000F2120000}"/>
    <cellStyle name="Accent3 83 2 2" xfId="4851" xr:uid="{00000000-0005-0000-0000-0000F3120000}"/>
    <cellStyle name="Accent3 83 2 2 2" xfId="33482" xr:uid="{7665FB8C-A47D-44E6-9782-B7DE9E4C0304}"/>
    <cellStyle name="Accent3 83 2 3" xfId="33481" xr:uid="{FEF19A3E-07A9-4ACD-97B2-77175C9CF6CB}"/>
    <cellStyle name="Accent3 83 3" xfId="4852" xr:uid="{00000000-0005-0000-0000-0000F4120000}"/>
    <cellStyle name="Accent3 83 3 2" xfId="4853" xr:uid="{00000000-0005-0000-0000-0000F5120000}"/>
    <cellStyle name="Accent3 83 3 2 2" xfId="4854" xr:uid="{00000000-0005-0000-0000-0000F6120000}"/>
    <cellStyle name="Accent3 83 3 2 2 2" xfId="33485" xr:uid="{96DF4F96-6482-4A2A-B5F4-D64A775C3E06}"/>
    <cellStyle name="Accent3 83 3 2 3" xfId="33484" xr:uid="{248555DA-6A56-471B-A414-6850BA7CB576}"/>
    <cellStyle name="Accent3 83 3 3" xfId="4855" xr:uid="{00000000-0005-0000-0000-0000F7120000}"/>
    <cellStyle name="Accent3 83 3 3 2" xfId="33486" xr:uid="{814A9732-FA96-4621-82B6-206F524CA6D3}"/>
    <cellStyle name="Accent3 83 3 4" xfId="33483" xr:uid="{D2FE1EC6-A9BE-4915-B99F-55CE2F4F0666}"/>
    <cellStyle name="Accent3 83 4" xfId="4856" xr:uid="{00000000-0005-0000-0000-0000F8120000}"/>
    <cellStyle name="Accent3 83 4 2" xfId="33487" xr:uid="{759A1BF7-B6BD-4A23-AB6B-86F4B3FCF175}"/>
    <cellStyle name="Accent3 83 5" xfId="33480" xr:uid="{58E6470E-43D1-46BD-854B-18220BC1815B}"/>
    <cellStyle name="Accent3 84" xfId="4857" xr:uid="{00000000-0005-0000-0000-0000F9120000}"/>
    <cellStyle name="Accent3 84 2" xfId="4858" xr:uid="{00000000-0005-0000-0000-0000FA120000}"/>
    <cellStyle name="Accent3 84 2 2" xfId="4859" xr:uid="{00000000-0005-0000-0000-0000FB120000}"/>
    <cellStyle name="Accent3 84 2 2 2" xfId="33490" xr:uid="{B3F16326-AEFF-4B8A-919D-DDE17C6F9460}"/>
    <cellStyle name="Accent3 84 2 3" xfId="33489" xr:uid="{4438C7CA-0401-4D1E-A111-1DF9B0434430}"/>
    <cellStyle name="Accent3 84 3" xfId="4860" xr:uid="{00000000-0005-0000-0000-0000FC120000}"/>
    <cellStyle name="Accent3 84 3 2" xfId="33491" xr:uid="{A433E651-AA82-45AB-B414-774E53124A81}"/>
    <cellStyle name="Accent3 84 4" xfId="33488" xr:uid="{70E92421-6CFA-4D3E-85CB-B44C30614021}"/>
    <cellStyle name="Accent3 85" xfId="4861" xr:uid="{00000000-0005-0000-0000-0000FD120000}"/>
    <cellStyle name="Accent3 85 2" xfId="4862" xr:uid="{00000000-0005-0000-0000-0000FE120000}"/>
    <cellStyle name="Accent3 85 2 2" xfId="4863" xr:uid="{00000000-0005-0000-0000-0000FF120000}"/>
    <cellStyle name="Accent3 85 2 2 2" xfId="33494" xr:uid="{EBCC6AFE-3A53-4F4C-8DBF-2B5A7DDE57E2}"/>
    <cellStyle name="Accent3 85 2 3" xfId="33493" xr:uid="{DA745EAC-74FA-4E89-8973-907752AEDE46}"/>
    <cellStyle name="Accent3 85 3" xfId="4864" xr:uid="{00000000-0005-0000-0000-000000130000}"/>
    <cellStyle name="Accent3 85 3 2" xfId="33495" xr:uid="{75EB807D-2101-4C50-9988-D97981AEA9F0}"/>
    <cellStyle name="Accent3 85 4" xfId="33492" xr:uid="{E7F742C7-D9A0-4DAD-8BD1-C92EFA5C17E1}"/>
    <cellStyle name="Accent3 86" xfId="4865" xr:uid="{00000000-0005-0000-0000-000001130000}"/>
    <cellStyle name="Accent3 86 2" xfId="4866" xr:uid="{00000000-0005-0000-0000-000002130000}"/>
    <cellStyle name="Accent3 86 2 2" xfId="4867" xr:uid="{00000000-0005-0000-0000-000003130000}"/>
    <cellStyle name="Accent3 86 2 2 2" xfId="33498" xr:uid="{574DD896-F938-457A-82E4-C774ADAD584C}"/>
    <cellStyle name="Accent3 86 2 3" xfId="33497" xr:uid="{F3A76860-3D98-434E-8134-A40E804A6B9E}"/>
    <cellStyle name="Accent3 86 3" xfId="4868" xr:uid="{00000000-0005-0000-0000-000004130000}"/>
    <cellStyle name="Accent3 86 3 2" xfId="33499" xr:uid="{A9A6B43B-DA80-4A41-A1E4-FD7AC8139C81}"/>
    <cellStyle name="Accent3 86 4" xfId="33496" xr:uid="{0BB18D8C-1EE8-4608-BAE8-5FAF8DD0224A}"/>
    <cellStyle name="Accent3 87" xfId="4869" xr:uid="{00000000-0005-0000-0000-000005130000}"/>
    <cellStyle name="Accent3 87 2" xfId="4870" xr:uid="{00000000-0005-0000-0000-000006130000}"/>
    <cellStyle name="Accent3 87 2 2" xfId="4871" xr:uid="{00000000-0005-0000-0000-000007130000}"/>
    <cellStyle name="Accent3 87 2 2 2" xfId="33502" xr:uid="{1E44064A-0CA5-46E9-BBEB-1A600ECAC2E7}"/>
    <cellStyle name="Accent3 87 2 3" xfId="33501" xr:uid="{EE066349-B85F-4F2E-83A8-D7D71DA4EB73}"/>
    <cellStyle name="Accent3 87 3" xfId="4872" xr:uid="{00000000-0005-0000-0000-000008130000}"/>
    <cellStyle name="Accent3 87 3 2" xfId="33503" xr:uid="{C2A6EE2E-0B84-422F-A465-89BD14F0EA4D}"/>
    <cellStyle name="Accent3 87 4" xfId="33500" xr:uid="{105D7ECC-F4DD-4407-A72C-1CCC5D648A08}"/>
    <cellStyle name="Accent3 88" xfId="4873" xr:uid="{00000000-0005-0000-0000-000009130000}"/>
    <cellStyle name="Accent3 88 2" xfId="4874" xr:uid="{00000000-0005-0000-0000-00000A130000}"/>
    <cellStyle name="Accent3 88 2 2" xfId="4875" xr:uid="{00000000-0005-0000-0000-00000B130000}"/>
    <cellStyle name="Accent3 88 2 2 2" xfId="33506" xr:uid="{D6A8659D-E51E-46D4-9BB9-4F3F563E72B3}"/>
    <cellStyle name="Accent3 88 2 3" xfId="33505" xr:uid="{A09AC0E5-3527-4D1F-946F-953A1DD88CF3}"/>
    <cellStyle name="Accent3 88 3" xfId="4876" xr:uid="{00000000-0005-0000-0000-00000C130000}"/>
    <cellStyle name="Accent3 88 3 2" xfId="33507" xr:uid="{D370499F-BDE7-4048-A9DF-0CC6A4649A1B}"/>
    <cellStyle name="Accent3 88 4" xfId="33504" xr:uid="{46717AB1-F880-48F2-B4BA-EC17C07EE5C0}"/>
    <cellStyle name="Accent3 89" xfId="4877" xr:uid="{00000000-0005-0000-0000-00000D130000}"/>
    <cellStyle name="Accent3 89 2" xfId="4878" xr:uid="{00000000-0005-0000-0000-00000E130000}"/>
    <cellStyle name="Accent3 89 2 2" xfId="4879" xr:uid="{00000000-0005-0000-0000-00000F130000}"/>
    <cellStyle name="Accent3 89 2 2 2" xfId="33510" xr:uid="{D1B844E5-965C-4176-8E4F-EC5F7620A55B}"/>
    <cellStyle name="Accent3 89 2 3" xfId="33509" xr:uid="{070C7974-6C63-40ED-8BA5-E4FB16337C05}"/>
    <cellStyle name="Accent3 89 3" xfId="4880" xr:uid="{00000000-0005-0000-0000-000010130000}"/>
    <cellStyle name="Accent3 89 3 2" xfId="33511" xr:uid="{75F9CF43-93E1-4CB6-B0BF-2286C3CABD13}"/>
    <cellStyle name="Accent3 89 4" xfId="33508" xr:uid="{1A865F23-96CB-4047-AAF0-B3DF39FF1040}"/>
    <cellStyle name="Accent3 9" xfId="4881" xr:uid="{00000000-0005-0000-0000-000011130000}"/>
    <cellStyle name="Accent3 9 2" xfId="4882" xr:uid="{00000000-0005-0000-0000-000012130000}"/>
    <cellStyle name="Accent3 9 2 2" xfId="4883" xr:uid="{00000000-0005-0000-0000-000013130000}"/>
    <cellStyle name="Accent3 9 2 2 2" xfId="33514" xr:uid="{1842552B-5C30-4BED-A344-740709AA035C}"/>
    <cellStyle name="Accent3 9 2 3" xfId="33513" xr:uid="{2FE7CF4B-79D6-43A1-9826-6B29D9B294BC}"/>
    <cellStyle name="Accent3 9 3" xfId="4884" xr:uid="{00000000-0005-0000-0000-000014130000}"/>
    <cellStyle name="Accent3 9 3 2" xfId="33515" xr:uid="{1EEE0E90-DDD9-482C-88A7-9F6DF4B3A6F3}"/>
    <cellStyle name="Accent3 9 4" xfId="33512" xr:uid="{50303D62-99B2-496D-A555-EF1D848EC982}"/>
    <cellStyle name="Accent3 90" xfId="4885" xr:uid="{00000000-0005-0000-0000-000015130000}"/>
    <cellStyle name="Accent3 90 2" xfId="4886" xr:uid="{00000000-0005-0000-0000-000016130000}"/>
    <cellStyle name="Accent3 90 2 2" xfId="4887" xr:uid="{00000000-0005-0000-0000-000017130000}"/>
    <cellStyle name="Accent3 90 2 2 2" xfId="33518" xr:uid="{DF8AF55C-DB9A-439D-90D2-B4B235DD2FC4}"/>
    <cellStyle name="Accent3 90 2 3" xfId="33517" xr:uid="{1C0FF130-620A-4B48-847B-24012011F4EB}"/>
    <cellStyle name="Accent3 90 3" xfId="4888" xr:uid="{00000000-0005-0000-0000-000018130000}"/>
    <cellStyle name="Accent3 90 3 2" xfId="33519" xr:uid="{E4678F1A-CD12-4063-8601-B95243EC9A29}"/>
    <cellStyle name="Accent3 90 4" xfId="33516" xr:uid="{69832119-7E7E-4CDC-B44B-933F50B1D6E5}"/>
    <cellStyle name="Accent3 91" xfId="4889" xr:uid="{00000000-0005-0000-0000-000019130000}"/>
    <cellStyle name="Accent3 91 2" xfId="4890" xr:uid="{00000000-0005-0000-0000-00001A130000}"/>
    <cellStyle name="Accent3 91 2 2" xfId="4891" xr:uid="{00000000-0005-0000-0000-00001B130000}"/>
    <cellStyle name="Accent3 91 2 2 2" xfId="33522" xr:uid="{A5F196CE-A4F7-46A7-BCEA-47A1D3D918CD}"/>
    <cellStyle name="Accent3 91 2 3" xfId="33521" xr:uid="{A3122EE8-7E07-4AB6-B68C-D08551739AEF}"/>
    <cellStyle name="Accent3 91 3" xfId="4892" xr:uid="{00000000-0005-0000-0000-00001C130000}"/>
    <cellStyle name="Accent3 91 3 2" xfId="33523" xr:uid="{EB06CEE0-8F29-42DA-A2F3-D1DEE599060B}"/>
    <cellStyle name="Accent3 91 4" xfId="33520" xr:uid="{AC03C23B-DFAA-43BF-B975-C6711BD3C724}"/>
    <cellStyle name="Accent3 92" xfId="4893" xr:uid="{00000000-0005-0000-0000-00001D130000}"/>
    <cellStyle name="Accent3 92 2" xfId="4894" xr:uid="{00000000-0005-0000-0000-00001E130000}"/>
    <cellStyle name="Accent3 92 2 2" xfId="4895" xr:uid="{00000000-0005-0000-0000-00001F130000}"/>
    <cellStyle name="Accent3 92 2 2 2" xfId="33526" xr:uid="{02C30B7D-FC97-4F6E-84E4-7F3BA5695D3D}"/>
    <cellStyle name="Accent3 92 2 3" xfId="33525" xr:uid="{639A1C1A-F141-46F0-8A4A-5FB68402D8ED}"/>
    <cellStyle name="Accent3 92 3" xfId="4896" xr:uid="{00000000-0005-0000-0000-000020130000}"/>
    <cellStyle name="Accent3 92 3 2" xfId="33527" xr:uid="{ED225D6B-2347-45B6-929F-BF17E2AE42E6}"/>
    <cellStyle name="Accent3 92 4" xfId="33524" xr:uid="{CF6CDF57-3B05-4805-B0F7-DC676BEF930F}"/>
    <cellStyle name="Accent3 93" xfId="4897" xr:uid="{00000000-0005-0000-0000-000021130000}"/>
    <cellStyle name="Accent3 93 2" xfId="4898" xr:uid="{00000000-0005-0000-0000-000022130000}"/>
    <cellStyle name="Accent3 93 2 2" xfId="4899" xr:uid="{00000000-0005-0000-0000-000023130000}"/>
    <cellStyle name="Accent3 93 2 2 2" xfId="33530" xr:uid="{1A872074-A9D5-453C-A627-962F6CCC6507}"/>
    <cellStyle name="Accent3 93 2 3" xfId="33529" xr:uid="{B172AA4E-2708-45A7-A447-2E6BD3D6A884}"/>
    <cellStyle name="Accent3 93 3" xfId="4900" xr:uid="{00000000-0005-0000-0000-000024130000}"/>
    <cellStyle name="Accent3 93 3 2" xfId="33531" xr:uid="{705496CF-0603-4BB9-9BD5-5899796EB7EB}"/>
    <cellStyle name="Accent3 93 4" xfId="33528" xr:uid="{429CC7C6-9EDA-4720-8C54-E11C78664898}"/>
    <cellStyle name="Accent3 94" xfId="4901" xr:uid="{00000000-0005-0000-0000-000025130000}"/>
    <cellStyle name="Accent3 94 2" xfId="4902" xr:uid="{00000000-0005-0000-0000-000026130000}"/>
    <cellStyle name="Accent3 94 2 2" xfId="4903" xr:uid="{00000000-0005-0000-0000-000027130000}"/>
    <cellStyle name="Accent3 94 2 2 2" xfId="33534" xr:uid="{71E3747E-E420-428A-88CD-45DC95D81F7D}"/>
    <cellStyle name="Accent3 94 2 3" xfId="33533" xr:uid="{E807265B-826B-4CF3-99F3-8AD1C8405B8B}"/>
    <cellStyle name="Accent3 94 3" xfId="4904" xr:uid="{00000000-0005-0000-0000-000028130000}"/>
    <cellStyle name="Accent3 94 3 2" xfId="33535" xr:uid="{A6A0ADCC-A4F3-4329-8E36-3065BDD18198}"/>
    <cellStyle name="Accent3 94 4" xfId="33532" xr:uid="{FBE9558A-6090-4A59-9E10-14B1A13C1801}"/>
    <cellStyle name="Accent3 95" xfId="4905" xr:uid="{00000000-0005-0000-0000-000029130000}"/>
    <cellStyle name="Accent3 95 2" xfId="4906" xr:uid="{00000000-0005-0000-0000-00002A130000}"/>
    <cellStyle name="Accent3 95 2 2" xfId="4907" xr:uid="{00000000-0005-0000-0000-00002B130000}"/>
    <cellStyle name="Accent3 95 2 2 2" xfId="33538" xr:uid="{1D1D0C4D-776C-4B7A-A72F-325141FFCA62}"/>
    <cellStyle name="Accent3 95 2 3" xfId="33537" xr:uid="{668717E5-7531-4EAC-960A-70FDBAABC8A9}"/>
    <cellStyle name="Accent3 95 3" xfId="4908" xr:uid="{00000000-0005-0000-0000-00002C130000}"/>
    <cellStyle name="Accent3 95 3 2" xfId="33539" xr:uid="{5580DC75-4855-4DFA-8D51-CEFCDDC5470D}"/>
    <cellStyle name="Accent3 95 4" xfId="33536" xr:uid="{B45DC568-EDBB-46E0-8868-E72A75EB1728}"/>
    <cellStyle name="Accent3 96" xfId="4909" xr:uid="{00000000-0005-0000-0000-00002D130000}"/>
    <cellStyle name="Accent3 96 2" xfId="4910" xr:uid="{00000000-0005-0000-0000-00002E130000}"/>
    <cellStyle name="Accent3 96 2 2" xfId="4911" xr:uid="{00000000-0005-0000-0000-00002F130000}"/>
    <cellStyle name="Accent3 96 2 2 2" xfId="33542" xr:uid="{A4B54FA4-B7C1-4FC0-95CB-8DA75A05C483}"/>
    <cellStyle name="Accent3 96 2 3" xfId="33541" xr:uid="{1D62CA7B-3183-4324-B8F0-38F02352D498}"/>
    <cellStyle name="Accent3 96 3" xfId="4912" xr:uid="{00000000-0005-0000-0000-000030130000}"/>
    <cellStyle name="Accent3 96 3 2" xfId="33543" xr:uid="{D9EB1071-EE2E-4374-BD4A-AB359AF0FAB6}"/>
    <cellStyle name="Accent3 96 4" xfId="33540" xr:uid="{30050A6E-FEC8-4755-B950-7EA201CC99E8}"/>
    <cellStyle name="Accent3 97" xfId="4913" xr:uid="{00000000-0005-0000-0000-000031130000}"/>
    <cellStyle name="Accent3 97 2" xfId="4914" xr:uid="{00000000-0005-0000-0000-000032130000}"/>
    <cellStyle name="Accent3 97 2 2" xfId="4915" xr:uid="{00000000-0005-0000-0000-000033130000}"/>
    <cellStyle name="Accent3 97 2 2 2" xfId="33546" xr:uid="{9B20FA3E-D6C9-4BCA-95FA-EE2BDAFAFB42}"/>
    <cellStyle name="Accent3 97 2 3" xfId="33545" xr:uid="{5D5B7961-3669-4D22-B490-58906734766A}"/>
    <cellStyle name="Accent3 97 3" xfId="4916" xr:uid="{00000000-0005-0000-0000-000034130000}"/>
    <cellStyle name="Accent3 97 3 2" xfId="33547" xr:uid="{756794F8-68D1-4F27-A3AF-88C8E85F920C}"/>
    <cellStyle name="Accent3 97 4" xfId="33544" xr:uid="{DEA7162B-0660-47A8-9061-77D9B9336DA3}"/>
    <cellStyle name="Accent3 98" xfId="4917" xr:uid="{00000000-0005-0000-0000-000035130000}"/>
    <cellStyle name="Accent3 98 2" xfId="4918" xr:uid="{00000000-0005-0000-0000-000036130000}"/>
    <cellStyle name="Accent3 98 2 2" xfId="4919" xr:uid="{00000000-0005-0000-0000-000037130000}"/>
    <cellStyle name="Accent3 98 2 2 2" xfId="33550" xr:uid="{0F11BBA4-00F4-44F2-8E02-1202E8E44929}"/>
    <cellStyle name="Accent3 98 2 3" xfId="33549" xr:uid="{B0EEDC36-C76F-408C-9EFE-1AD5E4374A04}"/>
    <cellStyle name="Accent3 98 3" xfId="4920" xr:uid="{00000000-0005-0000-0000-000038130000}"/>
    <cellStyle name="Accent3 98 3 2" xfId="33551" xr:uid="{98ABF64C-BE84-4406-9FC2-37ADBFBC32D1}"/>
    <cellStyle name="Accent3 98 4" xfId="33548" xr:uid="{21850E2D-00AE-45F0-BC95-53136DB2288D}"/>
    <cellStyle name="Accent3 99" xfId="4921" xr:uid="{00000000-0005-0000-0000-000039130000}"/>
    <cellStyle name="Accent3 99 2" xfId="4922" xr:uid="{00000000-0005-0000-0000-00003A130000}"/>
    <cellStyle name="Accent3 99 2 2" xfId="4923" xr:uid="{00000000-0005-0000-0000-00003B130000}"/>
    <cellStyle name="Accent3 99 2 2 2" xfId="33554" xr:uid="{5E4AA537-0E9C-4303-A64D-DF7696E16C4C}"/>
    <cellStyle name="Accent3 99 2 3" xfId="33553" xr:uid="{D14D81D3-F5A4-46C3-83D1-2742E4437E70}"/>
    <cellStyle name="Accent3 99 3" xfId="4924" xr:uid="{00000000-0005-0000-0000-00003C130000}"/>
    <cellStyle name="Accent3 99 3 2" xfId="33555" xr:uid="{8E9AF37F-6299-40CB-90F2-C50CB2522F52}"/>
    <cellStyle name="Accent3 99 4" xfId="33552" xr:uid="{5B40ABE8-DC5A-4A51-942B-E94BB5AAC57D}"/>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11 2" xfId="33556" xr:uid="{FCF32D9F-8C96-4125-AA10-A32922178421}"/>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2 2 2" xfId="33560" xr:uid="{BD8BB636-74DA-452D-8B5B-864AAF7DCA33}"/>
    <cellStyle name="Accent4 - 40% 2 4 2 2 3" xfId="33559" xr:uid="{678F0297-E400-4D6D-AAD0-F37B4B5DD21A}"/>
    <cellStyle name="Accent4 - 40% 2 4 2 3" xfId="4998" xr:uid="{00000000-0005-0000-0000-000086130000}"/>
    <cellStyle name="Accent4 - 40% 2 4 2 3 2" xfId="33561" xr:uid="{F422983F-F6F5-4452-8515-6D01B822080C}"/>
    <cellStyle name="Accent4 - 40% 2 4 2 4" xfId="33558" xr:uid="{57CA11DF-D964-4EF2-8E42-0319E35049C8}"/>
    <cellStyle name="Accent4 - 40% 2 4 3" xfId="4999" xr:uid="{00000000-0005-0000-0000-000087130000}"/>
    <cellStyle name="Accent4 - 40% 2 4 3 2" xfId="5000" xr:uid="{00000000-0005-0000-0000-000088130000}"/>
    <cellStyle name="Accent4 - 40% 2 4 3 2 2" xfId="33563" xr:uid="{7FE4CB60-1642-42E9-BAF9-FC60BAE78BBF}"/>
    <cellStyle name="Accent4 - 40% 2 4 3 3" xfId="33562" xr:uid="{85EBE26B-41B0-4CFA-B4C6-CD6354CF0337}"/>
    <cellStyle name="Accent4 - 40% 2 4 4" xfId="5001" xr:uid="{00000000-0005-0000-0000-000089130000}"/>
    <cellStyle name="Accent4 - 40% 2 4 4 2" xfId="33564" xr:uid="{D7DE1434-9292-432F-9CD2-8A741ECB9865}"/>
    <cellStyle name="Accent4 - 40% 2 4 5" xfId="33557" xr:uid="{ACD86E5B-6081-40B4-A535-193FDBA583DF}"/>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2 2 2" xfId="33567" xr:uid="{3D7412EF-2DE9-450D-BF6A-CA86BE71300B}"/>
    <cellStyle name="Accent5 100 2 3" xfId="33566" xr:uid="{3441D379-64D4-4FBE-AD24-B326707145C6}"/>
    <cellStyle name="Accent5 100 3" xfId="5995" xr:uid="{00000000-0005-0000-0000-00006B170000}"/>
    <cellStyle name="Accent5 100 3 2" xfId="33568" xr:uid="{7A95CAC0-CDF3-4D93-808E-39F85669E422}"/>
    <cellStyle name="Accent5 100 4" xfId="33565" xr:uid="{A0CAB8B5-9616-4576-A94A-81684786552C}"/>
    <cellStyle name="Accent5 101" xfId="5996" xr:uid="{00000000-0005-0000-0000-00006C170000}"/>
    <cellStyle name="Accent5 101 2" xfId="5997" xr:uid="{00000000-0005-0000-0000-00006D170000}"/>
    <cellStyle name="Accent5 101 2 2" xfId="5998" xr:uid="{00000000-0005-0000-0000-00006E170000}"/>
    <cellStyle name="Accent5 101 2 2 2" xfId="33571" xr:uid="{803CB7C4-558D-4661-9A6B-66C6548790CE}"/>
    <cellStyle name="Accent5 101 2 3" xfId="33570" xr:uid="{9F13827A-E7FF-4643-B5D6-C87961F232E6}"/>
    <cellStyle name="Accent5 101 3" xfId="5999" xr:uid="{00000000-0005-0000-0000-00006F170000}"/>
    <cellStyle name="Accent5 101 3 2" xfId="33572" xr:uid="{4B7CF388-B302-4656-9D50-F2DD84C692F0}"/>
    <cellStyle name="Accent5 101 4" xfId="33569" xr:uid="{737FD48A-DE6D-4FE6-BABE-EC78FA9E0BDE}"/>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2 2 2" xfId="33575" xr:uid="{588AD82F-F4EC-4CF3-864A-C7AE3C539BE4}"/>
    <cellStyle name="Accent5 105 2 3" xfId="33574" xr:uid="{F597B00D-40B1-42F9-B368-5918E7657649}"/>
    <cellStyle name="Accent5 105 3" xfId="6011" xr:uid="{00000000-0005-0000-0000-00007B170000}"/>
    <cellStyle name="Accent5 105 3 2" xfId="33576" xr:uid="{ABAC81CA-A63E-4B26-BC24-E704CAFAE488}"/>
    <cellStyle name="Accent5 105 4" xfId="33573" xr:uid="{26630854-E027-4BD2-B716-E7E6D9BF044A}"/>
    <cellStyle name="Accent5 106" xfId="6012" xr:uid="{00000000-0005-0000-0000-00007C170000}"/>
    <cellStyle name="Accent5 106 2" xfId="6013" xr:uid="{00000000-0005-0000-0000-00007D170000}"/>
    <cellStyle name="Accent5 106 2 2" xfId="6014" xr:uid="{00000000-0005-0000-0000-00007E170000}"/>
    <cellStyle name="Accent5 106 2 2 2" xfId="33579" xr:uid="{065D1666-EDCB-4340-9A1E-253D3BC4D543}"/>
    <cellStyle name="Accent5 106 2 3" xfId="33578" xr:uid="{F277C7A4-8E69-4BE8-8807-88C54DEE3748}"/>
    <cellStyle name="Accent5 106 3" xfId="6015" xr:uid="{00000000-0005-0000-0000-00007F170000}"/>
    <cellStyle name="Accent5 106 3 2" xfId="33580" xr:uid="{830E7D2C-7A30-478B-B230-BDA9BD8C87D1}"/>
    <cellStyle name="Accent5 106 4" xfId="33577" xr:uid="{C8486970-0A69-4271-8288-918FBAE9DBE0}"/>
    <cellStyle name="Accent5 107" xfId="6016" xr:uid="{00000000-0005-0000-0000-000080170000}"/>
    <cellStyle name="Accent5 107 2" xfId="6017" xr:uid="{00000000-0005-0000-0000-000081170000}"/>
    <cellStyle name="Accent5 107 2 2" xfId="6018" xr:uid="{00000000-0005-0000-0000-000082170000}"/>
    <cellStyle name="Accent5 107 2 2 2" xfId="33583" xr:uid="{4697484D-E707-4BFE-939A-573E17E26C92}"/>
    <cellStyle name="Accent5 107 2 3" xfId="33582" xr:uid="{48C0F4A2-53FA-4601-9EC5-0E3AF79C1BD3}"/>
    <cellStyle name="Accent5 107 3" xfId="6019" xr:uid="{00000000-0005-0000-0000-000083170000}"/>
    <cellStyle name="Accent5 107 3 2" xfId="33584" xr:uid="{41E7EE50-F366-4A0D-9A66-4051A0E48AAA}"/>
    <cellStyle name="Accent5 107 4" xfId="33581" xr:uid="{25BEBBAD-4AB5-4924-AE43-E138A770A76C}"/>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0 2 2" xfId="33586" xr:uid="{E2004B5D-63B8-4175-86DB-FC7CDF41CAC7}"/>
    <cellStyle name="Accent5 2 10 3" xfId="33585" xr:uid="{EE93D820-5EDD-4A8C-8DFB-16BFC0DE5227}"/>
    <cellStyle name="Accent5 2 11" xfId="6161" xr:uid="{00000000-0005-0000-0000-000011180000}"/>
    <cellStyle name="Accent5 2 11 2" xfId="33587" xr:uid="{B98F099A-B237-410A-8583-B7881C6F81F6}"/>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7 2 2" xfId="33589" xr:uid="{9928D42B-017B-421A-9F06-5C5D457A1DF4}"/>
    <cellStyle name="Accent5 2 7 3" xfId="33588" xr:uid="{800978E7-9F6E-4FE9-9709-9AB3F2E92C72}"/>
    <cellStyle name="Accent5 2 8" xfId="6201" xr:uid="{00000000-0005-0000-0000-000039180000}"/>
    <cellStyle name="Accent5 2 8 2" xfId="6202" xr:uid="{00000000-0005-0000-0000-00003A180000}"/>
    <cellStyle name="Accent5 2 8 2 2" xfId="6203" xr:uid="{00000000-0005-0000-0000-00003B180000}"/>
    <cellStyle name="Accent5 2 8 2 2 2" xfId="33592" xr:uid="{A7E94F51-3893-4486-9D6F-81DBDB00DDA1}"/>
    <cellStyle name="Accent5 2 8 2 3" xfId="33591" xr:uid="{05F6FF0C-C172-4033-B371-96CBE465A973}"/>
    <cellStyle name="Accent5 2 8 3" xfId="6204" xr:uid="{00000000-0005-0000-0000-00003C180000}"/>
    <cellStyle name="Accent5 2 8 3 2" xfId="33593" xr:uid="{2FDF1DBD-BAE6-4A88-AEED-C1A59EF11782}"/>
    <cellStyle name="Accent5 2 8 4" xfId="33590" xr:uid="{E710DDC9-F7A6-4574-BC90-20A9BA0FC249}"/>
    <cellStyle name="Accent5 2 9" xfId="6205" xr:uid="{00000000-0005-0000-0000-00003D180000}"/>
    <cellStyle name="Accent5 2 9 2" xfId="6206" xr:uid="{00000000-0005-0000-0000-00003E180000}"/>
    <cellStyle name="Accent5 2 9 2 2" xfId="6207" xr:uid="{00000000-0005-0000-0000-00003F180000}"/>
    <cellStyle name="Accent5 2 9 2 2 2" xfId="33595" xr:uid="{27B81F24-7FF8-4C85-AC2A-3828389DB891}"/>
    <cellStyle name="Accent5 2 9 2 3" xfId="33594" xr:uid="{8E4F4371-43F9-4347-AFC9-87574D63F728}"/>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2 2 2" xfId="33597" xr:uid="{9CA0C123-460D-4D27-9160-115A8EC5001D}"/>
    <cellStyle name="Accent5 3 10 2 3" xfId="33596" xr:uid="{F20474F3-C4E3-47DA-AFCD-6824F79C1ED5}"/>
    <cellStyle name="Accent5 3 10 3" xfId="6253" xr:uid="{00000000-0005-0000-0000-00006D180000}"/>
    <cellStyle name="Accent5 3 11" xfId="6254" xr:uid="{00000000-0005-0000-0000-00006E180000}"/>
    <cellStyle name="Accent5 3 11 2" xfId="6255" xr:uid="{00000000-0005-0000-0000-00006F180000}"/>
    <cellStyle name="Accent5 3 11 2 2" xfId="33599" xr:uid="{DBE830D2-DEC3-4525-9B53-2EFF14699C67}"/>
    <cellStyle name="Accent5 3 11 3" xfId="33598" xr:uid="{40E1823B-60C4-4D31-BE0E-002DEEEB9E00}"/>
    <cellStyle name="Accent5 3 12" xfId="6256" xr:uid="{00000000-0005-0000-0000-000070180000}"/>
    <cellStyle name="Accent5 3 12 2" xfId="33600" xr:uid="{C2B13300-DF8A-4738-A82B-68C1F85ABD78}"/>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7 2 2" xfId="33602" xr:uid="{F3436800-2F6F-4D3A-82EA-1B5386A312E3}"/>
    <cellStyle name="Accent5 3 7 3" xfId="33601" xr:uid="{1B67929D-3048-4C25-8459-EC4E3B4B4DE2}"/>
    <cellStyle name="Accent5 3 8" xfId="6289" xr:uid="{00000000-0005-0000-0000-000091180000}"/>
    <cellStyle name="Accent5 3 8 2" xfId="6290" xr:uid="{00000000-0005-0000-0000-000092180000}"/>
    <cellStyle name="Accent5 3 8 2 2" xfId="6291" xr:uid="{00000000-0005-0000-0000-000093180000}"/>
    <cellStyle name="Accent5 3 8 2 2 2" xfId="33605" xr:uid="{DEDD5720-AC5A-408D-9B74-2F2AC269205C}"/>
    <cellStyle name="Accent5 3 8 2 3" xfId="33604" xr:uid="{8A498929-472F-4FB6-A77F-EEC14185C62F}"/>
    <cellStyle name="Accent5 3 8 3" xfId="6292" xr:uid="{00000000-0005-0000-0000-000094180000}"/>
    <cellStyle name="Accent5 3 8 3 2" xfId="33606" xr:uid="{987CA9D5-103C-41D3-8DBE-9B7AB7E8632A}"/>
    <cellStyle name="Accent5 3 8 4" xfId="33603" xr:uid="{30F5F88F-1C1C-447B-9403-2F42FB1DED48}"/>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2 2 2" xfId="33609" xr:uid="{6E85EB25-2A83-4C92-A2DC-C77411CD6491}"/>
    <cellStyle name="Accent5 48 2 3" xfId="33608" xr:uid="{9B67AEB6-175A-460A-A954-A2A9FBA04E9E}"/>
    <cellStyle name="Accent5 48 3" xfId="6404" xr:uid="{00000000-0005-0000-0000-000004190000}"/>
    <cellStyle name="Accent5 48 3 2" xfId="6405" xr:uid="{00000000-0005-0000-0000-000005190000}"/>
    <cellStyle name="Accent5 48 3 2 2" xfId="6406" xr:uid="{00000000-0005-0000-0000-000006190000}"/>
    <cellStyle name="Accent5 48 3 2 2 2" xfId="33612" xr:uid="{E6A489CB-E341-4DF2-8926-30935A33BBE8}"/>
    <cellStyle name="Accent5 48 3 2 3" xfId="33611" xr:uid="{B07361D3-89A2-43F9-903F-24ABBD083F92}"/>
    <cellStyle name="Accent5 48 3 3" xfId="6407" xr:uid="{00000000-0005-0000-0000-000007190000}"/>
    <cellStyle name="Accent5 48 3 3 2" xfId="33613" xr:uid="{C283B3BD-FA0A-4A32-848D-D5BA6C076BF3}"/>
    <cellStyle name="Accent5 48 3 4" xfId="33610" xr:uid="{B97E7E1C-E2E6-46BB-BDAF-70C33D6E829B}"/>
    <cellStyle name="Accent5 48 4" xfId="6408" xr:uid="{00000000-0005-0000-0000-000008190000}"/>
    <cellStyle name="Accent5 48 4 2" xfId="33614" xr:uid="{8EFA9762-F808-41D5-8059-105CB09589CF}"/>
    <cellStyle name="Accent5 48 5" xfId="33607" xr:uid="{B85B3E40-3809-411C-86C4-F3C12D17D1C0}"/>
    <cellStyle name="Accent5 49" xfId="6409" xr:uid="{00000000-0005-0000-0000-000009190000}"/>
    <cellStyle name="Accent5 49 2" xfId="6410" xr:uid="{00000000-0005-0000-0000-00000A190000}"/>
    <cellStyle name="Accent5 49 2 2" xfId="6411" xr:uid="{00000000-0005-0000-0000-00000B190000}"/>
    <cellStyle name="Accent5 49 2 2 2" xfId="33617" xr:uid="{833F4FA4-07E0-4628-9EAC-3ACC527F64C8}"/>
    <cellStyle name="Accent5 49 2 3" xfId="33616" xr:uid="{AFB9C11F-2A28-400C-A76E-967623C6EB6D}"/>
    <cellStyle name="Accent5 49 3" xfId="6412" xr:uid="{00000000-0005-0000-0000-00000C190000}"/>
    <cellStyle name="Accent5 49 3 2" xfId="6413" xr:uid="{00000000-0005-0000-0000-00000D190000}"/>
    <cellStyle name="Accent5 49 3 2 2" xfId="6414" xr:uid="{00000000-0005-0000-0000-00000E190000}"/>
    <cellStyle name="Accent5 49 3 2 2 2" xfId="33620" xr:uid="{858F8034-FB58-4427-8BA2-92911E9841B9}"/>
    <cellStyle name="Accent5 49 3 2 3" xfId="33619" xr:uid="{10337582-9D6C-4562-8E5C-1966DA52D92D}"/>
    <cellStyle name="Accent5 49 3 3" xfId="6415" xr:uid="{00000000-0005-0000-0000-00000F190000}"/>
    <cellStyle name="Accent5 49 3 3 2" xfId="33621" xr:uid="{C6CD8137-D1D8-4822-A588-9558B5EC88BE}"/>
    <cellStyle name="Accent5 49 3 4" xfId="33618" xr:uid="{F354617D-9034-4597-9085-4992D6A7CA83}"/>
    <cellStyle name="Accent5 49 4" xfId="6416" xr:uid="{00000000-0005-0000-0000-000010190000}"/>
    <cellStyle name="Accent5 49 4 2" xfId="33622" xr:uid="{3E5FF405-142D-4A47-B9CC-6B846580B1F6}"/>
    <cellStyle name="Accent5 49 5" xfId="33615" xr:uid="{47DB78B0-4EF4-4739-B512-B30DE2046ECA}"/>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2 2 2" xfId="33625" xr:uid="{D5AC55F5-0700-492D-B291-65C433814062}"/>
    <cellStyle name="Accent5 5 3 2 3" xfId="33624" xr:uid="{AFE5A641-49D8-466C-B7A6-5720B909CD4C}"/>
    <cellStyle name="Accent5 5 3 3" xfId="6429" xr:uid="{00000000-0005-0000-0000-00001D190000}"/>
    <cellStyle name="Accent5 5 3 3 2" xfId="6430" xr:uid="{00000000-0005-0000-0000-00001E190000}"/>
    <cellStyle name="Accent5 5 3 3 2 2" xfId="6431" xr:uid="{00000000-0005-0000-0000-00001F190000}"/>
    <cellStyle name="Accent5 5 3 3 2 2 2" xfId="33628" xr:uid="{FF95872A-7BFC-4419-95C4-11A4BB20829E}"/>
    <cellStyle name="Accent5 5 3 3 2 3" xfId="33627" xr:uid="{29898E0D-D53B-46EF-82B3-FFB20A9574D8}"/>
    <cellStyle name="Accent5 5 3 3 3" xfId="6432" xr:uid="{00000000-0005-0000-0000-000020190000}"/>
    <cellStyle name="Accent5 5 3 3 3 2" xfId="33629" xr:uid="{06E03662-8E56-44B5-8C7F-40A26E16060D}"/>
    <cellStyle name="Accent5 5 3 3 4" xfId="33626" xr:uid="{A93DFB90-ABA9-4016-95E0-06CEE46DD8FF}"/>
    <cellStyle name="Accent5 5 3 4" xfId="6433" xr:uid="{00000000-0005-0000-0000-000021190000}"/>
    <cellStyle name="Accent5 5 3 4 2" xfId="33630" xr:uid="{42FA2029-33AB-4818-B4DB-4E4975EF1979}"/>
    <cellStyle name="Accent5 5 3 5" xfId="33623" xr:uid="{A9C20FF7-C630-43F8-84F2-BB3DF240C29D}"/>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2 2 2" xfId="33633" xr:uid="{23CBA8BA-9409-49EA-90A9-2C9A39EF7A78}"/>
    <cellStyle name="Accent5 50 2 3" xfId="33632" xr:uid="{6DA4F80E-5808-485C-B3F0-4C8403830B4F}"/>
    <cellStyle name="Accent5 50 3" xfId="6446" xr:uid="{00000000-0005-0000-0000-00002E190000}"/>
    <cellStyle name="Accent5 50 3 2" xfId="6447" xr:uid="{00000000-0005-0000-0000-00002F190000}"/>
    <cellStyle name="Accent5 50 3 2 2" xfId="6448" xr:uid="{00000000-0005-0000-0000-000030190000}"/>
    <cellStyle name="Accent5 50 3 2 2 2" xfId="33636" xr:uid="{95F4DC7F-A277-4C40-A827-88D439CA8599}"/>
    <cellStyle name="Accent5 50 3 2 3" xfId="33635" xr:uid="{1D42376B-FFD9-4C1C-A607-2AADC4789669}"/>
    <cellStyle name="Accent5 50 3 3" xfId="6449" xr:uid="{00000000-0005-0000-0000-000031190000}"/>
    <cellStyle name="Accent5 50 3 3 2" xfId="33637" xr:uid="{57539C35-0990-441E-9787-374B9EC5F815}"/>
    <cellStyle name="Accent5 50 3 4" xfId="33634" xr:uid="{71883AB5-B9C6-4AEC-B6A5-07967AB2874C}"/>
    <cellStyle name="Accent5 50 4" xfId="6450" xr:uid="{00000000-0005-0000-0000-000032190000}"/>
    <cellStyle name="Accent5 50 4 2" xfId="33638" xr:uid="{ABBE7684-5745-448B-B6A5-1C65BA752C74}"/>
    <cellStyle name="Accent5 50 5" xfId="33631" xr:uid="{19881446-CA58-41DF-8AF2-4FBD3FE5C498}"/>
    <cellStyle name="Accent5 51" xfId="6451" xr:uid="{00000000-0005-0000-0000-000033190000}"/>
    <cellStyle name="Accent5 51 2" xfId="6452" xr:uid="{00000000-0005-0000-0000-000034190000}"/>
    <cellStyle name="Accent5 51 2 2" xfId="6453" xr:uid="{00000000-0005-0000-0000-000035190000}"/>
    <cellStyle name="Accent5 51 2 2 2" xfId="33641" xr:uid="{9130103B-BA0D-417B-AFD4-484665E2E0BE}"/>
    <cellStyle name="Accent5 51 2 3" xfId="33640" xr:uid="{1231F0CF-619D-4313-A5FD-B982A6FE25C3}"/>
    <cellStyle name="Accent5 51 3" xfId="6454" xr:uid="{00000000-0005-0000-0000-000036190000}"/>
    <cellStyle name="Accent5 51 3 2" xfId="6455" xr:uid="{00000000-0005-0000-0000-000037190000}"/>
    <cellStyle name="Accent5 51 3 2 2" xfId="6456" xr:uid="{00000000-0005-0000-0000-000038190000}"/>
    <cellStyle name="Accent5 51 3 2 2 2" xfId="33644" xr:uid="{0CB65F45-A901-49F7-A6D8-807D78E946D4}"/>
    <cellStyle name="Accent5 51 3 2 3" xfId="33643" xr:uid="{2FDB659E-54CC-4B08-A9FE-A1A21560E722}"/>
    <cellStyle name="Accent5 51 3 3" xfId="6457" xr:uid="{00000000-0005-0000-0000-000039190000}"/>
    <cellStyle name="Accent5 51 3 3 2" xfId="33645" xr:uid="{6D9C91F5-58FC-4F69-8856-A1B3E79597D9}"/>
    <cellStyle name="Accent5 51 3 4" xfId="33642" xr:uid="{8BC14D6C-F4FD-4A64-AF8E-DE1108D2EBAA}"/>
    <cellStyle name="Accent5 51 4" xfId="6458" xr:uid="{00000000-0005-0000-0000-00003A190000}"/>
    <cellStyle name="Accent5 51 4 2" xfId="33646" xr:uid="{AC6CE0BA-53F2-4A80-9C0A-CC28E990A237}"/>
    <cellStyle name="Accent5 51 5" xfId="33639" xr:uid="{0DAC5689-9C63-49D2-BBBA-6F3ADC5A6B38}"/>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2 2 2" xfId="33649" xr:uid="{07AC0716-7380-4891-85B6-3E00D4449F21}"/>
    <cellStyle name="Accent5 58 2 3" xfId="33648" xr:uid="{69AE332D-77AF-4D18-8D82-D8B9997BF156}"/>
    <cellStyle name="Accent5 58 3" xfId="6486" xr:uid="{00000000-0005-0000-0000-000056190000}"/>
    <cellStyle name="Accent5 58 3 2" xfId="6487" xr:uid="{00000000-0005-0000-0000-000057190000}"/>
    <cellStyle name="Accent5 58 3 2 2" xfId="6488" xr:uid="{00000000-0005-0000-0000-000058190000}"/>
    <cellStyle name="Accent5 58 3 2 2 2" xfId="33652" xr:uid="{3A9DF671-D932-468C-9886-FABEBF57A777}"/>
    <cellStyle name="Accent5 58 3 2 3" xfId="33651" xr:uid="{8A3F453F-83B4-41E9-A063-D4F3CD10B8A3}"/>
    <cellStyle name="Accent5 58 3 3" xfId="6489" xr:uid="{00000000-0005-0000-0000-000059190000}"/>
    <cellStyle name="Accent5 58 3 3 2" xfId="33653" xr:uid="{4A119AD0-6A5E-4A01-A141-5AC4A71B1872}"/>
    <cellStyle name="Accent5 58 3 4" xfId="33650" xr:uid="{D2DCDF8C-70C7-448D-8C8B-5F469DCA6C26}"/>
    <cellStyle name="Accent5 58 4" xfId="6490" xr:uid="{00000000-0005-0000-0000-00005A190000}"/>
    <cellStyle name="Accent5 58 4 2" xfId="33654" xr:uid="{64363B17-5AF0-486A-95D5-9654D0C01F1E}"/>
    <cellStyle name="Accent5 58 5" xfId="33647" xr:uid="{B261BE59-85F0-4BF4-BEA3-8E27DC17F235}"/>
    <cellStyle name="Accent5 59" xfId="6491" xr:uid="{00000000-0005-0000-0000-00005B190000}"/>
    <cellStyle name="Accent5 59 2" xfId="6492" xr:uid="{00000000-0005-0000-0000-00005C190000}"/>
    <cellStyle name="Accent5 59 2 2" xfId="6493" xr:uid="{00000000-0005-0000-0000-00005D190000}"/>
    <cellStyle name="Accent5 59 2 2 2" xfId="33657" xr:uid="{1362955D-BA7B-4823-9326-2FA346AA5962}"/>
    <cellStyle name="Accent5 59 2 3" xfId="33656" xr:uid="{6D59A622-D28E-4AF5-BDFF-946EB42FB117}"/>
    <cellStyle name="Accent5 59 3" xfId="6494" xr:uid="{00000000-0005-0000-0000-00005E190000}"/>
    <cellStyle name="Accent5 59 3 2" xfId="6495" xr:uid="{00000000-0005-0000-0000-00005F190000}"/>
    <cellStyle name="Accent5 59 3 2 2" xfId="6496" xr:uid="{00000000-0005-0000-0000-000060190000}"/>
    <cellStyle name="Accent5 59 3 2 2 2" xfId="33660" xr:uid="{B5A6BE4D-C5EE-4C12-A9EF-71E64404E639}"/>
    <cellStyle name="Accent5 59 3 2 3" xfId="33659" xr:uid="{706E2167-CEDB-4CAB-8046-C29398D97BE9}"/>
    <cellStyle name="Accent5 59 3 3" xfId="6497" xr:uid="{00000000-0005-0000-0000-000061190000}"/>
    <cellStyle name="Accent5 59 3 3 2" xfId="33661" xr:uid="{95995327-AF9A-44A9-A222-74B64A94C2A3}"/>
    <cellStyle name="Accent5 59 3 4" xfId="33658" xr:uid="{87CE9211-F01C-41C2-9ACB-BB2F32DF0BEE}"/>
    <cellStyle name="Accent5 59 4" xfId="6498" xr:uid="{00000000-0005-0000-0000-000062190000}"/>
    <cellStyle name="Accent5 59 4 2" xfId="33662" xr:uid="{1A65E92E-F19F-4478-B932-0A7D99F4381C}"/>
    <cellStyle name="Accent5 59 5" xfId="33655" xr:uid="{1649BE8A-F604-4687-B86B-93BDE6B16B0F}"/>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2 2 2" xfId="33665" xr:uid="{D83C515A-3387-4467-AA25-E4CB2A030444}"/>
    <cellStyle name="Accent5 60 2 3" xfId="33664" xr:uid="{F674D407-8614-49A3-A636-4F0FD1218E57}"/>
    <cellStyle name="Accent5 60 3" xfId="6518" xr:uid="{00000000-0005-0000-0000-000076190000}"/>
    <cellStyle name="Accent5 60 3 2" xfId="6519" xr:uid="{00000000-0005-0000-0000-000077190000}"/>
    <cellStyle name="Accent5 60 3 2 2" xfId="6520" xr:uid="{00000000-0005-0000-0000-000078190000}"/>
    <cellStyle name="Accent5 60 3 2 2 2" xfId="33668" xr:uid="{AD86B96B-D789-438D-88FF-D3450BBB59A8}"/>
    <cellStyle name="Accent5 60 3 2 3" xfId="33667" xr:uid="{9BD80B49-9767-4215-A2D6-65ED44F532CD}"/>
    <cellStyle name="Accent5 60 3 3" xfId="6521" xr:uid="{00000000-0005-0000-0000-000079190000}"/>
    <cellStyle name="Accent5 60 3 3 2" xfId="33669" xr:uid="{E21D9813-E2FE-4BF3-8B5E-DC1013D92030}"/>
    <cellStyle name="Accent5 60 3 4" xfId="33666" xr:uid="{D77C0F24-57EF-4B0B-AB42-220A15C97486}"/>
    <cellStyle name="Accent5 60 4" xfId="6522" xr:uid="{00000000-0005-0000-0000-00007A190000}"/>
    <cellStyle name="Accent5 60 4 2" xfId="33670" xr:uid="{A6A51B4B-2FAC-4062-826F-A0BE34DD76AF}"/>
    <cellStyle name="Accent5 60 5" xfId="33663" xr:uid="{ECFD3589-7CC6-4775-9038-2109FB7BB4D3}"/>
    <cellStyle name="Accent5 61" xfId="6523" xr:uid="{00000000-0005-0000-0000-00007B190000}"/>
    <cellStyle name="Accent5 61 2" xfId="6524" xr:uid="{00000000-0005-0000-0000-00007C190000}"/>
    <cellStyle name="Accent5 61 2 2" xfId="6525" xr:uid="{00000000-0005-0000-0000-00007D190000}"/>
    <cellStyle name="Accent5 61 2 2 2" xfId="33673" xr:uid="{00E5A40F-3BBE-4E87-9DDA-BF2BDA016BE2}"/>
    <cellStyle name="Accent5 61 2 3" xfId="33672" xr:uid="{415E2390-52D3-48B9-AC2F-818F7521DF62}"/>
    <cellStyle name="Accent5 61 3" xfId="6526" xr:uid="{00000000-0005-0000-0000-00007E190000}"/>
    <cellStyle name="Accent5 61 3 2" xfId="6527" xr:uid="{00000000-0005-0000-0000-00007F190000}"/>
    <cellStyle name="Accent5 61 3 2 2" xfId="6528" xr:uid="{00000000-0005-0000-0000-000080190000}"/>
    <cellStyle name="Accent5 61 3 2 2 2" xfId="33676" xr:uid="{9E81414D-18B9-4926-A383-3F020203CAF8}"/>
    <cellStyle name="Accent5 61 3 2 3" xfId="33675" xr:uid="{A65753C3-543B-493A-BA78-BD891AB38F8E}"/>
    <cellStyle name="Accent5 61 3 3" xfId="6529" xr:uid="{00000000-0005-0000-0000-000081190000}"/>
    <cellStyle name="Accent5 61 3 3 2" xfId="33677" xr:uid="{AE7636C2-6ED9-4470-80D7-345E677A2D7F}"/>
    <cellStyle name="Accent5 61 3 4" xfId="33674" xr:uid="{ACCE1D5E-DD91-4410-B67F-3B0CF2A68974}"/>
    <cellStyle name="Accent5 61 4" xfId="6530" xr:uid="{00000000-0005-0000-0000-000082190000}"/>
    <cellStyle name="Accent5 61 4 2" xfId="33678" xr:uid="{21FC94EF-0851-4120-BE6C-ED0FE06ED56F}"/>
    <cellStyle name="Accent5 61 5" xfId="33671" xr:uid="{D489BC87-2C6C-43FE-810F-7922785B124E}"/>
    <cellStyle name="Accent5 62" xfId="6531" xr:uid="{00000000-0005-0000-0000-000083190000}"/>
    <cellStyle name="Accent5 62 2" xfId="6532" xr:uid="{00000000-0005-0000-0000-000084190000}"/>
    <cellStyle name="Accent5 62 2 2" xfId="6533" xr:uid="{00000000-0005-0000-0000-000085190000}"/>
    <cellStyle name="Accent5 62 2 2 2" xfId="33681" xr:uid="{E0FC3F01-E641-4F06-B15D-6C7779BD5316}"/>
    <cellStyle name="Accent5 62 2 3" xfId="33680" xr:uid="{38487AA0-0037-4035-A1A9-2D85DE1AAC4B}"/>
    <cellStyle name="Accent5 62 3" xfId="6534" xr:uid="{00000000-0005-0000-0000-000086190000}"/>
    <cellStyle name="Accent5 62 3 2" xfId="6535" xr:uid="{00000000-0005-0000-0000-000087190000}"/>
    <cellStyle name="Accent5 62 3 2 2" xfId="6536" xr:uid="{00000000-0005-0000-0000-000088190000}"/>
    <cellStyle name="Accent5 62 3 2 2 2" xfId="33684" xr:uid="{596F1140-80B0-473F-AA86-79EDD0A4338D}"/>
    <cellStyle name="Accent5 62 3 2 3" xfId="33683" xr:uid="{847C74C8-5813-4035-A7A1-3EA032D4CBDF}"/>
    <cellStyle name="Accent5 62 3 3" xfId="6537" xr:uid="{00000000-0005-0000-0000-000089190000}"/>
    <cellStyle name="Accent5 62 3 3 2" xfId="33685" xr:uid="{085BCD61-FF10-4CF0-A3C7-58C38CDD836A}"/>
    <cellStyle name="Accent5 62 3 4" xfId="33682" xr:uid="{787C9CF7-08EF-4ECE-9DFA-552F72CEC1C3}"/>
    <cellStyle name="Accent5 62 4" xfId="6538" xr:uid="{00000000-0005-0000-0000-00008A190000}"/>
    <cellStyle name="Accent5 62 4 2" xfId="33686" xr:uid="{513B3EFB-2182-4A3C-AFB7-3189B9796DC7}"/>
    <cellStyle name="Accent5 62 5" xfId="33679" xr:uid="{F8D20632-FBBC-41F8-B64D-1DD3F19C9DDB}"/>
    <cellStyle name="Accent5 63" xfId="6539" xr:uid="{00000000-0005-0000-0000-00008B190000}"/>
    <cellStyle name="Accent5 63 2" xfId="6540" xr:uid="{00000000-0005-0000-0000-00008C190000}"/>
    <cellStyle name="Accent5 63 2 2" xfId="6541" xr:uid="{00000000-0005-0000-0000-00008D190000}"/>
    <cellStyle name="Accent5 63 2 2 2" xfId="33689" xr:uid="{7C1F87FE-9C56-463D-BC98-FA6EFBBB3B6F}"/>
    <cellStyle name="Accent5 63 2 3" xfId="33688" xr:uid="{56941979-ECAF-457B-9D65-51751C47E7EF}"/>
    <cellStyle name="Accent5 63 3" xfId="6542" xr:uid="{00000000-0005-0000-0000-00008E190000}"/>
    <cellStyle name="Accent5 63 3 2" xfId="6543" xr:uid="{00000000-0005-0000-0000-00008F190000}"/>
    <cellStyle name="Accent5 63 3 2 2" xfId="6544" xr:uid="{00000000-0005-0000-0000-000090190000}"/>
    <cellStyle name="Accent5 63 3 2 2 2" xfId="33692" xr:uid="{8DF41B06-4467-45B6-B28C-D3C8E796ABB8}"/>
    <cellStyle name="Accent5 63 3 2 3" xfId="33691" xr:uid="{52BC299F-ECC0-44BE-8B55-BCD7CBA20A9C}"/>
    <cellStyle name="Accent5 63 3 3" xfId="6545" xr:uid="{00000000-0005-0000-0000-000091190000}"/>
    <cellStyle name="Accent5 63 3 3 2" xfId="33693" xr:uid="{30769444-BECB-4CC3-8D6E-0C27AFCABF1E}"/>
    <cellStyle name="Accent5 63 3 4" xfId="33690" xr:uid="{B2024BC3-DF9C-4607-99FF-9E786BA7B489}"/>
    <cellStyle name="Accent5 63 4" xfId="6546" xr:uid="{00000000-0005-0000-0000-000092190000}"/>
    <cellStyle name="Accent5 63 4 2" xfId="33694" xr:uid="{1DD3C116-33AD-4942-8F68-F510F0FAC962}"/>
    <cellStyle name="Accent5 63 5" xfId="33687" xr:uid="{0022376E-3731-4B82-AA63-7F866BE252A1}"/>
    <cellStyle name="Accent5 64" xfId="6547" xr:uid="{00000000-0005-0000-0000-000093190000}"/>
    <cellStyle name="Accent5 64 2" xfId="6548" xr:uid="{00000000-0005-0000-0000-000094190000}"/>
    <cellStyle name="Accent5 64 2 2" xfId="6549" xr:uid="{00000000-0005-0000-0000-000095190000}"/>
    <cellStyle name="Accent5 64 2 2 2" xfId="33697" xr:uid="{17A46196-EBA6-4784-BED7-8F6278226D74}"/>
    <cellStyle name="Accent5 64 2 3" xfId="33696" xr:uid="{63B36CA2-A46E-4C57-9F3F-909AC417BD70}"/>
    <cellStyle name="Accent5 64 3" xfId="6550" xr:uid="{00000000-0005-0000-0000-000096190000}"/>
    <cellStyle name="Accent5 64 3 2" xfId="6551" xr:uid="{00000000-0005-0000-0000-000097190000}"/>
    <cellStyle name="Accent5 64 3 2 2" xfId="6552" xr:uid="{00000000-0005-0000-0000-000098190000}"/>
    <cellStyle name="Accent5 64 3 2 2 2" xfId="33700" xr:uid="{E4DB488E-617E-492F-9C8C-BD776DA15ED5}"/>
    <cellStyle name="Accent5 64 3 2 3" xfId="33699" xr:uid="{C4BAB7CB-29CD-430F-94C6-61415648F5FA}"/>
    <cellStyle name="Accent5 64 3 3" xfId="6553" xr:uid="{00000000-0005-0000-0000-000099190000}"/>
    <cellStyle name="Accent5 64 3 3 2" xfId="33701" xr:uid="{72BC50B2-4CE2-444F-A62C-E537326CB3D3}"/>
    <cellStyle name="Accent5 64 3 4" xfId="33698" xr:uid="{AA40C46C-F576-4EA3-BD9B-6CCC227609C4}"/>
    <cellStyle name="Accent5 64 4" xfId="6554" xr:uid="{00000000-0005-0000-0000-00009A190000}"/>
    <cellStyle name="Accent5 64 4 2" xfId="33702" xr:uid="{FD81EECD-7191-4FA5-B602-04B1C4A3A857}"/>
    <cellStyle name="Accent5 64 5" xfId="33695" xr:uid="{BF398BF6-C031-4BF5-8378-6D34123BE85B}"/>
    <cellStyle name="Accent5 65" xfId="6555" xr:uid="{00000000-0005-0000-0000-00009B190000}"/>
    <cellStyle name="Accent5 65 2" xfId="6556" xr:uid="{00000000-0005-0000-0000-00009C190000}"/>
    <cellStyle name="Accent5 65 2 2" xfId="6557" xr:uid="{00000000-0005-0000-0000-00009D190000}"/>
    <cellStyle name="Accent5 65 2 2 2" xfId="33705" xr:uid="{9124CC55-6468-46C8-B9E6-88466836539D}"/>
    <cellStyle name="Accent5 65 2 3" xfId="33704" xr:uid="{F49AA175-8148-44AB-8A33-9A004B667F51}"/>
    <cellStyle name="Accent5 65 3" xfId="6558" xr:uid="{00000000-0005-0000-0000-00009E190000}"/>
    <cellStyle name="Accent5 65 3 2" xfId="6559" xr:uid="{00000000-0005-0000-0000-00009F190000}"/>
    <cellStyle name="Accent5 65 3 2 2" xfId="6560" xr:uid="{00000000-0005-0000-0000-0000A0190000}"/>
    <cellStyle name="Accent5 65 3 2 2 2" xfId="33708" xr:uid="{65EF0171-2092-46A7-A90F-0DAB399BA0BB}"/>
    <cellStyle name="Accent5 65 3 2 3" xfId="33707" xr:uid="{8BD30655-171B-4591-8C60-12DAF07B2722}"/>
    <cellStyle name="Accent5 65 3 3" xfId="6561" xr:uid="{00000000-0005-0000-0000-0000A1190000}"/>
    <cellStyle name="Accent5 65 3 3 2" xfId="33709" xr:uid="{21909F7E-A82A-46D9-9AFF-47271D4E4685}"/>
    <cellStyle name="Accent5 65 3 4" xfId="33706" xr:uid="{0D1902B6-7A5E-4258-8199-81629F47A897}"/>
    <cellStyle name="Accent5 65 4" xfId="6562" xr:uid="{00000000-0005-0000-0000-0000A2190000}"/>
    <cellStyle name="Accent5 65 4 2" xfId="33710" xr:uid="{41B4E684-B6C7-4669-9019-1B8493E9FC40}"/>
    <cellStyle name="Accent5 65 5" xfId="33703" xr:uid="{AA002AF5-9FE0-4213-8088-EDAFD19C962D}"/>
    <cellStyle name="Accent5 66" xfId="6563" xr:uid="{00000000-0005-0000-0000-0000A3190000}"/>
    <cellStyle name="Accent5 66 2" xfId="6564" xr:uid="{00000000-0005-0000-0000-0000A4190000}"/>
    <cellStyle name="Accent5 66 2 2" xfId="6565" xr:uid="{00000000-0005-0000-0000-0000A5190000}"/>
    <cellStyle name="Accent5 66 2 2 2" xfId="33713" xr:uid="{716F5474-CD1E-4E74-AB78-27BC0951DDE8}"/>
    <cellStyle name="Accent5 66 2 3" xfId="33712" xr:uid="{D7D76870-A268-4546-AFBD-BBF43CFE0459}"/>
    <cellStyle name="Accent5 66 3" xfId="6566" xr:uid="{00000000-0005-0000-0000-0000A6190000}"/>
    <cellStyle name="Accent5 66 3 2" xfId="6567" xr:uid="{00000000-0005-0000-0000-0000A7190000}"/>
    <cellStyle name="Accent5 66 3 2 2" xfId="6568" xr:uid="{00000000-0005-0000-0000-0000A8190000}"/>
    <cellStyle name="Accent5 66 3 2 2 2" xfId="33716" xr:uid="{A0E6FB49-250D-4578-9A44-D6F6576B89C9}"/>
    <cellStyle name="Accent5 66 3 2 3" xfId="33715" xr:uid="{5B639800-1422-49D5-AD92-96FA021834D9}"/>
    <cellStyle name="Accent5 66 3 3" xfId="6569" xr:uid="{00000000-0005-0000-0000-0000A9190000}"/>
    <cellStyle name="Accent5 66 3 3 2" xfId="33717" xr:uid="{1F114D75-31EC-4B70-B4FC-76B16785407D}"/>
    <cellStyle name="Accent5 66 3 4" xfId="33714" xr:uid="{2F82BF76-A315-420F-8434-36CE4F39F5D8}"/>
    <cellStyle name="Accent5 66 4" xfId="6570" xr:uid="{00000000-0005-0000-0000-0000AA190000}"/>
    <cellStyle name="Accent5 66 4 2" xfId="33718" xr:uid="{92E969C5-7729-4F7B-94A5-2D53964FBB9E}"/>
    <cellStyle name="Accent5 66 5" xfId="33711" xr:uid="{A280D755-018F-4B49-868D-73CB2803380F}"/>
    <cellStyle name="Accent5 67" xfId="6571" xr:uid="{00000000-0005-0000-0000-0000AB190000}"/>
    <cellStyle name="Accent5 67 2" xfId="6572" xr:uid="{00000000-0005-0000-0000-0000AC190000}"/>
    <cellStyle name="Accent5 67 2 2" xfId="6573" xr:uid="{00000000-0005-0000-0000-0000AD190000}"/>
    <cellStyle name="Accent5 67 2 2 2" xfId="33721" xr:uid="{61BCF307-F0A7-43FD-AF43-90FA89979B6E}"/>
    <cellStyle name="Accent5 67 2 3" xfId="33720" xr:uid="{6574B761-0EE8-4526-AAE2-1533E7D5FD94}"/>
    <cellStyle name="Accent5 67 3" xfId="6574" xr:uid="{00000000-0005-0000-0000-0000AE190000}"/>
    <cellStyle name="Accent5 67 3 2" xfId="6575" xr:uid="{00000000-0005-0000-0000-0000AF190000}"/>
    <cellStyle name="Accent5 67 3 2 2" xfId="6576" xr:uid="{00000000-0005-0000-0000-0000B0190000}"/>
    <cellStyle name="Accent5 67 3 2 2 2" xfId="33724" xr:uid="{12CB9ED6-32A2-4630-88FB-18CC94E88A74}"/>
    <cellStyle name="Accent5 67 3 2 3" xfId="33723" xr:uid="{111531DE-0D25-4144-98CD-9B6B192227E5}"/>
    <cellStyle name="Accent5 67 3 3" xfId="6577" xr:uid="{00000000-0005-0000-0000-0000B1190000}"/>
    <cellStyle name="Accent5 67 3 3 2" xfId="33725" xr:uid="{041731EE-A79D-48CF-9D63-66E030C6FB69}"/>
    <cellStyle name="Accent5 67 3 4" xfId="33722" xr:uid="{DB6F0B57-B133-4E88-B7A8-639895A292A7}"/>
    <cellStyle name="Accent5 67 4" xfId="6578" xr:uid="{00000000-0005-0000-0000-0000B2190000}"/>
    <cellStyle name="Accent5 67 4 2" xfId="33726" xr:uid="{C51A1834-94FC-41A2-861B-1D0D555BC3B7}"/>
    <cellStyle name="Accent5 67 5" xfId="33719" xr:uid="{E71DD26C-31B2-4FF3-A353-68D414B01B1E}"/>
    <cellStyle name="Accent5 68" xfId="6579" xr:uid="{00000000-0005-0000-0000-0000B3190000}"/>
    <cellStyle name="Accent5 68 2" xfId="6580" xr:uid="{00000000-0005-0000-0000-0000B4190000}"/>
    <cellStyle name="Accent5 68 2 2" xfId="6581" xr:uid="{00000000-0005-0000-0000-0000B5190000}"/>
    <cellStyle name="Accent5 68 2 2 2" xfId="33729" xr:uid="{656F8EF8-737A-4DA7-9E17-0EF64EEB9370}"/>
    <cellStyle name="Accent5 68 2 3" xfId="33728" xr:uid="{A9D99792-3C62-4700-A7C7-E849311863D6}"/>
    <cellStyle name="Accent5 68 3" xfId="6582" xr:uid="{00000000-0005-0000-0000-0000B6190000}"/>
    <cellStyle name="Accent5 68 3 2" xfId="6583" xr:uid="{00000000-0005-0000-0000-0000B7190000}"/>
    <cellStyle name="Accent5 68 3 2 2" xfId="6584" xr:uid="{00000000-0005-0000-0000-0000B8190000}"/>
    <cellStyle name="Accent5 68 3 2 2 2" xfId="33732" xr:uid="{D3000E28-3205-46A0-B16A-49B27AE77EBD}"/>
    <cellStyle name="Accent5 68 3 2 3" xfId="33731" xr:uid="{FD4DED05-4C56-4AE3-8030-DDA777EF2B02}"/>
    <cellStyle name="Accent5 68 3 3" xfId="6585" xr:uid="{00000000-0005-0000-0000-0000B9190000}"/>
    <cellStyle name="Accent5 68 3 3 2" xfId="33733" xr:uid="{8623EF43-A7AC-4AE6-A441-2FFE5947684B}"/>
    <cellStyle name="Accent5 68 3 4" xfId="33730" xr:uid="{6E22E25B-39B0-4977-AB40-2674B894C84D}"/>
    <cellStyle name="Accent5 68 4" xfId="6586" xr:uid="{00000000-0005-0000-0000-0000BA190000}"/>
    <cellStyle name="Accent5 68 4 2" xfId="33734" xr:uid="{BEFF4690-7BD5-4D7A-A2F9-22964EE807F4}"/>
    <cellStyle name="Accent5 68 5" xfId="33727" xr:uid="{FB80EF6C-0D57-4928-AA2C-B028CDA812CE}"/>
    <cellStyle name="Accent5 69" xfId="6587" xr:uid="{00000000-0005-0000-0000-0000BB190000}"/>
    <cellStyle name="Accent5 69 2" xfId="6588" xr:uid="{00000000-0005-0000-0000-0000BC190000}"/>
    <cellStyle name="Accent5 69 2 2" xfId="6589" xr:uid="{00000000-0005-0000-0000-0000BD190000}"/>
    <cellStyle name="Accent5 69 2 2 2" xfId="33737" xr:uid="{B2EA0240-7093-4B16-8B81-F0CE9797E456}"/>
    <cellStyle name="Accent5 69 2 3" xfId="33736" xr:uid="{07BAD92F-8546-42F0-B635-6873BCC2C700}"/>
    <cellStyle name="Accent5 69 3" xfId="6590" xr:uid="{00000000-0005-0000-0000-0000BE190000}"/>
    <cellStyle name="Accent5 69 3 2" xfId="6591" xr:uid="{00000000-0005-0000-0000-0000BF190000}"/>
    <cellStyle name="Accent5 69 3 2 2" xfId="6592" xr:uid="{00000000-0005-0000-0000-0000C0190000}"/>
    <cellStyle name="Accent5 69 3 2 2 2" xfId="33740" xr:uid="{29282C2B-A5EF-44EE-8261-CF1984244E4F}"/>
    <cellStyle name="Accent5 69 3 2 3" xfId="33739" xr:uid="{5C9693AE-676F-48E6-9960-232B867FDCA4}"/>
    <cellStyle name="Accent5 69 3 3" xfId="6593" xr:uid="{00000000-0005-0000-0000-0000C1190000}"/>
    <cellStyle name="Accent5 69 3 3 2" xfId="33741" xr:uid="{EB04FF16-D8E1-49D2-BF4F-BB9B9F52A3E9}"/>
    <cellStyle name="Accent5 69 3 4" xfId="33738" xr:uid="{5CB4AC13-B988-42C7-8ABA-8161E76EBCDB}"/>
    <cellStyle name="Accent5 69 4" xfId="6594" xr:uid="{00000000-0005-0000-0000-0000C2190000}"/>
    <cellStyle name="Accent5 69 4 2" xfId="33742" xr:uid="{3E451235-DFD1-47D3-9090-CF785BCB9785}"/>
    <cellStyle name="Accent5 69 5" xfId="33735" xr:uid="{5BD73BB2-1BCA-46E8-8140-F45D9FD2E1ED}"/>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2 2 2" xfId="33745" xr:uid="{BEC5A88E-854E-467D-AEDA-D9B3EDCF590C}"/>
    <cellStyle name="Accent5 70 2 3" xfId="33744" xr:uid="{9A21A24B-2F28-4086-AC1B-D76971A6256D}"/>
    <cellStyle name="Accent5 70 3" xfId="6614" xr:uid="{00000000-0005-0000-0000-0000D6190000}"/>
    <cellStyle name="Accent5 70 3 2" xfId="6615" xr:uid="{00000000-0005-0000-0000-0000D7190000}"/>
    <cellStyle name="Accent5 70 3 2 2" xfId="6616" xr:uid="{00000000-0005-0000-0000-0000D8190000}"/>
    <cellStyle name="Accent5 70 3 2 2 2" xfId="33748" xr:uid="{B64CC15E-6E5D-45D5-9982-DA3B92139A15}"/>
    <cellStyle name="Accent5 70 3 2 3" xfId="33747" xr:uid="{10CF934E-0514-4C57-8D4D-AE2CFED616CA}"/>
    <cellStyle name="Accent5 70 3 3" xfId="6617" xr:uid="{00000000-0005-0000-0000-0000D9190000}"/>
    <cellStyle name="Accent5 70 3 3 2" xfId="33749" xr:uid="{6CE73ADD-9FBE-460F-B697-3FD00C3E77F3}"/>
    <cellStyle name="Accent5 70 3 4" xfId="33746" xr:uid="{05C434D6-833C-44E2-B36A-0031AA8AE79E}"/>
    <cellStyle name="Accent5 70 4" xfId="6618" xr:uid="{00000000-0005-0000-0000-0000DA190000}"/>
    <cellStyle name="Accent5 70 4 2" xfId="33750" xr:uid="{B84EC452-107D-48E5-BFB6-53D3F16B7FC6}"/>
    <cellStyle name="Accent5 70 5" xfId="33743" xr:uid="{56361D0A-99E5-4C9E-B0CB-439F45B6835F}"/>
    <cellStyle name="Accent5 71" xfId="6619" xr:uid="{00000000-0005-0000-0000-0000DB190000}"/>
    <cellStyle name="Accent5 71 2" xfId="6620" xr:uid="{00000000-0005-0000-0000-0000DC190000}"/>
    <cellStyle name="Accent5 71 2 2" xfId="6621" xr:uid="{00000000-0005-0000-0000-0000DD190000}"/>
    <cellStyle name="Accent5 71 2 2 2" xfId="33753" xr:uid="{92ADFD3B-7EEA-44C8-9EEB-FD5831CEB757}"/>
    <cellStyle name="Accent5 71 2 3" xfId="33752" xr:uid="{0DC71429-1A9F-4258-9351-4DC112BE6116}"/>
    <cellStyle name="Accent5 71 3" xfId="6622" xr:uid="{00000000-0005-0000-0000-0000DE190000}"/>
    <cellStyle name="Accent5 71 3 2" xfId="6623" xr:uid="{00000000-0005-0000-0000-0000DF190000}"/>
    <cellStyle name="Accent5 71 3 2 2" xfId="6624" xr:uid="{00000000-0005-0000-0000-0000E0190000}"/>
    <cellStyle name="Accent5 71 3 2 2 2" xfId="33756" xr:uid="{AEACD8FE-98D7-45E5-9BC4-D315892F5602}"/>
    <cellStyle name="Accent5 71 3 2 3" xfId="33755" xr:uid="{CE44FA9C-8A07-4269-8640-9F2B3A87AC56}"/>
    <cellStyle name="Accent5 71 3 3" xfId="6625" xr:uid="{00000000-0005-0000-0000-0000E1190000}"/>
    <cellStyle name="Accent5 71 3 3 2" xfId="33757" xr:uid="{E42AE1B1-4694-4A7C-BE93-1FB18012FEF0}"/>
    <cellStyle name="Accent5 71 3 4" xfId="33754" xr:uid="{A2404EE1-5ADB-4FB5-A1E8-48159A187DB8}"/>
    <cellStyle name="Accent5 71 4" xfId="6626" xr:uid="{00000000-0005-0000-0000-0000E2190000}"/>
    <cellStyle name="Accent5 71 4 2" xfId="33758" xr:uid="{04105E1D-6CD6-426F-BE51-55CBD5998A65}"/>
    <cellStyle name="Accent5 71 5" xfId="33751" xr:uid="{8559017A-0750-42E0-8E65-03D4AD06BFF9}"/>
    <cellStyle name="Accent5 72" xfId="6627" xr:uid="{00000000-0005-0000-0000-0000E3190000}"/>
    <cellStyle name="Accent5 72 2" xfId="6628" xr:uid="{00000000-0005-0000-0000-0000E4190000}"/>
    <cellStyle name="Accent5 72 2 2" xfId="6629" xr:uid="{00000000-0005-0000-0000-0000E5190000}"/>
    <cellStyle name="Accent5 72 2 2 2" xfId="33761" xr:uid="{6A65A0A3-DA55-4268-8733-08F11F531549}"/>
    <cellStyle name="Accent5 72 2 3" xfId="33760" xr:uid="{E533C73F-EE81-4657-AC22-5BCFEB46979D}"/>
    <cellStyle name="Accent5 72 3" xfId="6630" xr:uid="{00000000-0005-0000-0000-0000E6190000}"/>
    <cellStyle name="Accent5 72 3 2" xfId="6631" xr:uid="{00000000-0005-0000-0000-0000E7190000}"/>
    <cellStyle name="Accent5 72 3 2 2" xfId="6632" xr:uid="{00000000-0005-0000-0000-0000E8190000}"/>
    <cellStyle name="Accent5 72 3 2 2 2" xfId="33764" xr:uid="{40D99F2F-19AF-447C-BF3B-F2C82C7BBB38}"/>
    <cellStyle name="Accent5 72 3 2 3" xfId="33763" xr:uid="{4A51CC18-E175-4A11-BCF2-DA57E3C0C856}"/>
    <cellStyle name="Accent5 72 3 3" xfId="6633" xr:uid="{00000000-0005-0000-0000-0000E9190000}"/>
    <cellStyle name="Accent5 72 3 3 2" xfId="33765" xr:uid="{C35F3012-AF81-486A-A1FA-6F0D3E42DBAF}"/>
    <cellStyle name="Accent5 72 3 4" xfId="33762" xr:uid="{7DED3017-5755-474E-9BAF-7DDDE72A6148}"/>
    <cellStyle name="Accent5 72 4" xfId="6634" xr:uid="{00000000-0005-0000-0000-0000EA190000}"/>
    <cellStyle name="Accent5 72 4 2" xfId="33766" xr:uid="{1F3FF34C-87DC-4362-864B-EEEFF9DE75A5}"/>
    <cellStyle name="Accent5 72 5" xfId="33759" xr:uid="{1D750062-5B09-43F9-B65B-96F29F3F11C0}"/>
    <cellStyle name="Accent5 73" xfId="6635" xr:uid="{00000000-0005-0000-0000-0000EB190000}"/>
    <cellStyle name="Accent5 73 2" xfId="6636" xr:uid="{00000000-0005-0000-0000-0000EC190000}"/>
    <cellStyle name="Accent5 73 2 2" xfId="6637" xr:uid="{00000000-0005-0000-0000-0000ED190000}"/>
    <cellStyle name="Accent5 73 2 2 2" xfId="33769" xr:uid="{0405EB31-C75F-4794-821A-86ABA18261E9}"/>
    <cellStyle name="Accent5 73 2 3" xfId="33768" xr:uid="{512D1B8F-BE3F-4058-81E9-0DC28999D1F7}"/>
    <cellStyle name="Accent5 73 3" xfId="6638" xr:uid="{00000000-0005-0000-0000-0000EE190000}"/>
    <cellStyle name="Accent5 73 3 2" xfId="6639" xr:uid="{00000000-0005-0000-0000-0000EF190000}"/>
    <cellStyle name="Accent5 73 3 2 2" xfId="6640" xr:uid="{00000000-0005-0000-0000-0000F0190000}"/>
    <cellStyle name="Accent5 73 3 2 2 2" xfId="33772" xr:uid="{8E8AB478-D78B-4F74-A48C-48EB9624515E}"/>
    <cellStyle name="Accent5 73 3 2 3" xfId="33771" xr:uid="{97616948-8945-4D9A-A553-BAD06D4B09F1}"/>
    <cellStyle name="Accent5 73 3 3" xfId="6641" xr:uid="{00000000-0005-0000-0000-0000F1190000}"/>
    <cellStyle name="Accent5 73 3 3 2" xfId="33773" xr:uid="{740FB80C-E525-4EB3-BB16-981F6940608A}"/>
    <cellStyle name="Accent5 73 3 4" xfId="33770" xr:uid="{6B59B685-D9A4-4887-A37A-2CC883AD2134}"/>
    <cellStyle name="Accent5 73 4" xfId="6642" xr:uid="{00000000-0005-0000-0000-0000F2190000}"/>
    <cellStyle name="Accent5 73 4 2" xfId="33774" xr:uid="{3BF66ACA-85EA-4FAD-A50B-C57EE20B7E38}"/>
    <cellStyle name="Accent5 73 5" xfId="33767" xr:uid="{31D73339-7851-42BD-A505-D3CD1ECA3B96}"/>
    <cellStyle name="Accent5 74" xfId="6643" xr:uid="{00000000-0005-0000-0000-0000F3190000}"/>
    <cellStyle name="Accent5 74 2" xfId="6644" xr:uid="{00000000-0005-0000-0000-0000F4190000}"/>
    <cellStyle name="Accent5 74 2 2" xfId="6645" xr:uid="{00000000-0005-0000-0000-0000F5190000}"/>
    <cellStyle name="Accent5 74 2 2 2" xfId="33777" xr:uid="{EFD3E5D3-D2AF-4274-AEAC-FB29C11C1CC2}"/>
    <cellStyle name="Accent5 74 2 3" xfId="33776" xr:uid="{1D1BCD15-8259-41F7-9998-77E54338A349}"/>
    <cellStyle name="Accent5 74 3" xfId="6646" xr:uid="{00000000-0005-0000-0000-0000F6190000}"/>
    <cellStyle name="Accent5 74 3 2" xfId="6647" xr:uid="{00000000-0005-0000-0000-0000F7190000}"/>
    <cellStyle name="Accent5 74 3 2 2" xfId="6648" xr:uid="{00000000-0005-0000-0000-0000F8190000}"/>
    <cellStyle name="Accent5 74 3 2 2 2" xfId="33780" xr:uid="{382C85EF-DEA1-4FE2-A238-3D4E49AC9207}"/>
    <cellStyle name="Accent5 74 3 2 3" xfId="33779" xr:uid="{313DFB0D-D70B-4110-96D4-AEEDD5CBE86E}"/>
    <cellStyle name="Accent5 74 3 3" xfId="6649" xr:uid="{00000000-0005-0000-0000-0000F9190000}"/>
    <cellStyle name="Accent5 74 3 3 2" xfId="33781" xr:uid="{44B5DFCC-92F1-4E5D-8496-6DBFA018321D}"/>
    <cellStyle name="Accent5 74 3 4" xfId="33778" xr:uid="{F7C01D70-E803-47FE-A86C-0A3EBCA2E490}"/>
    <cellStyle name="Accent5 74 4" xfId="6650" xr:uid="{00000000-0005-0000-0000-0000FA190000}"/>
    <cellStyle name="Accent5 74 4 2" xfId="33782" xr:uid="{97AFDCD1-928E-48B8-958C-DAABB6CF13BE}"/>
    <cellStyle name="Accent5 74 5" xfId="33775" xr:uid="{BF51123E-6493-44CC-8255-4C5FCCC776BE}"/>
    <cellStyle name="Accent5 75" xfId="6651" xr:uid="{00000000-0005-0000-0000-0000FB190000}"/>
    <cellStyle name="Accent5 75 2" xfId="6652" xr:uid="{00000000-0005-0000-0000-0000FC190000}"/>
    <cellStyle name="Accent5 75 2 2" xfId="6653" xr:uid="{00000000-0005-0000-0000-0000FD190000}"/>
    <cellStyle name="Accent5 75 2 2 2" xfId="33785" xr:uid="{D164E221-E2CF-4CE2-A088-C406ADE942BA}"/>
    <cellStyle name="Accent5 75 2 3" xfId="33784" xr:uid="{28280E10-D900-4CCA-9555-B780F34AA254}"/>
    <cellStyle name="Accent5 75 3" xfId="6654" xr:uid="{00000000-0005-0000-0000-0000FE190000}"/>
    <cellStyle name="Accent5 75 3 2" xfId="6655" xr:uid="{00000000-0005-0000-0000-0000FF190000}"/>
    <cellStyle name="Accent5 75 3 2 2" xfId="6656" xr:uid="{00000000-0005-0000-0000-0000001A0000}"/>
    <cellStyle name="Accent5 75 3 2 2 2" xfId="33788" xr:uid="{0B3ABD71-C4C7-4EF4-979C-33949AA9899A}"/>
    <cellStyle name="Accent5 75 3 2 3" xfId="33787" xr:uid="{34330EDC-D55A-4C35-9EEE-5B9355C7B7BF}"/>
    <cellStyle name="Accent5 75 3 3" xfId="6657" xr:uid="{00000000-0005-0000-0000-0000011A0000}"/>
    <cellStyle name="Accent5 75 3 3 2" xfId="33789" xr:uid="{B65863E5-B18A-4BA7-9435-670F4F8E4478}"/>
    <cellStyle name="Accent5 75 3 4" xfId="33786" xr:uid="{5C337615-DF1A-4F8B-9546-E3E2342356CA}"/>
    <cellStyle name="Accent5 75 4" xfId="6658" xr:uid="{00000000-0005-0000-0000-0000021A0000}"/>
    <cellStyle name="Accent5 75 4 2" xfId="33790" xr:uid="{EFE377C4-CB85-4ACD-A464-01C539740E83}"/>
    <cellStyle name="Accent5 75 5" xfId="33783" xr:uid="{111985B1-E6B3-4856-9D1B-DD187283D3E1}"/>
    <cellStyle name="Accent5 76" xfId="6659" xr:uid="{00000000-0005-0000-0000-0000031A0000}"/>
    <cellStyle name="Accent5 76 2" xfId="6660" xr:uid="{00000000-0005-0000-0000-0000041A0000}"/>
    <cellStyle name="Accent5 76 2 2" xfId="6661" xr:uid="{00000000-0005-0000-0000-0000051A0000}"/>
    <cellStyle name="Accent5 76 2 2 2" xfId="33793" xr:uid="{2026FE44-1440-4405-A735-7DC101813654}"/>
    <cellStyle name="Accent5 76 2 3" xfId="33792" xr:uid="{B5E36FB1-35F9-42CC-99DC-527A65ECE2F8}"/>
    <cellStyle name="Accent5 76 3" xfId="6662" xr:uid="{00000000-0005-0000-0000-0000061A0000}"/>
    <cellStyle name="Accent5 76 3 2" xfId="6663" xr:uid="{00000000-0005-0000-0000-0000071A0000}"/>
    <cellStyle name="Accent5 76 3 2 2" xfId="6664" xr:uid="{00000000-0005-0000-0000-0000081A0000}"/>
    <cellStyle name="Accent5 76 3 2 2 2" xfId="33796" xr:uid="{F3C664DA-9FE4-4E62-B8E9-692E66179FB8}"/>
    <cellStyle name="Accent5 76 3 2 3" xfId="33795" xr:uid="{E4013E1D-BCF6-4564-BC13-258DB4A694FA}"/>
    <cellStyle name="Accent5 76 3 3" xfId="6665" xr:uid="{00000000-0005-0000-0000-0000091A0000}"/>
    <cellStyle name="Accent5 76 3 3 2" xfId="33797" xr:uid="{08D19211-68F7-40A1-A7C8-0D46F6133994}"/>
    <cellStyle name="Accent5 76 3 4" xfId="33794" xr:uid="{AB168417-729C-47B5-AE6F-768954038C11}"/>
    <cellStyle name="Accent5 76 4" xfId="6666" xr:uid="{00000000-0005-0000-0000-00000A1A0000}"/>
    <cellStyle name="Accent5 76 4 2" xfId="33798" xr:uid="{691F1998-5548-4C3D-B49A-90FC8BD07C74}"/>
    <cellStyle name="Accent5 76 5" xfId="33791" xr:uid="{9625AC23-1B18-4E9A-AF41-0D2D8077B735}"/>
    <cellStyle name="Accent5 77" xfId="6667" xr:uid="{00000000-0005-0000-0000-00000B1A0000}"/>
    <cellStyle name="Accent5 77 2" xfId="6668" xr:uid="{00000000-0005-0000-0000-00000C1A0000}"/>
    <cellStyle name="Accent5 77 2 2" xfId="6669" xr:uid="{00000000-0005-0000-0000-00000D1A0000}"/>
    <cellStyle name="Accent5 77 2 2 2" xfId="33801" xr:uid="{B06D0E23-347F-406C-B33C-8BA198865EE9}"/>
    <cellStyle name="Accent5 77 2 3" xfId="33800" xr:uid="{C959D24B-5426-4102-B8DC-7F75AC53F089}"/>
    <cellStyle name="Accent5 77 3" xfId="6670" xr:uid="{00000000-0005-0000-0000-00000E1A0000}"/>
    <cellStyle name="Accent5 77 3 2" xfId="6671" xr:uid="{00000000-0005-0000-0000-00000F1A0000}"/>
    <cellStyle name="Accent5 77 3 2 2" xfId="6672" xr:uid="{00000000-0005-0000-0000-0000101A0000}"/>
    <cellStyle name="Accent5 77 3 2 2 2" xfId="33804" xr:uid="{0A730DA3-C653-414A-817B-D0F8E87AB0D1}"/>
    <cellStyle name="Accent5 77 3 2 3" xfId="33803" xr:uid="{E0E3781B-2521-4C2B-B4FE-D2672C62711E}"/>
    <cellStyle name="Accent5 77 3 3" xfId="6673" xr:uid="{00000000-0005-0000-0000-0000111A0000}"/>
    <cellStyle name="Accent5 77 3 3 2" xfId="33805" xr:uid="{A6D5DBA7-67A7-4149-B2B7-E11D17CBA471}"/>
    <cellStyle name="Accent5 77 3 4" xfId="33802" xr:uid="{F012179A-61E4-4920-B8EE-D6C6DA3133EB}"/>
    <cellStyle name="Accent5 77 4" xfId="6674" xr:uid="{00000000-0005-0000-0000-0000121A0000}"/>
    <cellStyle name="Accent5 77 4 2" xfId="33806" xr:uid="{58F0177E-2BD7-4913-B84D-413471521321}"/>
    <cellStyle name="Accent5 77 5" xfId="33799" xr:uid="{736DBD86-377C-4577-93E2-1F8C3CAA1936}"/>
    <cellStyle name="Accent5 78" xfId="6675" xr:uid="{00000000-0005-0000-0000-0000131A0000}"/>
    <cellStyle name="Accent5 78 2" xfId="6676" xr:uid="{00000000-0005-0000-0000-0000141A0000}"/>
    <cellStyle name="Accent5 78 2 2" xfId="6677" xr:uid="{00000000-0005-0000-0000-0000151A0000}"/>
    <cellStyle name="Accent5 78 2 2 2" xfId="33809" xr:uid="{8353D87B-5D62-4C8D-9B58-8CEDB54133C4}"/>
    <cellStyle name="Accent5 78 2 3" xfId="33808" xr:uid="{4B4FB15A-D909-4FA2-A428-68D9D86186A0}"/>
    <cellStyle name="Accent5 78 3" xfId="6678" xr:uid="{00000000-0005-0000-0000-0000161A0000}"/>
    <cellStyle name="Accent5 78 3 2" xfId="6679" xr:uid="{00000000-0005-0000-0000-0000171A0000}"/>
    <cellStyle name="Accent5 78 3 2 2" xfId="6680" xr:uid="{00000000-0005-0000-0000-0000181A0000}"/>
    <cellStyle name="Accent5 78 3 2 2 2" xfId="33812" xr:uid="{9DE1C57D-DD5B-4142-ABAA-1912240B69F2}"/>
    <cellStyle name="Accent5 78 3 2 3" xfId="33811" xr:uid="{11C5D411-E657-462E-9336-223B5E9108B0}"/>
    <cellStyle name="Accent5 78 3 3" xfId="6681" xr:uid="{00000000-0005-0000-0000-0000191A0000}"/>
    <cellStyle name="Accent5 78 3 3 2" xfId="33813" xr:uid="{4FF1756F-0850-4F7C-B611-35255A92CFEE}"/>
    <cellStyle name="Accent5 78 3 4" xfId="33810" xr:uid="{0EAC7C89-3C57-454D-8A61-31D5EDBC821A}"/>
    <cellStyle name="Accent5 78 4" xfId="6682" xr:uid="{00000000-0005-0000-0000-00001A1A0000}"/>
    <cellStyle name="Accent5 78 4 2" xfId="33814" xr:uid="{42866C9A-1B9F-4B96-A1A3-91F8F2199292}"/>
    <cellStyle name="Accent5 78 5" xfId="33807" xr:uid="{14B68612-FF9E-4160-948A-9819FC54856A}"/>
    <cellStyle name="Accent5 79" xfId="6683" xr:uid="{00000000-0005-0000-0000-00001B1A0000}"/>
    <cellStyle name="Accent5 79 2" xfId="6684" xr:uid="{00000000-0005-0000-0000-00001C1A0000}"/>
    <cellStyle name="Accent5 79 2 2" xfId="6685" xr:uid="{00000000-0005-0000-0000-00001D1A0000}"/>
    <cellStyle name="Accent5 79 2 2 2" xfId="33817" xr:uid="{802A3CD9-2AF5-4C33-94F3-C765B7B6B9BD}"/>
    <cellStyle name="Accent5 79 2 3" xfId="33816" xr:uid="{CB42045F-85FB-4206-BC18-61060CF8042D}"/>
    <cellStyle name="Accent5 79 3" xfId="6686" xr:uid="{00000000-0005-0000-0000-00001E1A0000}"/>
    <cellStyle name="Accent5 79 3 2" xfId="6687" xr:uid="{00000000-0005-0000-0000-00001F1A0000}"/>
    <cellStyle name="Accent5 79 3 2 2" xfId="6688" xr:uid="{00000000-0005-0000-0000-0000201A0000}"/>
    <cellStyle name="Accent5 79 3 2 2 2" xfId="33820" xr:uid="{AFEB9EA8-22EC-455B-8774-BFD62DFCD3E1}"/>
    <cellStyle name="Accent5 79 3 2 3" xfId="33819" xr:uid="{908FBC55-5008-4FC7-85F6-33990E7C088B}"/>
    <cellStyle name="Accent5 79 3 3" xfId="6689" xr:uid="{00000000-0005-0000-0000-0000211A0000}"/>
    <cellStyle name="Accent5 79 3 3 2" xfId="33821" xr:uid="{B68B7A66-C893-43AB-81DA-8DEBE3CE567B}"/>
    <cellStyle name="Accent5 79 3 4" xfId="33818" xr:uid="{C40BB15B-E7DB-40A9-AF6A-D7BF9235A587}"/>
    <cellStyle name="Accent5 79 4" xfId="6690" xr:uid="{00000000-0005-0000-0000-0000221A0000}"/>
    <cellStyle name="Accent5 79 4 2" xfId="33822" xr:uid="{B29B71E9-DE89-4DB7-87FC-063C9E571359}"/>
    <cellStyle name="Accent5 79 5" xfId="33815" xr:uid="{611934EA-061A-47C7-ACAC-A3AF4B824812}"/>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2 2 2" xfId="33825" xr:uid="{D85B6960-4BF6-474A-9C90-CF7CF2DC7948}"/>
    <cellStyle name="Accent5 80 2 3" xfId="33824" xr:uid="{DEFC6C08-A17D-4136-97CC-B22B22BBB0A9}"/>
    <cellStyle name="Accent5 80 3" xfId="6698" xr:uid="{00000000-0005-0000-0000-00002A1A0000}"/>
    <cellStyle name="Accent5 80 3 2" xfId="6699" xr:uid="{00000000-0005-0000-0000-00002B1A0000}"/>
    <cellStyle name="Accent5 80 3 2 2" xfId="6700" xr:uid="{00000000-0005-0000-0000-00002C1A0000}"/>
    <cellStyle name="Accent5 80 3 2 2 2" xfId="33828" xr:uid="{28E1FEAE-024C-44D6-87EF-CC52F425EBC4}"/>
    <cellStyle name="Accent5 80 3 2 3" xfId="33827" xr:uid="{490618BA-9883-4119-99E0-DB60104A4CA4}"/>
    <cellStyle name="Accent5 80 3 3" xfId="6701" xr:uid="{00000000-0005-0000-0000-00002D1A0000}"/>
    <cellStyle name="Accent5 80 3 3 2" xfId="33829" xr:uid="{AA05493B-43D7-4A09-A947-A5EC138D2C8B}"/>
    <cellStyle name="Accent5 80 3 4" xfId="33826" xr:uid="{15860C56-D971-4EE4-A8B2-B1DEE5B0FA87}"/>
    <cellStyle name="Accent5 80 4" xfId="6702" xr:uid="{00000000-0005-0000-0000-00002E1A0000}"/>
    <cellStyle name="Accent5 80 4 2" xfId="33830" xr:uid="{A114CCA5-2CF3-454C-B855-B715EF84F8B6}"/>
    <cellStyle name="Accent5 80 5" xfId="33823" xr:uid="{22EED266-F3B2-4218-B6E5-84EDD23763DE}"/>
    <cellStyle name="Accent5 81" xfId="6703" xr:uid="{00000000-0005-0000-0000-00002F1A0000}"/>
    <cellStyle name="Accent5 81 2" xfId="6704" xr:uid="{00000000-0005-0000-0000-0000301A0000}"/>
    <cellStyle name="Accent5 81 2 2" xfId="6705" xr:uid="{00000000-0005-0000-0000-0000311A0000}"/>
    <cellStyle name="Accent5 81 2 2 2" xfId="33833" xr:uid="{B6389DC1-387C-494C-913F-318AF2A4DA94}"/>
    <cellStyle name="Accent5 81 2 3" xfId="33832" xr:uid="{3A70B5C9-CB5D-482E-913E-4E0FA921E0BA}"/>
    <cellStyle name="Accent5 81 3" xfId="6706" xr:uid="{00000000-0005-0000-0000-0000321A0000}"/>
    <cellStyle name="Accent5 81 3 2" xfId="6707" xr:uid="{00000000-0005-0000-0000-0000331A0000}"/>
    <cellStyle name="Accent5 81 3 2 2" xfId="6708" xr:uid="{00000000-0005-0000-0000-0000341A0000}"/>
    <cellStyle name="Accent5 81 3 2 2 2" xfId="33836" xr:uid="{823369CD-1A26-4EDB-8307-6FE47A9FD69D}"/>
    <cellStyle name="Accent5 81 3 2 3" xfId="33835" xr:uid="{FF5218EE-BF8C-49DA-8BC7-0C3C65529936}"/>
    <cellStyle name="Accent5 81 3 3" xfId="6709" xr:uid="{00000000-0005-0000-0000-0000351A0000}"/>
    <cellStyle name="Accent5 81 3 3 2" xfId="33837" xr:uid="{6E8640A8-37B6-480C-BFD5-81539C759F77}"/>
    <cellStyle name="Accent5 81 3 4" xfId="33834" xr:uid="{E2BA3DD9-C917-436F-B4AC-64CCA5AF523A}"/>
    <cellStyle name="Accent5 81 4" xfId="6710" xr:uid="{00000000-0005-0000-0000-0000361A0000}"/>
    <cellStyle name="Accent5 81 4 2" xfId="33838" xr:uid="{C191925B-A73F-4C18-B900-9B677C7DB942}"/>
    <cellStyle name="Accent5 81 5" xfId="33831" xr:uid="{AF709F6B-4831-4E75-897C-6684668CEE12}"/>
    <cellStyle name="Accent5 82" xfId="6711" xr:uid="{00000000-0005-0000-0000-0000371A0000}"/>
    <cellStyle name="Accent5 82 2" xfId="6712" xr:uid="{00000000-0005-0000-0000-0000381A0000}"/>
    <cellStyle name="Accent5 82 2 2" xfId="6713" xr:uid="{00000000-0005-0000-0000-0000391A0000}"/>
    <cellStyle name="Accent5 82 2 2 2" xfId="33841" xr:uid="{7CD59F49-5704-46E2-A40F-6A54A7283740}"/>
    <cellStyle name="Accent5 82 2 3" xfId="33840" xr:uid="{4EA366A8-3BDB-47F8-8AD4-3747D44A6E9F}"/>
    <cellStyle name="Accent5 82 3" xfId="6714" xr:uid="{00000000-0005-0000-0000-00003A1A0000}"/>
    <cellStyle name="Accent5 82 3 2" xfId="6715" xr:uid="{00000000-0005-0000-0000-00003B1A0000}"/>
    <cellStyle name="Accent5 82 3 2 2" xfId="6716" xr:uid="{00000000-0005-0000-0000-00003C1A0000}"/>
    <cellStyle name="Accent5 82 3 2 2 2" xfId="33844" xr:uid="{CED721C1-651E-49AE-BBB3-19829B06DE86}"/>
    <cellStyle name="Accent5 82 3 2 3" xfId="33843" xr:uid="{0444959A-EA1A-4EE4-85D5-A7E647DDD007}"/>
    <cellStyle name="Accent5 82 3 3" xfId="6717" xr:uid="{00000000-0005-0000-0000-00003D1A0000}"/>
    <cellStyle name="Accent5 82 3 3 2" xfId="33845" xr:uid="{66071C91-7508-4CC0-B62D-7691635AA4B8}"/>
    <cellStyle name="Accent5 82 3 4" xfId="33842" xr:uid="{0AEB1AB0-75E7-4EEF-898E-E90256D49CD7}"/>
    <cellStyle name="Accent5 82 4" xfId="6718" xr:uid="{00000000-0005-0000-0000-00003E1A0000}"/>
    <cellStyle name="Accent5 82 4 2" xfId="33846" xr:uid="{C6B9A477-99D5-4E0C-9B88-4D3327573690}"/>
    <cellStyle name="Accent5 82 5" xfId="33839" xr:uid="{4A8865FA-85C0-4B1A-A72B-79A8BB3E691D}"/>
    <cellStyle name="Accent5 83" xfId="6719" xr:uid="{00000000-0005-0000-0000-00003F1A0000}"/>
    <cellStyle name="Accent5 83 2" xfId="6720" xr:uid="{00000000-0005-0000-0000-0000401A0000}"/>
    <cellStyle name="Accent5 83 2 2" xfId="6721" xr:uid="{00000000-0005-0000-0000-0000411A0000}"/>
    <cellStyle name="Accent5 83 2 2 2" xfId="33849" xr:uid="{8FD62BF2-4096-47EA-83D5-60037FB7623F}"/>
    <cellStyle name="Accent5 83 2 3" xfId="33848" xr:uid="{4D6EA909-AFBD-4C17-AD42-68F531BB5910}"/>
    <cellStyle name="Accent5 83 3" xfId="6722" xr:uid="{00000000-0005-0000-0000-0000421A0000}"/>
    <cellStyle name="Accent5 83 3 2" xfId="6723" xr:uid="{00000000-0005-0000-0000-0000431A0000}"/>
    <cellStyle name="Accent5 83 3 2 2" xfId="6724" xr:uid="{00000000-0005-0000-0000-0000441A0000}"/>
    <cellStyle name="Accent5 83 3 2 2 2" xfId="33852" xr:uid="{5DB6DAA0-0E07-4E54-98D7-C12D68CF7B08}"/>
    <cellStyle name="Accent5 83 3 2 3" xfId="33851" xr:uid="{7806D2A1-8DE7-419F-8336-083183286A0C}"/>
    <cellStyle name="Accent5 83 3 3" xfId="6725" xr:uid="{00000000-0005-0000-0000-0000451A0000}"/>
    <cellStyle name="Accent5 83 3 3 2" xfId="33853" xr:uid="{E27AF5A0-5AFC-4309-871F-70885820CEFF}"/>
    <cellStyle name="Accent5 83 3 4" xfId="33850" xr:uid="{9D7DC905-A96D-4C14-B5E0-775DC22563B7}"/>
    <cellStyle name="Accent5 83 4" xfId="6726" xr:uid="{00000000-0005-0000-0000-0000461A0000}"/>
    <cellStyle name="Accent5 83 4 2" xfId="33854" xr:uid="{2AB77542-F3AC-41D6-A230-FFF76A0280E2}"/>
    <cellStyle name="Accent5 83 5" xfId="33847" xr:uid="{02CBFCB2-D1D9-4A60-8EAD-1768E670004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2 2 2" xfId="33857" xr:uid="{405817F2-16FA-4310-BDC8-5700C06119F6}"/>
    <cellStyle name="Accent5 91 2 3" xfId="33856" xr:uid="{649F57E0-AC7E-4782-9496-DE65F2043F44}"/>
    <cellStyle name="Accent5 91 3" xfId="6762" xr:uid="{00000000-0005-0000-0000-00006A1A0000}"/>
    <cellStyle name="Accent5 91 3 2" xfId="33858" xr:uid="{29248A05-A8A5-4371-9DE7-A434A8ECD3C5}"/>
    <cellStyle name="Accent5 91 4" xfId="33855" xr:uid="{17DAB035-4BC5-4739-AA15-9C6A3A173049}"/>
    <cellStyle name="Accent5 92" xfId="6763" xr:uid="{00000000-0005-0000-0000-00006B1A0000}"/>
    <cellStyle name="Accent5 92 2" xfId="6764" xr:uid="{00000000-0005-0000-0000-00006C1A0000}"/>
    <cellStyle name="Accent5 92 2 2" xfId="6765" xr:uid="{00000000-0005-0000-0000-00006D1A0000}"/>
    <cellStyle name="Accent5 92 2 2 2" xfId="33861" xr:uid="{8EE79318-BF5B-4474-8B82-BAD918F1DDE5}"/>
    <cellStyle name="Accent5 92 2 3" xfId="33860" xr:uid="{8F178F75-55CC-4080-9946-48ADFAE25896}"/>
    <cellStyle name="Accent5 92 3" xfId="6766" xr:uid="{00000000-0005-0000-0000-00006E1A0000}"/>
    <cellStyle name="Accent5 92 3 2" xfId="33862" xr:uid="{34A040C8-5ED4-4613-AF51-77E41091F878}"/>
    <cellStyle name="Accent5 92 4" xfId="33859" xr:uid="{B2F38DEF-0E76-4969-997F-D5C18D5C5873}"/>
    <cellStyle name="Accent5 93" xfId="6767" xr:uid="{00000000-0005-0000-0000-00006F1A0000}"/>
    <cellStyle name="Accent5 93 2" xfId="6768" xr:uid="{00000000-0005-0000-0000-0000701A0000}"/>
    <cellStyle name="Accent5 93 2 2" xfId="6769" xr:uid="{00000000-0005-0000-0000-0000711A0000}"/>
    <cellStyle name="Accent5 93 2 2 2" xfId="33865" xr:uid="{1558C0F5-FA08-4A77-BF22-A946989115CD}"/>
    <cellStyle name="Accent5 93 2 3" xfId="33864" xr:uid="{13131653-5708-425F-8084-4C6E5868F2CD}"/>
    <cellStyle name="Accent5 93 3" xfId="6770" xr:uid="{00000000-0005-0000-0000-0000721A0000}"/>
    <cellStyle name="Accent5 93 3 2" xfId="33866" xr:uid="{A077C38C-8CCE-431F-A1C8-7F7AD05F87D5}"/>
    <cellStyle name="Accent5 93 4" xfId="33863" xr:uid="{AC742532-8744-4F5B-BC27-E2FB2EDE72D6}"/>
    <cellStyle name="Accent5 94" xfId="6771" xr:uid="{00000000-0005-0000-0000-0000731A0000}"/>
    <cellStyle name="Accent5 94 2" xfId="6772" xr:uid="{00000000-0005-0000-0000-0000741A0000}"/>
    <cellStyle name="Accent5 94 2 2" xfId="6773" xr:uid="{00000000-0005-0000-0000-0000751A0000}"/>
    <cellStyle name="Accent5 94 2 2 2" xfId="33869" xr:uid="{87D1BF98-7F3C-4C7B-BC5D-48F34E0C18A2}"/>
    <cellStyle name="Accent5 94 2 3" xfId="33868" xr:uid="{48DFE324-096F-45A7-8D4E-0C3CA54EF733}"/>
    <cellStyle name="Accent5 94 3" xfId="6774" xr:uid="{00000000-0005-0000-0000-0000761A0000}"/>
    <cellStyle name="Accent5 94 3 2" xfId="33870" xr:uid="{27DA1A46-A0B2-4B7A-AC60-3DEFD6DD5336}"/>
    <cellStyle name="Accent5 94 4" xfId="33867" xr:uid="{7AAA305C-6FB7-4F18-B7ED-5ADC6917A636}"/>
    <cellStyle name="Accent5 95" xfId="6775" xr:uid="{00000000-0005-0000-0000-0000771A0000}"/>
    <cellStyle name="Accent5 95 2" xfId="6776" xr:uid="{00000000-0005-0000-0000-0000781A0000}"/>
    <cellStyle name="Accent5 95 2 2" xfId="6777" xr:uid="{00000000-0005-0000-0000-0000791A0000}"/>
    <cellStyle name="Accent5 95 2 2 2" xfId="33873" xr:uid="{3B97187A-066D-4399-BAE0-534499051CDD}"/>
    <cellStyle name="Accent5 95 2 3" xfId="33872" xr:uid="{7C1BA55F-2BB3-4A9D-B258-80EBD2EE5330}"/>
    <cellStyle name="Accent5 95 3" xfId="6778" xr:uid="{00000000-0005-0000-0000-00007A1A0000}"/>
    <cellStyle name="Accent5 95 3 2" xfId="33874" xr:uid="{4166492A-B594-40DE-9AE4-46CF0BD91289}"/>
    <cellStyle name="Accent5 95 4" xfId="33871" xr:uid="{D95B0C8E-165D-4C08-8E90-53280CFF0597}"/>
    <cellStyle name="Accent5 96" xfId="6779" xr:uid="{00000000-0005-0000-0000-00007B1A0000}"/>
    <cellStyle name="Accent5 96 2" xfId="6780" xr:uid="{00000000-0005-0000-0000-00007C1A0000}"/>
    <cellStyle name="Accent5 96 2 2" xfId="6781" xr:uid="{00000000-0005-0000-0000-00007D1A0000}"/>
    <cellStyle name="Accent5 96 2 2 2" xfId="33877" xr:uid="{0408B0E1-9EC8-4682-9796-6FC6A3C6C4D4}"/>
    <cellStyle name="Accent5 96 2 3" xfId="33876" xr:uid="{15C7FB79-09FA-4CEF-B8A0-5449D266A614}"/>
    <cellStyle name="Accent5 96 3" xfId="6782" xr:uid="{00000000-0005-0000-0000-00007E1A0000}"/>
    <cellStyle name="Accent5 96 3 2" xfId="33878" xr:uid="{5F2B5C65-CCEA-4EBF-8650-086DC96D4D36}"/>
    <cellStyle name="Accent5 96 4" xfId="33875" xr:uid="{7DAF24F1-60DE-4DB3-8FBD-5EEECD2CC8BC}"/>
    <cellStyle name="Accent5 97" xfId="6783" xr:uid="{00000000-0005-0000-0000-00007F1A0000}"/>
    <cellStyle name="Accent5 97 2" xfId="6784" xr:uid="{00000000-0005-0000-0000-0000801A0000}"/>
    <cellStyle name="Accent5 97 2 2" xfId="6785" xr:uid="{00000000-0005-0000-0000-0000811A0000}"/>
    <cellStyle name="Accent5 97 2 2 2" xfId="33881" xr:uid="{535AEEC5-B225-4337-BE7E-6A73BF3636F3}"/>
    <cellStyle name="Accent5 97 2 3" xfId="33880" xr:uid="{B7521F4D-323A-4CB3-9D15-6E584A286BC6}"/>
    <cellStyle name="Accent5 97 3" xfId="6786" xr:uid="{00000000-0005-0000-0000-0000821A0000}"/>
    <cellStyle name="Accent5 97 3 2" xfId="33882" xr:uid="{F3823316-B8FF-455D-B3BC-3524E5A9F9C8}"/>
    <cellStyle name="Accent5 97 4" xfId="33879" xr:uid="{5A5E6F04-E881-4C7A-9EF3-FFBE57789111}"/>
    <cellStyle name="Accent5 98" xfId="6787" xr:uid="{00000000-0005-0000-0000-0000831A0000}"/>
    <cellStyle name="Accent5 98 2" xfId="6788" xr:uid="{00000000-0005-0000-0000-0000841A0000}"/>
    <cellStyle name="Accent5 98 2 2" xfId="6789" xr:uid="{00000000-0005-0000-0000-0000851A0000}"/>
    <cellStyle name="Accent5 98 2 2 2" xfId="33885" xr:uid="{11FB6AE5-A8C3-4C6C-9089-0E67BBB00168}"/>
    <cellStyle name="Accent5 98 2 3" xfId="33884" xr:uid="{10287F7B-00CA-4371-8385-3C5A4829F0DE}"/>
    <cellStyle name="Accent5 98 3" xfId="6790" xr:uid="{00000000-0005-0000-0000-0000861A0000}"/>
    <cellStyle name="Accent5 98 3 2" xfId="33886" xr:uid="{B3999783-BE7B-4288-8879-DDB7BE251532}"/>
    <cellStyle name="Accent5 98 4" xfId="33883" xr:uid="{8CA2E741-B88C-4497-813B-ECB55AD0CDBE}"/>
    <cellStyle name="Accent5 99" xfId="6791" xr:uid="{00000000-0005-0000-0000-0000871A0000}"/>
    <cellStyle name="Accent5 99 2" xfId="6792" xr:uid="{00000000-0005-0000-0000-0000881A0000}"/>
    <cellStyle name="Accent5 99 2 2" xfId="6793" xr:uid="{00000000-0005-0000-0000-0000891A0000}"/>
    <cellStyle name="Accent5 99 2 2 2" xfId="33889" xr:uid="{CBF8E6C3-D4CD-4DA1-9D43-89E2EEDF3215}"/>
    <cellStyle name="Accent5 99 2 3" xfId="33888" xr:uid="{0D90DA98-BC15-4B5A-8A73-40220B3282AE}"/>
    <cellStyle name="Accent5 99 3" xfId="6794" xr:uid="{00000000-0005-0000-0000-00008A1A0000}"/>
    <cellStyle name="Accent5 99 3 2" xfId="33890" xr:uid="{16FD9AA3-D209-497B-80E4-CCD818D6CA4B}"/>
    <cellStyle name="Accent5 99 4" xfId="33887" xr:uid="{18B4C3FC-A99B-4805-9FC5-DADAA7DDB602}"/>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2 2 2" xfId="33893" xr:uid="{DC15B244-1E20-4458-BDDC-08E16CAB5AA8}"/>
    <cellStyle name="Accent6 100 2 3" xfId="33892" xr:uid="{17F449EE-F32A-4319-AFE9-CF516E7F3361}"/>
    <cellStyle name="Accent6 100 3" xfId="6923" xr:uid="{00000000-0005-0000-0000-00000B1B0000}"/>
    <cellStyle name="Accent6 100 3 2" xfId="33894" xr:uid="{6098A4BA-ABA0-453B-9285-58255FB6B0D0}"/>
    <cellStyle name="Accent6 100 4" xfId="33891" xr:uid="{2F2CB94A-712E-4D51-9843-770A6D93352A}"/>
    <cellStyle name="Accent6 101" xfId="6924" xr:uid="{00000000-0005-0000-0000-00000C1B0000}"/>
    <cellStyle name="Accent6 101 2" xfId="6925" xr:uid="{00000000-0005-0000-0000-00000D1B0000}"/>
    <cellStyle name="Accent6 101 2 2" xfId="6926" xr:uid="{00000000-0005-0000-0000-00000E1B0000}"/>
    <cellStyle name="Accent6 101 2 2 2" xfId="33897" xr:uid="{8EDAED9A-C69B-4345-9AA8-FEACF97E9A55}"/>
    <cellStyle name="Accent6 101 2 3" xfId="33896" xr:uid="{F0246D78-9C03-4E0D-B225-9CBECF53AEF2}"/>
    <cellStyle name="Accent6 101 3" xfId="6927" xr:uid="{00000000-0005-0000-0000-00000F1B0000}"/>
    <cellStyle name="Accent6 101 3 2" xfId="33898" xr:uid="{56273E67-ECDB-420B-A84C-BA6630874851}"/>
    <cellStyle name="Accent6 101 4" xfId="33895" xr:uid="{53070DEC-C466-4A46-A999-D1F7CF48A64C}"/>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2 2 2" xfId="33901" xr:uid="{02C0B1A4-6383-4CE2-B7A2-9612AD512459}"/>
    <cellStyle name="Accent6 105 2 3" xfId="33900" xr:uid="{6FE528FE-C86E-47B5-855E-A369C546E4C9}"/>
    <cellStyle name="Accent6 105 3" xfId="6939" xr:uid="{00000000-0005-0000-0000-00001B1B0000}"/>
    <cellStyle name="Accent6 105 3 2" xfId="33902" xr:uid="{6F811044-6EA5-46FA-AA54-CF5346A0871F}"/>
    <cellStyle name="Accent6 105 4" xfId="33899" xr:uid="{D10DA132-CAFE-41B0-BDFE-04F77BCF2CCA}"/>
    <cellStyle name="Accent6 106" xfId="6940" xr:uid="{00000000-0005-0000-0000-00001C1B0000}"/>
    <cellStyle name="Accent6 106 2" xfId="6941" xr:uid="{00000000-0005-0000-0000-00001D1B0000}"/>
    <cellStyle name="Accent6 106 2 2" xfId="6942" xr:uid="{00000000-0005-0000-0000-00001E1B0000}"/>
    <cellStyle name="Accent6 106 2 2 2" xfId="33905" xr:uid="{75E57122-0427-42EA-A47F-6491742FBDB7}"/>
    <cellStyle name="Accent6 106 2 3" xfId="33904" xr:uid="{B940607F-F5EF-47A1-A48E-CDE42AA13EF4}"/>
    <cellStyle name="Accent6 106 3" xfId="6943" xr:uid="{00000000-0005-0000-0000-00001F1B0000}"/>
    <cellStyle name="Accent6 106 3 2" xfId="33906" xr:uid="{DDEA55AE-FF16-48D4-A142-41C3545252E8}"/>
    <cellStyle name="Accent6 106 4" xfId="33903" xr:uid="{9E54FD37-0CD7-418B-9E33-FA8977B8AEF3}"/>
    <cellStyle name="Accent6 107" xfId="6944" xr:uid="{00000000-0005-0000-0000-0000201B0000}"/>
    <cellStyle name="Accent6 107 2" xfId="6945" xr:uid="{00000000-0005-0000-0000-0000211B0000}"/>
    <cellStyle name="Accent6 107 2 2" xfId="6946" xr:uid="{00000000-0005-0000-0000-0000221B0000}"/>
    <cellStyle name="Accent6 107 2 2 2" xfId="33909" xr:uid="{C919EB1E-CDED-47B7-BACB-9569C02EA34B}"/>
    <cellStyle name="Accent6 107 2 3" xfId="33908" xr:uid="{401E91B9-9C1C-41EE-86ED-229D0F140723}"/>
    <cellStyle name="Accent6 107 3" xfId="6947" xr:uid="{00000000-0005-0000-0000-0000231B0000}"/>
    <cellStyle name="Accent6 107 3 2" xfId="33910" xr:uid="{4108A1AA-3124-4400-A548-549E9E4C8353}"/>
    <cellStyle name="Accent6 107 4" xfId="33907" xr:uid="{E73D8CD7-429A-44EF-AB08-DEE2354A9C1D}"/>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0 2 2" xfId="33912" xr:uid="{6B9048E4-D9C7-4DEB-90DA-BF85340EAB6F}"/>
    <cellStyle name="Accent6 2 10 3" xfId="33911" xr:uid="{5178E2C8-BFD5-4201-A32E-A32C0ECF3719}"/>
    <cellStyle name="Accent6 2 11" xfId="7089" xr:uid="{00000000-0005-0000-0000-0000B11B0000}"/>
    <cellStyle name="Accent6 2 11 2" xfId="33913" xr:uid="{94A2B67B-DD26-4075-85C2-450C8BA22CE5}"/>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7 2 2" xfId="33915" xr:uid="{C94581EB-D66F-47A4-ACD2-D1970B8AF69D}"/>
    <cellStyle name="Accent6 2 7 3" xfId="33914" xr:uid="{85D5E0BE-5CE0-4897-A406-37C3B61EDE76}"/>
    <cellStyle name="Accent6 2 8" xfId="7127" xr:uid="{00000000-0005-0000-0000-0000D71B0000}"/>
    <cellStyle name="Accent6 2 8 2" xfId="7128" xr:uid="{00000000-0005-0000-0000-0000D81B0000}"/>
    <cellStyle name="Accent6 2 8 2 2" xfId="7129" xr:uid="{00000000-0005-0000-0000-0000D91B0000}"/>
    <cellStyle name="Accent6 2 8 2 2 2" xfId="33918" xr:uid="{D6BDC418-7C1E-4DBA-8DF5-CBC6FBF49325}"/>
    <cellStyle name="Accent6 2 8 2 3" xfId="33917" xr:uid="{693978B5-F7FF-46E9-B9D4-256AA405E7FA}"/>
    <cellStyle name="Accent6 2 8 3" xfId="7130" xr:uid="{00000000-0005-0000-0000-0000DA1B0000}"/>
    <cellStyle name="Accent6 2 8 3 2" xfId="33919" xr:uid="{F7681725-FB7C-4DC2-B773-6D060AE2B782}"/>
    <cellStyle name="Accent6 2 8 4" xfId="33916" xr:uid="{DB062371-7722-4AC0-B648-A060A013CA5F}"/>
    <cellStyle name="Accent6 2 9" xfId="7131" xr:uid="{00000000-0005-0000-0000-0000DB1B0000}"/>
    <cellStyle name="Accent6 2 9 2" xfId="7132" xr:uid="{00000000-0005-0000-0000-0000DC1B0000}"/>
    <cellStyle name="Accent6 2 9 2 2" xfId="7133" xr:uid="{00000000-0005-0000-0000-0000DD1B0000}"/>
    <cellStyle name="Accent6 2 9 2 2 2" xfId="33921" xr:uid="{3157621C-095C-4F52-8350-9848A938355D}"/>
    <cellStyle name="Accent6 2 9 2 3" xfId="33920" xr:uid="{A8FF6937-9825-4784-8D47-0130B6830F34}"/>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2 2 2" xfId="33923" xr:uid="{BF771B26-E389-4272-A0FA-A90372F5F4BF}"/>
    <cellStyle name="Accent6 3 10 2 3" xfId="33922" xr:uid="{3E30A254-4547-47DB-ADF7-D5E54E2C37D7}"/>
    <cellStyle name="Accent6 3 10 3" xfId="7179" xr:uid="{00000000-0005-0000-0000-00000B1C0000}"/>
    <cellStyle name="Accent6 3 11" xfId="7180" xr:uid="{00000000-0005-0000-0000-00000C1C0000}"/>
    <cellStyle name="Accent6 3 11 2" xfId="7181" xr:uid="{00000000-0005-0000-0000-00000D1C0000}"/>
    <cellStyle name="Accent6 3 11 2 2" xfId="33925" xr:uid="{47D835AB-FDB1-4DB5-823D-F3FB93360106}"/>
    <cellStyle name="Accent6 3 11 3" xfId="33924" xr:uid="{7B7ED8CE-8462-4AE0-9AE3-D5CDF86B8FE5}"/>
    <cellStyle name="Accent6 3 12" xfId="7182" xr:uid="{00000000-0005-0000-0000-00000E1C0000}"/>
    <cellStyle name="Accent6 3 12 2" xfId="33926" xr:uid="{3C26BA67-64DE-49AF-910B-C3F78DF39E2A}"/>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7 2 2" xfId="33928" xr:uid="{8459D706-E55E-49D6-903B-01ED2C99E5F1}"/>
    <cellStyle name="Accent6 3 7 3" xfId="33927" xr:uid="{C96F8D40-B71C-47FC-BA83-3968A4608DF5}"/>
    <cellStyle name="Accent6 3 8" xfId="7215" xr:uid="{00000000-0005-0000-0000-00002F1C0000}"/>
    <cellStyle name="Accent6 3 8 2" xfId="7216" xr:uid="{00000000-0005-0000-0000-0000301C0000}"/>
    <cellStyle name="Accent6 3 8 2 2" xfId="7217" xr:uid="{00000000-0005-0000-0000-0000311C0000}"/>
    <cellStyle name="Accent6 3 8 2 2 2" xfId="33931" xr:uid="{283AD356-ABB2-4DC2-867B-530E9D572835}"/>
    <cellStyle name="Accent6 3 8 2 3" xfId="33930" xr:uid="{2C70A375-0FF9-40CD-B530-F62C07DFD111}"/>
    <cellStyle name="Accent6 3 8 3" xfId="7218" xr:uid="{00000000-0005-0000-0000-0000321C0000}"/>
    <cellStyle name="Accent6 3 8 3 2" xfId="33932" xr:uid="{1E97807E-91DF-4752-A783-6DAC44014752}"/>
    <cellStyle name="Accent6 3 8 4" xfId="33929" xr:uid="{B2DBA7EE-5C04-4F75-AA54-3661A1D89B3E}"/>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2 2 2" xfId="33935" xr:uid="{BAB6548C-467E-4A49-9F56-57C2B6EDBEB9}"/>
    <cellStyle name="Accent6 48 2 3" xfId="33934" xr:uid="{4F430839-9C77-4C49-97A4-0CB8E724502E}"/>
    <cellStyle name="Accent6 48 3" xfId="7330" xr:uid="{00000000-0005-0000-0000-0000A21C0000}"/>
    <cellStyle name="Accent6 48 3 2" xfId="7331" xr:uid="{00000000-0005-0000-0000-0000A31C0000}"/>
    <cellStyle name="Accent6 48 3 2 2" xfId="7332" xr:uid="{00000000-0005-0000-0000-0000A41C0000}"/>
    <cellStyle name="Accent6 48 3 2 2 2" xfId="33938" xr:uid="{E6F31688-CD6B-418C-B484-630691093740}"/>
    <cellStyle name="Accent6 48 3 2 3" xfId="33937" xr:uid="{A6D20BDF-6F56-4411-8240-40F77BCD7945}"/>
    <cellStyle name="Accent6 48 3 3" xfId="7333" xr:uid="{00000000-0005-0000-0000-0000A51C0000}"/>
    <cellStyle name="Accent6 48 3 3 2" xfId="33939" xr:uid="{C3E21221-E3F2-4216-AA71-840545D52302}"/>
    <cellStyle name="Accent6 48 3 4" xfId="33936" xr:uid="{49D49D2C-7FFA-430C-ADAA-208885A63CEC}"/>
    <cellStyle name="Accent6 48 4" xfId="7334" xr:uid="{00000000-0005-0000-0000-0000A61C0000}"/>
    <cellStyle name="Accent6 48 4 2" xfId="33940" xr:uid="{B72F0547-B981-4B2C-925D-C86197F29FB3}"/>
    <cellStyle name="Accent6 48 5" xfId="33933" xr:uid="{3EC395C0-7376-4338-8873-29D429F7178B}"/>
    <cellStyle name="Accent6 49" xfId="7335" xr:uid="{00000000-0005-0000-0000-0000A71C0000}"/>
    <cellStyle name="Accent6 49 2" xfId="7336" xr:uid="{00000000-0005-0000-0000-0000A81C0000}"/>
    <cellStyle name="Accent6 49 2 2" xfId="7337" xr:uid="{00000000-0005-0000-0000-0000A91C0000}"/>
    <cellStyle name="Accent6 49 2 2 2" xfId="33943" xr:uid="{A1A1806A-FCD1-4113-8FC0-2CDEBA4E1194}"/>
    <cellStyle name="Accent6 49 2 3" xfId="33942" xr:uid="{01A88E84-E88C-43E0-87AB-7DA78FDFFAF2}"/>
    <cellStyle name="Accent6 49 3" xfId="7338" xr:uid="{00000000-0005-0000-0000-0000AA1C0000}"/>
    <cellStyle name="Accent6 49 3 2" xfId="7339" xr:uid="{00000000-0005-0000-0000-0000AB1C0000}"/>
    <cellStyle name="Accent6 49 3 2 2" xfId="7340" xr:uid="{00000000-0005-0000-0000-0000AC1C0000}"/>
    <cellStyle name="Accent6 49 3 2 2 2" xfId="33946" xr:uid="{C5362F32-5612-495E-BB8E-7F4293C6F49C}"/>
    <cellStyle name="Accent6 49 3 2 3" xfId="33945" xr:uid="{1F3A9F9D-221D-4A3C-B68B-2B5648C4E342}"/>
    <cellStyle name="Accent6 49 3 3" xfId="7341" xr:uid="{00000000-0005-0000-0000-0000AD1C0000}"/>
    <cellStyle name="Accent6 49 3 3 2" xfId="33947" xr:uid="{603F62AB-15FC-4895-9B4D-802E25C6406E}"/>
    <cellStyle name="Accent6 49 3 4" xfId="33944" xr:uid="{D9742BFB-5EA2-4382-AABB-80299C12F70B}"/>
    <cellStyle name="Accent6 49 4" xfId="7342" xr:uid="{00000000-0005-0000-0000-0000AE1C0000}"/>
    <cellStyle name="Accent6 49 4 2" xfId="33948" xr:uid="{DA978936-BAEF-4EFA-AB2D-9DCCD95DFEBC}"/>
    <cellStyle name="Accent6 49 5" xfId="33941" xr:uid="{0A9A40C5-0B99-4DCE-9029-5AD78F8C7B18}"/>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2 2 2" xfId="33951" xr:uid="{3DB15863-2D4E-4373-91DF-29F3CD2DF69B}"/>
    <cellStyle name="Accent6 5 3 2 3" xfId="33950" xr:uid="{AD4A8D37-FB7D-4707-9E42-7230733E418F}"/>
    <cellStyle name="Accent6 5 3 3" xfId="7355" xr:uid="{00000000-0005-0000-0000-0000BB1C0000}"/>
    <cellStyle name="Accent6 5 3 3 2" xfId="7356" xr:uid="{00000000-0005-0000-0000-0000BC1C0000}"/>
    <cellStyle name="Accent6 5 3 3 2 2" xfId="7357" xr:uid="{00000000-0005-0000-0000-0000BD1C0000}"/>
    <cellStyle name="Accent6 5 3 3 2 2 2" xfId="33954" xr:uid="{867A4E43-1102-4E6E-B134-71EC86EC1C28}"/>
    <cellStyle name="Accent6 5 3 3 2 3" xfId="33953" xr:uid="{0E12E339-ED45-450A-AAC6-5022EFA2C5C5}"/>
    <cellStyle name="Accent6 5 3 3 3" xfId="7358" xr:uid="{00000000-0005-0000-0000-0000BE1C0000}"/>
    <cellStyle name="Accent6 5 3 3 3 2" xfId="33955" xr:uid="{66B53542-800C-4C59-A5FF-C2D51E419BC2}"/>
    <cellStyle name="Accent6 5 3 3 4" xfId="33952" xr:uid="{D386A689-9B50-4924-9395-63B0FE4159C7}"/>
    <cellStyle name="Accent6 5 3 4" xfId="7359" xr:uid="{00000000-0005-0000-0000-0000BF1C0000}"/>
    <cellStyle name="Accent6 5 3 4 2" xfId="33956" xr:uid="{D726F3BE-996B-4CAC-97F8-639F65BC85BC}"/>
    <cellStyle name="Accent6 5 3 5" xfId="33949" xr:uid="{E34D8E44-E8B1-4A22-B61C-B7B1C3557A28}"/>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2 2 2" xfId="33959" xr:uid="{0AD3B265-21C4-495C-9683-2B304C4FBD3E}"/>
    <cellStyle name="Accent6 50 2 3" xfId="33958" xr:uid="{B160BD5A-E32E-4BFB-B0AC-95B313794FA3}"/>
    <cellStyle name="Accent6 50 3" xfId="7372" xr:uid="{00000000-0005-0000-0000-0000CC1C0000}"/>
    <cellStyle name="Accent6 50 3 2" xfId="7373" xr:uid="{00000000-0005-0000-0000-0000CD1C0000}"/>
    <cellStyle name="Accent6 50 3 2 2" xfId="7374" xr:uid="{00000000-0005-0000-0000-0000CE1C0000}"/>
    <cellStyle name="Accent6 50 3 2 2 2" xfId="33962" xr:uid="{C0186D3C-DA6A-49AD-954D-EE4220D93390}"/>
    <cellStyle name="Accent6 50 3 2 3" xfId="33961" xr:uid="{DA4200BC-B6BE-4507-AA94-BC09B9DC5997}"/>
    <cellStyle name="Accent6 50 3 3" xfId="7375" xr:uid="{00000000-0005-0000-0000-0000CF1C0000}"/>
    <cellStyle name="Accent6 50 3 3 2" xfId="33963" xr:uid="{BD8B3BD9-1279-4DEC-9DB0-6759C96D28BC}"/>
    <cellStyle name="Accent6 50 3 4" xfId="33960" xr:uid="{004CBE32-2FE2-4A89-B150-624069C563EF}"/>
    <cellStyle name="Accent6 50 4" xfId="7376" xr:uid="{00000000-0005-0000-0000-0000D01C0000}"/>
    <cellStyle name="Accent6 50 4 2" xfId="33964" xr:uid="{E1AC2C39-70B9-4955-A9D7-813F98FCC987}"/>
    <cellStyle name="Accent6 50 5" xfId="33957" xr:uid="{9925D38C-DF83-44F2-A9F2-FB2F76C1E452}"/>
    <cellStyle name="Accent6 51" xfId="7377" xr:uid="{00000000-0005-0000-0000-0000D11C0000}"/>
    <cellStyle name="Accent6 51 2" xfId="7378" xr:uid="{00000000-0005-0000-0000-0000D21C0000}"/>
    <cellStyle name="Accent6 51 2 2" xfId="7379" xr:uid="{00000000-0005-0000-0000-0000D31C0000}"/>
    <cellStyle name="Accent6 51 2 2 2" xfId="33967" xr:uid="{F35F85BD-ADB1-422A-8B98-35420596274A}"/>
    <cellStyle name="Accent6 51 2 3" xfId="33966" xr:uid="{69DEC125-E049-4587-87AF-80F837D846A2}"/>
    <cellStyle name="Accent6 51 3" xfId="7380" xr:uid="{00000000-0005-0000-0000-0000D41C0000}"/>
    <cellStyle name="Accent6 51 3 2" xfId="7381" xr:uid="{00000000-0005-0000-0000-0000D51C0000}"/>
    <cellStyle name="Accent6 51 3 2 2" xfId="7382" xr:uid="{00000000-0005-0000-0000-0000D61C0000}"/>
    <cellStyle name="Accent6 51 3 2 2 2" xfId="33970" xr:uid="{FB257BEA-12A8-44EA-BBFB-4DCEAA7AA399}"/>
    <cellStyle name="Accent6 51 3 2 3" xfId="33969" xr:uid="{0B64DC7B-B219-4253-BBB5-162D814EE35D}"/>
    <cellStyle name="Accent6 51 3 3" xfId="7383" xr:uid="{00000000-0005-0000-0000-0000D71C0000}"/>
    <cellStyle name="Accent6 51 3 3 2" xfId="33971" xr:uid="{5DA79472-DB55-431B-A8C4-EFE60706C995}"/>
    <cellStyle name="Accent6 51 3 4" xfId="33968" xr:uid="{45862CD5-8F4D-4C8E-B8A8-8A17CA896323}"/>
    <cellStyle name="Accent6 51 4" xfId="7384" xr:uid="{00000000-0005-0000-0000-0000D81C0000}"/>
    <cellStyle name="Accent6 51 4 2" xfId="33972" xr:uid="{756AA65C-E349-43AC-8858-3EF06D1A0905}"/>
    <cellStyle name="Accent6 51 5" xfId="33965" xr:uid="{FADB71B3-EF5E-4684-A0B3-650763301512}"/>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2 2 2" xfId="33975" xr:uid="{49934518-8F14-47EB-8F9A-45D7D40E1249}"/>
    <cellStyle name="Accent6 58 2 3" xfId="33974" xr:uid="{6CD91B35-DF40-47E8-9703-2714C2DE3783}"/>
    <cellStyle name="Accent6 58 3" xfId="7412" xr:uid="{00000000-0005-0000-0000-0000F41C0000}"/>
    <cellStyle name="Accent6 58 3 2" xfId="7413" xr:uid="{00000000-0005-0000-0000-0000F51C0000}"/>
    <cellStyle name="Accent6 58 3 2 2" xfId="7414" xr:uid="{00000000-0005-0000-0000-0000F61C0000}"/>
    <cellStyle name="Accent6 58 3 2 2 2" xfId="33978" xr:uid="{2E50DF84-95AB-401D-AE72-EA6EC00C0CD2}"/>
    <cellStyle name="Accent6 58 3 2 3" xfId="33977" xr:uid="{A37AB9E0-EF0D-4EA0-8F80-175670CE5CDE}"/>
    <cellStyle name="Accent6 58 3 3" xfId="7415" xr:uid="{00000000-0005-0000-0000-0000F71C0000}"/>
    <cellStyle name="Accent6 58 3 3 2" xfId="33979" xr:uid="{E217F7D3-5E9F-4EC9-B2F4-1D3A6A73B9CB}"/>
    <cellStyle name="Accent6 58 3 4" xfId="33976" xr:uid="{EB12F415-D32D-492F-A63F-F99D2460C4CB}"/>
    <cellStyle name="Accent6 58 4" xfId="7416" xr:uid="{00000000-0005-0000-0000-0000F81C0000}"/>
    <cellStyle name="Accent6 58 4 2" xfId="33980" xr:uid="{15857A0C-9764-4E66-AD97-2E8FF914C2CE}"/>
    <cellStyle name="Accent6 58 5" xfId="33973" xr:uid="{E2B9D071-2764-4C71-9A46-68927858F0B5}"/>
    <cellStyle name="Accent6 59" xfId="7417" xr:uid="{00000000-0005-0000-0000-0000F91C0000}"/>
    <cellStyle name="Accent6 59 2" xfId="7418" xr:uid="{00000000-0005-0000-0000-0000FA1C0000}"/>
    <cellStyle name="Accent6 59 2 2" xfId="7419" xr:uid="{00000000-0005-0000-0000-0000FB1C0000}"/>
    <cellStyle name="Accent6 59 2 2 2" xfId="33983" xr:uid="{22074772-BAEB-467E-B04E-2DB37BBFC1C9}"/>
    <cellStyle name="Accent6 59 2 3" xfId="33982" xr:uid="{C0CF0FA9-9B8B-45F2-8D9C-4EAB455B537A}"/>
    <cellStyle name="Accent6 59 3" xfId="7420" xr:uid="{00000000-0005-0000-0000-0000FC1C0000}"/>
    <cellStyle name="Accent6 59 3 2" xfId="7421" xr:uid="{00000000-0005-0000-0000-0000FD1C0000}"/>
    <cellStyle name="Accent6 59 3 2 2" xfId="7422" xr:uid="{00000000-0005-0000-0000-0000FE1C0000}"/>
    <cellStyle name="Accent6 59 3 2 2 2" xfId="33986" xr:uid="{FDDA1731-44BA-41F7-B913-AECEA5E67E2C}"/>
    <cellStyle name="Accent6 59 3 2 3" xfId="33985" xr:uid="{9056A024-727B-4C5D-855F-DCE221298DBE}"/>
    <cellStyle name="Accent6 59 3 3" xfId="7423" xr:uid="{00000000-0005-0000-0000-0000FF1C0000}"/>
    <cellStyle name="Accent6 59 3 3 2" xfId="33987" xr:uid="{B38643AA-6B6E-4DA7-A7C9-BCA9D7C9CE69}"/>
    <cellStyle name="Accent6 59 3 4" xfId="33984" xr:uid="{D5637E4C-94FA-4C90-91D1-AC669E2E64CB}"/>
    <cellStyle name="Accent6 59 4" xfId="7424" xr:uid="{00000000-0005-0000-0000-0000001D0000}"/>
    <cellStyle name="Accent6 59 4 2" xfId="33988" xr:uid="{ED25E398-5756-45AF-9FFB-123971F2EA28}"/>
    <cellStyle name="Accent6 59 5" xfId="33981" xr:uid="{6BB0F6E5-36F0-4CF1-B6CA-842737E71FD5}"/>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2 2 2" xfId="33991" xr:uid="{924A14CD-E603-429C-B6BA-85A5480D1019}"/>
    <cellStyle name="Accent6 60 2 3" xfId="33990" xr:uid="{B42D25D1-CB25-486F-92BF-132762DBFA8A}"/>
    <cellStyle name="Accent6 60 3" xfId="7444" xr:uid="{00000000-0005-0000-0000-0000141D0000}"/>
    <cellStyle name="Accent6 60 3 2" xfId="7445" xr:uid="{00000000-0005-0000-0000-0000151D0000}"/>
    <cellStyle name="Accent6 60 3 2 2" xfId="7446" xr:uid="{00000000-0005-0000-0000-0000161D0000}"/>
    <cellStyle name="Accent6 60 3 2 2 2" xfId="33994" xr:uid="{73AD5A01-A9D9-4F1E-8E3D-D64BA85A8BDB}"/>
    <cellStyle name="Accent6 60 3 2 3" xfId="33993" xr:uid="{0270E261-743A-4B5F-AC5A-5B211A7376EF}"/>
    <cellStyle name="Accent6 60 3 3" xfId="7447" xr:uid="{00000000-0005-0000-0000-0000171D0000}"/>
    <cellStyle name="Accent6 60 3 3 2" xfId="33995" xr:uid="{C48F5EC9-EFA4-4911-872F-0A698A7C0865}"/>
    <cellStyle name="Accent6 60 3 4" xfId="33992" xr:uid="{1CC65C94-247C-4567-B2FC-2C245E6CFEA6}"/>
    <cellStyle name="Accent6 60 4" xfId="7448" xr:uid="{00000000-0005-0000-0000-0000181D0000}"/>
    <cellStyle name="Accent6 60 4 2" xfId="33996" xr:uid="{99CF9756-B336-4908-BC54-E6BD16696563}"/>
    <cellStyle name="Accent6 60 5" xfId="33989" xr:uid="{3A796DC2-85C9-4198-80EB-60C13399D4C5}"/>
    <cellStyle name="Accent6 61" xfId="7449" xr:uid="{00000000-0005-0000-0000-0000191D0000}"/>
    <cellStyle name="Accent6 61 2" xfId="7450" xr:uid="{00000000-0005-0000-0000-00001A1D0000}"/>
    <cellStyle name="Accent6 61 2 2" xfId="7451" xr:uid="{00000000-0005-0000-0000-00001B1D0000}"/>
    <cellStyle name="Accent6 61 2 2 2" xfId="33999" xr:uid="{A0C0A4D5-C6BB-4947-90F8-23136873895F}"/>
    <cellStyle name="Accent6 61 2 3" xfId="33998" xr:uid="{0161FFC3-95FC-476D-98F2-D66AF97317A4}"/>
    <cellStyle name="Accent6 61 3" xfId="7452" xr:uid="{00000000-0005-0000-0000-00001C1D0000}"/>
    <cellStyle name="Accent6 61 3 2" xfId="7453" xr:uid="{00000000-0005-0000-0000-00001D1D0000}"/>
    <cellStyle name="Accent6 61 3 2 2" xfId="7454" xr:uid="{00000000-0005-0000-0000-00001E1D0000}"/>
    <cellStyle name="Accent6 61 3 2 2 2" xfId="34002" xr:uid="{48811C3A-A3E1-4039-88DD-5E9F102C5894}"/>
    <cellStyle name="Accent6 61 3 2 3" xfId="34001" xr:uid="{0B93D56D-52F0-4A7C-94F5-8BE12AEC37C4}"/>
    <cellStyle name="Accent6 61 3 3" xfId="7455" xr:uid="{00000000-0005-0000-0000-00001F1D0000}"/>
    <cellStyle name="Accent6 61 3 3 2" xfId="34003" xr:uid="{9CE237B8-B908-4A22-85E1-A6B915832B37}"/>
    <cellStyle name="Accent6 61 3 4" xfId="34000" xr:uid="{58A5774B-8723-45F6-992C-C245E82DFC72}"/>
    <cellStyle name="Accent6 61 4" xfId="7456" xr:uid="{00000000-0005-0000-0000-0000201D0000}"/>
    <cellStyle name="Accent6 61 4 2" xfId="34004" xr:uid="{800F50D3-05DD-4A18-AE31-E1D6685AEA46}"/>
    <cellStyle name="Accent6 61 5" xfId="33997" xr:uid="{BE61CD6A-F16E-4AB9-B92A-BEF37E6DE5E5}"/>
    <cellStyle name="Accent6 62" xfId="7457" xr:uid="{00000000-0005-0000-0000-0000211D0000}"/>
    <cellStyle name="Accent6 62 2" xfId="7458" xr:uid="{00000000-0005-0000-0000-0000221D0000}"/>
    <cellStyle name="Accent6 62 2 2" xfId="7459" xr:uid="{00000000-0005-0000-0000-0000231D0000}"/>
    <cellStyle name="Accent6 62 2 2 2" xfId="34007" xr:uid="{99B05819-F7BC-40AF-B755-E006A0E2727C}"/>
    <cellStyle name="Accent6 62 2 3" xfId="34006" xr:uid="{F7C093D3-DC0C-4E12-BC5C-B8341D56E0AB}"/>
    <cellStyle name="Accent6 62 3" xfId="7460" xr:uid="{00000000-0005-0000-0000-0000241D0000}"/>
    <cellStyle name="Accent6 62 3 2" xfId="7461" xr:uid="{00000000-0005-0000-0000-0000251D0000}"/>
    <cellStyle name="Accent6 62 3 2 2" xfId="7462" xr:uid="{00000000-0005-0000-0000-0000261D0000}"/>
    <cellStyle name="Accent6 62 3 2 2 2" xfId="34010" xr:uid="{7FAF792A-8550-4BFE-9BDD-64F3E27ADF84}"/>
    <cellStyle name="Accent6 62 3 2 3" xfId="34009" xr:uid="{182504FE-685D-4399-BFAA-5657829B675B}"/>
    <cellStyle name="Accent6 62 3 3" xfId="7463" xr:uid="{00000000-0005-0000-0000-0000271D0000}"/>
    <cellStyle name="Accent6 62 3 3 2" xfId="34011" xr:uid="{E9C58AEF-AE58-45E9-AB32-323244D36CF9}"/>
    <cellStyle name="Accent6 62 3 4" xfId="34008" xr:uid="{4BBBC522-0B03-44F8-B6F0-8B394039C568}"/>
    <cellStyle name="Accent6 62 4" xfId="7464" xr:uid="{00000000-0005-0000-0000-0000281D0000}"/>
    <cellStyle name="Accent6 62 4 2" xfId="34012" xr:uid="{895D58A3-4A87-4D3E-849F-33E814D89D30}"/>
    <cellStyle name="Accent6 62 5" xfId="34005" xr:uid="{DD014665-0680-421A-A47C-DFF5A8B4AEE6}"/>
    <cellStyle name="Accent6 63" xfId="7465" xr:uid="{00000000-0005-0000-0000-0000291D0000}"/>
    <cellStyle name="Accent6 63 2" xfId="7466" xr:uid="{00000000-0005-0000-0000-00002A1D0000}"/>
    <cellStyle name="Accent6 63 2 2" xfId="7467" xr:uid="{00000000-0005-0000-0000-00002B1D0000}"/>
    <cellStyle name="Accent6 63 2 2 2" xfId="34015" xr:uid="{B5B86EBD-AE24-4523-94C6-D9AE32A5418C}"/>
    <cellStyle name="Accent6 63 2 3" xfId="34014" xr:uid="{1B1E54BB-76D4-4F95-8C25-B63332370888}"/>
    <cellStyle name="Accent6 63 3" xfId="7468" xr:uid="{00000000-0005-0000-0000-00002C1D0000}"/>
    <cellStyle name="Accent6 63 3 2" xfId="7469" xr:uid="{00000000-0005-0000-0000-00002D1D0000}"/>
    <cellStyle name="Accent6 63 3 2 2" xfId="7470" xr:uid="{00000000-0005-0000-0000-00002E1D0000}"/>
    <cellStyle name="Accent6 63 3 2 2 2" xfId="34018" xr:uid="{C7120308-E12B-4E7E-8A94-F1C292C80CE2}"/>
    <cellStyle name="Accent6 63 3 2 3" xfId="34017" xr:uid="{DF9A8D48-9A1B-43DE-982E-511867A5B1B5}"/>
    <cellStyle name="Accent6 63 3 3" xfId="7471" xr:uid="{00000000-0005-0000-0000-00002F1D0000}"/>
    <cellStyle name="Accent6 63 3 3 2" xfId="34019" xr:uid="{53ED6B19-9258-4DE8-8DC8-3A6504F81D59}"/>
    <cellStyle name="Accent6 63 3 4" xfId="34016" xr:uid="{356B2560-6F32-4EAF-869A-000C1A2D261E}"/>
    <cellStyle name="Accent6 63 4" xfId="7472" xr:uid="{00000000-0005-0000-0000-0000301D0000}"/>
    <cellStyle name="Accent6 63 4 2" xfId="34020" xr:uid="{BDAF0077-50ED-4816-BC0E-9E5026123B1B}"/>
    <cellStyle name="Accent6 63 5" xfId="34013" xr:uid="{BCDF8C88-3DDC-45CA-9A8F-88A05CB83E9D}"/>
    <cellStyle name="Accent6 64" xfId="7473" xr:uid="{00000000-0005-0000-0000-0000311D0000}"/>
    <cellStyle name="Accent6 64 2" xfId="7474" xr:uid="{00000000-0005-0000-0000-0000321D0000}"/>
    <cellStyle name="Accent6 64 2 2" xfId="7475" xr:uid="{00000000-0005-0000-0000-0000331D0000}"/>
    <cellStyle name="Accent6 64 2 2 2" xfId="34023" xr:uid="{A638BC4B-B5B6-4E0A-A715-7C7FA1D6B809}"/>
    <cellStyle name="Accent6 64 2 3" xfId="34022" xr:uid="{E8E4F56E-F688-4ABF-ABF2-7AAD2DB11F10}"/>
    <cellStyle name="Accent6 64 3" xfId="7476" xr:uid="{00000000-0005-0000-0000-0000341D0000}"/>
    <cellStyle name="Accent6 64 3 2" xfId="7477" xr:uid="{00000000-0005-0000-0000-0000351D0000}"/>
    <cellStyle name="Accent6 64 3 2 2" xfId="7478" xr:uid="{00000000-0005-0000-0000-0000361D0000}"/>
    <cellStyle name="Accent6 64 3 2 2 2" xfId="34026" xr:uid="{24084F20-FE95-4B73-BAAA-E91D4462A4C8}"/>
    <cellStyle name="Accent6 64 3 2 3" xfId="34025" xr:uid="{DAA0B974-80AF-49A3-B3FA-0204FDA1C146}"/>
    <cellStyle name="Accent6 64 3 3" xfId="7479" xr:uid="{00000000-0005-0000-0000-0000371D0000}"/>
    <cellStyle name="Accent6 64 3 3 2" xfId="34027" xr:uid="{61C311DC-1238-424A-8A12-1888AC99748F}"/>
    <cellStyle name="Accent6 64 3 4" xfId="34024" xr:uid="{6973FCD7-FC64-4FD1-AE5A-2A677199CB46}"/>
    <cellStyle name="Accent6 64 4" xfId="7480" xr:uid="{00000000-0005-0000-0000-0000381D0000}"/>
    <cellStyle name="Accent6 64 4 2" xfId="34028" xr:uid="{3250CD0D-1904-4A07-866D-37FAE2DC69BE}"/>
    <cellStyle name="Accent6 64 5" xfId="34021" xr:uid="{C91B178C-B9B3-49BE-AF88-A61C510FA592}"/>
    <cellStyle name="Accent6 65" xfId="7481" xr:uid="{00000000-0005-0000-0000-0000391D0000}"/>
    <cellStyle name="Accent6 65 2" xfId="7482" xr:uid="{00000000-0005-0000-0000-00003A1D0000}"/>
    <cellStyle name="Accent6 65 2 2" xfId="7483" xr:uid="{00000000-0005-0000-0000-00003B1D0000}"/>
    <cellStyle name="Accent6 65 2 2 2" xfId="34031" xr:uid="{9D32CD1A-F543-46F0-904D-51B2A4568809}"/>
    <cellStyle name="Accent6 65 2 3" xfId="34030" xr:uid="{71326396-F178-4F73-B60D-42964324E4FE}"/>
    <cellStyle name="Accent6 65 3" xfId="7484" xr:uid="{00000000-0005-0000-0000-00003C1D0000}"/>
    <cellStyle name="Accent6 65 3 2" xfId="7485" xr:uid="{00000000-0005-0000-0000-00003D1D0000}"/>
    <cellStyle name="Accent6 65 3 2 2" xfId="7486" xr:uid="{00000000-0005-0000-0000-00003E1D0000}"/>
    <cellStyle name="Accent6 65 3 2 2 2" xfId="34034" xr:uid="{D4055B9F-2791-4673-B58B-C50D95499E9E}"/>
    <cellStyle name="Accent6 65 3 2 3" xfId="34033" xr:uid="{02C1CFF1-6B7B-47E8-8554-394B24B59B26}"/>
    <cellStyle name="Accent6 65 3 3" xfId="7487" xr:uid="{00000000-0005-0000-0000-00003F1D0000}"/>
    <cellStyle name="Accent6 65 3 3 2" xfId="34035" xr:uid="{928BD28C-2D0D-49D4-B586-1F14479C038D}"/>
    <cellStyle name="Accent6 65 3 4" xfId="34032" xr:uid="{4CE44DDD-82A8-45C5-A5E2-B5BFDC6A93CD}"/>
    <cellStyle name="Accent6 65 4" xfId="7488" xr:uid="{00000000-0005-0000-0000-0000401D0000}"/>
    <cellStyle name="Accent6 65 4 2" xfId="34036" xr:uid="{F8D81214-9AE3-4FBE-B0B0-3F6121DB45CD}"/>
    <cellStyle name="Accent6 65 5" xfId="34029" xr:uid="{4727C534-FD6C-406D-AAE4-BF19BF6B7AD6}"/>
    <cellStyle name="Accent6 66" xfId="7489" xr:uid="{00000000-0005-0000-0000-0000411D0000}"/>
    <cellStyle name="Accent6 66 2" xfId="7490" xr:uid="{00000000-0005-0000-0000-0000421D0000}"/>
    <cellStyle name="Accent6 66 2 2" xfId="7491" xr:uid="{00000000-0005-0000-0000-0000431D0000}"/>
    <cellStyle name="Accent6 66 2 2 2" xfId="34039" xr:uid="{660EB9C9-9975-4EB8-AAEF-CB6A7B7B3ACB}"/>
    <cellStyle name="Accent6 66 2 3" xfId="34038" xr:uid="{531D5110-9240-4E6A-B80B-DBE85E15CF3C}"/>
    <cellStyle name="Accent6 66 3" xfId="7492" xr:uid="{00000000-0005-0000-0000-0000441D0000}"/>
    <cellStyle name="Accent6 66 3 2" xfId="7493" xr:uid="{00000000-0005-0000-0000-0000451D0000}"/>
    <cellStyle name="Accent6 66 3 2 2" xfId="7494" xr:uid="{00000000-0005-0000-0000-0000461D0000}"/>
    <cellStyle name="Accent6 66 3 2 2 2" xfId="34042" xr:uid="{501EF00C-29D9-45E9-966C-63461CF0ED33}"/>
    <cellStyle name="Accent6 66 3 2 3" xfId="34041" xr:uid="{22F03F1B-41E3-459B-B0C5-0A9FBD186DF8}"/>
    <cellStyle name="Accent6 66 3 3" xfId="7495" xr:uid="{00000000-0005-0000-0000-0000471D0000}"/>
    <cellStyle name="Accent6 66 3 3 2" xfId="34043" xr:uid="{CFB88FF8-BB6C-442D-B8B8-3A0E2E0A9657}"/>
    <cellStyle name="Accent6 66 3 4" xfId="34040" xr:uid="{50B4E3FA-042D-4600-BE7E-AA4095D1CC8B}"/>
    <cellStyle name="Accent6 66 4" xfId="7496" xr:uid="{00000000-0005-0000-0000-0000481D0000}"/>
    <cellStyle name="Accent6 66 4 2" xfId="34044" xr:uid="{25822B3D-DBD1-4365-81F4-564259DE038E}"/>
    <cellStyle name="Accent6 66 5" xfId="34037" xr:uid="{63E7A6F8-8808-4734-9A8B-BFF061F1C94D}"/>
    <cellStyle name="Accent6 67" xfId="7497" xr:uid="{00000000-0005-0000-0000-0000491D0000}"/>
    <cellStyle name="Accent6 67 2" xfId="7498" xr:uid="{00000000-0005-0000-0000-00004A1D0000}"/>
    <cellStyle name="Accent6 67 2 2" xfId="7499" xr:uid="{00000000-0005-0000-0000-00004B1D0000}"/>
    <cellStyle name="Accent6 67 2 2 2" xfId="34047" xr:uid="{1B3E5266-713E-4909-B060-131C12026C3A}"/>
    <cellStyle name="Accent6 67 2 3" xfId="34046" xr:uid="{1C8AF4A4-87C3-4E40-B797-87B62EBC878C}"/>
    <cellStyle name="Accent6 67 3" xfId="7500" xr:uid="{00000000-0005-0000-0000-00004C1D0000}"/>
    <cellStyle name="Accent6 67 3 2" xfId="7501" xr:uid="{00000000-0005-0000-0000-00004D1D0000}"/>
    <cellStyle name="Accent6 67 3 2 2" xfId="7502" xr:uid="{00000000-0005-0000-0000-00004E1D0000}"/>
    <cellStyle name="Accent6 67 3 2 2 2" xfId="34050" xr:uid="{43CFE23A-2E51-4425-A3AC-39660C3EA477}"/>
    <cellStyle name="Accent6 67 3 2 3" xfId="34049" xr:uid="{EBFEFE61-5775-48D6-9837-F23E7F72BD39}"/>
    <cellStyle name="Accent6 67 3 3" xfId="7503" xr:uid="{00000000-0005-0000-0000-00004F1D0000}"/>
    <cellStyle name="Accent6 67 3 3 2" xfId="34051" xr:uid="{1983C33B-5FED-4433-A34E-30489D693AC8}"/>
    <cellStyle name="Accent6 67 3 4" xfId="34048" xr:uid="{0373AA98-1CD0-4A61-929E-238C5D5E1B68}"/>
    <cellStyle name="Accent6 67 4" xfId="7504" xr:uid="{00000000-0005-0000-0000-0000501D0000}"/>
    <cellStyle name="Accent6 67 4 2" xfId="34052" xr:uid="{CEF2606A-5BD9-4714-A7DC-727A5B3E4BE1}"/>
    <cellStyle name="Accent6 67 5" xfId="34045" xr:uid="{7630616D-5C60-4EFD-8945-FD6B5A6B9F23}"/>
    <cellStyle name="Accent6 68" xfId="7505" xr:uid="{00000000-0005-0000-0000-0000511D0000}"/>
    <cellStyle name="Accent6 68 2" xfId="7506" xr:uid="{00000000-0005-0000-0000-0000521D0000}"/>
    <cellStyle name="Accent6 68 2 2" xfId="7507" xr:uid="{00000000-0005-0000-0000-0000531D0000}"/>
    <cellStyle name="Accent6 68 2 2 2" xfId="34055" xr:uid="{8C0EE6BD-E9BD-4204-A684-86E7E9AE8794}"/>
    <cellStyle name="Accent6 68 2 3" xfId="34054" xr:uid="{1588BAB0-B57A-4D3D-B9D5-C31C4997EA4A}"/>
    <cellStyle name="Accent6 68 3" xfId="7508" xr:uid="{00000000-0005-0000-0000-0000541D0000}"/>
    <cellStyle name="Accent6 68 3 2" xfId="7509" xr:uid="{00000000-0005-0000-0000-0000551D0000}"/>
    <cellStyle name="Accent6 68 3 2 2" xfId="7510" xr:uid="{00000000-0005-0000-0000-0000561D0000}"/>
    <cellStyle name="Accent6 68 3 2 2 2" xfId="34058" xr:uid="{98BBB211-2D44-49AB-9927-D804B44937C6}"/>
    <cellStyle name="Accent6 68 3 2 3" xfId="34057" xr:uid="{1A87B3BE-45A4-4F34-B6E1-AC2ABEC725E2}"/>
    <cellStyle name="Accent6 68 3 3" xfId="7511" xr:uid="{00000000-0005-0000-0000-0000571D0000}"/>
    <cellStyle name="Accent6 68 3 3 2" xfId="34059" xr:uid="{EE5570AC-AB26-4B93-850B-F6793940C06C}"/>
    <cellStyle name="Accent6 68 3 4" xfId="34056" xr:uid="{49A098CA-BC73-429A-AFA2-1C349B495235}"/>
    <cellStyle name="Accent6 68 4" xfId="7512" xr:uid="{00000000-0005-0000-0000-0000581D0000}"/>
    <cellStyle name="Accent6 68 4 2" xfId="34060" xr:uid="{B74F1B85-8F7C-4180-88C8-7FDB9DDD7EE2}"/>
    <cellStyle name="Accent6 68 5" xfId="34053" xr:uid="{7ED1AB21-ED54-4852-AAAA-765EAA5E9F8A}"/>
    <cellStyle name="Accent6 69" xfId="7513" xr:uid="{00000000-0005-0000-0000-0000591D0000}"/>
    <cellStyle name="Accent6 69 2" xfId="7514" xr:uid="{00000000-0005-0000-0000-00005A1D0000}"/>
    <cellStyle name="Accent6 69 2 2" xfId="7515" xr:uid="{00000000-0005-0000-0000-00005B1D0000}"/>
    <cellStyle name="Accent6 69 2 2 2" xfId="34063" xr:uid="{59AB2012-B11C-4E69-9281-0BDF438FE317}"/>
    <cellStyle name="Accent6 69 2 3" xfId="34062" xr:uid="{6AF9CEAD-D9C1-4594-89A3-B5C8AEAB08D6}"/>
    <cellStyle name="Accent6 69 3" xfId="7516" xr:uid="{00000000-0005-0000-0000-00005C1D0000}"/>
    <cellStyle name="Accent6 69 3 2" xfId="7517" xr:uid="{00000000-0005-0000-0000-00005D1D0000}"/>
    <cellStyle name="Accent6 69 3 2 2" xfId="7518" xr:uid="{00000000-0005-0000-0000-00005E1D0000}"/>
    <cellStyle name="Accent6 69 3 2 2 2" xfId="34066" xr:uid="{20A69C5F-A89A-4BB4-8960-667BCB2EAD84}"/>
    <cellStyle name="Accent6 69 3 2 3" xfId="34065" xr:uid="{829B44DF-3487-420E-AD52-3B447CAD59F2}"/>
    <cellStyle name="Accent6 69 3 3" xfId="7519" xr:uid="{00000000-0005-0000-0000-00005F1D0000}"/>
    <cellStyle name="Accent6 69 3 3 2" xfId="34067" xr:uid="{00463564-C5A3-4BDF-97EB-AF8E3403E753}"/>
    <cellStyle name="Accent6 69 3 4" xfId="34064" xr:uid="{FBAA717D-FB55-44B9-8557-74FDD8ACB8DC}"/>
    <cellStyle name="Accent6 69 4" xfId="7520" xr:uid="{00000000-0005-0000-0000-0000601D0000}"/>
    <cellStyle name="Accent6 69 4 2" xfId="34068" xr:uid="{ABACD1B8-5F41-4E90-B7FB-5F34277BA9BF}"/>
    <cellStyle name="Accent6 69 5" xfId="34061" xr:uid="{6322570B-318E-4CA6-A552-FC3951DE6D91}"/>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2 2 2" xfId="34071" xr:uid="{2F48B85F-BF0C-4497-B9D8-C3189A680401}"/>
    <cellStyle name="Accent6 70 2 3" xfId="34070" xr:uid="{04E89168-CD4A-4668-B2AC-A9DF0271163E}"/>
    <cellStyle name="Accent6 70 3" xfId="7540" xr:uid="{00000000-0005-0000-0000-0000741D0000}"/>
    <cellStyle name="Accent6 70 3 2" xfId="7541" xr:uid="{00000000-0005-0000-0000-0000751D0000}"/>
    <cellStyle name="Accent6 70 3 2 2" xfId="7542" xr:uid="{00000000-0005-0000-0000-0000761D0000}"/>
    <cellStyle name="Accent6 70 3 2 2 2" xfId="34074" xr:uid="{0ADD2731-A220-46F2-BE7E-3BD75343A906}"/>
    <cellStyle name="Accent6 70 3 2 3" xfId="34073" xr:uid="{4E65684C-A356-4FBB-AFB2-166A5B926176}"/>
    <cellStyle name="Accent6 70 3 3" xfId="7543" xr:uid="{00000000-0005-0000-0000-0000771D0000}"/>
    <cellStyle name="Accent6 70 3 3 2" xfId="34075" xr:uid="{9AB3112B-7E7C-432A-963A-C3F469900E1A}"/>
    <cellStyle name="Accent6 70 3 4" xfId="34072" xr:uid="{2CAD8005-55BA-4FF7-A04E-B0D37C43D0EE}"/>
    <cellStyle name="Accent6 70 4" xfId="7544" xr:uid="{00000000-0005-0000-0000-0000781D0000}"/>
    <cellStyle name="Accent6 70 4 2" xfId="34076" xr:uid="{03FB6511-C5A7-4F92-9EE2-B0C9DF913EA4}"/>
    <cellStyle name="Accent6 70 5" xfId="34069" xr:uid="{6BA057FD-29BA-4D62-9267-56B5A99000D5}"/>
    <cellStyle name="Accent6 71" xfId="7545" xr:uid="{00000000-0005-0000-0000-0000791D0000}"/>
    <cellStyle name="Accent6 71 2" xfId="7546" xr:uid="{00000000-0005-0000-0000-00007A1D0000}"/>
    <cellStyle name="Accent6 71 2 2" xfId="7547" xr:uid="{00000000-0005-0000-0000-00007B1D0000}"/>
    <cellStyle name="Accent6 71 2 2 2" xfId="34079" xr:uid="{F17B69FB-D661-4B26-B0C8-C2336EFAC674}"/>
    <cellStyle name="Accent6 71 2 3" xfId="34078" xr:uid="{C57C73A9-9009-4EEF-8CB7-785CA6BA6E09}"/>
    <cellStyle name="Accent6 71 3" xfId="7548" xr:uid="{00000000-0005-0000-0000-00007C1D0000}"/>
    <cellStyle name="Accent6 71 3 2" xfId="7549" xr:uid="{00000000-0005-0000-0000-00007D1D0000}"/>
    <cellStyle name="Accent6 71 3 2 2" xfId="7550" xr:uid="{00000000-0005-0000-0000-00007E1D0000}"/>
    <cellStyle name="Accent6 71 3 2 2 2" xfId="34082" xr:uid="{CCC30C20-F7D1-45E9-A520-976A1699FFBC}"/>
    <cellStyle name="Accent6 71 3 2 3" xfId="34081" xr:uid="{EBC73378-A5C1-4692-844B-1FCEC68AC4BD}"/>
    <cellStyle name="Accent6 71 3 3" xfId="7551" xr:uid="{00000000-0005-0000-0000-00007F1D0000}"/>
    <cellStyle name="Accent6 71 3 3 2" xfId="34083" xr:uid="{60513E41-FF49-4A0B-94D0-BF535D0807ED}"/>
    <cellStyle name="Accent6 71 3 4" xfId="34080" xr:uid="{2B140ADB-F794-4756-841F-6EE4E9267C08}"/>
    <cellStyle name="Accent6 71 4" xfId="7552" xr:uid="{00000000-0005-0000-0000-0000801D0000}"/>
    <cellStyle name="Accent6 71 4 2" xfId="34084" xr:uid="{A51F6F80-424F-41CD-B88D-EB552DF3C021}"/>
    <cellStyle name="Accent6 71 5" xfId="34077" xr:uid="{0AF883DC-A164-4A6E-A3A0-B25D1A8C3277}"/>
    <cellStyle name="Accent6 72" xfId="7553" xr:uid="{00000000-0005-0000-0000-0000811D0000}"/>
    <cellStyle name="Accent6 72 2" xfId="7554" xr:uid="{00000000-0005-0000-0000-0000821D0000}"/>
    <cellStyle name="Accent6 72 2 2" xfId="7555" xr:uid="{00000000-0005-0000-0000-0000831D0000}"/>
    <cellStyle name="Accent6 72 2 2 2" xfId="34087" xr:uid="{B9CB384E-B335-4E85-B7DC-AE87221CFE49}"/>
    <cellStyle name="Accent6 72 2 3" xfId="34086" xr:uid="{85A30C78-9A4A-4CC5-901B-8BB2D6696389}"/>
    <cellStyle name="Accent6 72 3" xfId="7556" xr:uid="{00000000-0005-0000-0000-0000841D0000}"/>
    <cellStyle name="Accent6 72 3 2" xfId="7557" xr:uid="{00000000-0005-0000-0000-0000851D0000}"/>
    <cellStyle name="Accent6 72 3 2 2" xfId="7558" xr:uid="{00000000-0005-0000-0000-0000861D0000}"/>
    <cellStyle name="Accent6 72 3 2 2 2" xfId="34090" xr:uid="{E541B9BC-7A7F-41EB-A4A6-78B57E11A0C9}"/>
    <cellStyle name="Accent6 72 3 2 3" xfId="34089" xr:uid="{D1E0842B-E2FE-47C0-A4B2-21501A5AD228}"/>
    <cellStyle name="Accent6 72 3 3" xfId="7559" xr:uid="{00000000-0005-0000-0000-0000871D0000}"/>
    <cellStyle name="Accent6 72 3 3 2" xfId="34091" xr:uid="{CC9EA7C3-2ABA-4D75-9EBA-4E4D2D17A9CC}"/>
    <cellStyle name="Accent6 72 3 4" xfId="34088" xr:uid="{1598EDC7-FCBF-447E-B94C-02DD8E527632}"/>
    <cellStyle name="Accent6 72 4" xfId="7560" xr:uid="{00000000-0005-0000-0000-0000881D0000}"/>
    <cellStyle name="Accent6 72 4 2" xfId="34092" xr:uid="{2E4C2791-884C-4E05-9542-F695037F23B3}"/>
    <cellStyle name="Accent6 72 5" xfId="34085" xr:uid="{26F5B4D0-93B9-4096-8BDB-978C4D180879}"/>
    <cellStyle name="Accent6 73" xfId="7561" xr:uid="{00000000-0005-0000-0000-0000891D0000}"/>
    <cellStyle name="Accent6 73 2" xfId="7562" xr:uid="{00000000-0005-0000-0000-00008A1D0000}"/>
    <cellStyle name="Accent6 73 2 2" xfId="7563" xr:uid="{00000000-0005-0000-0000-00008B1D0000}"/>
    <cellStyle name="Accent6 73 2 2 2" xfId="34095" xr:uid="{EC7803E4-5E06-410D-AD2A-84034B85507E}"/>
    <cellStyle name="Accent6 73 2 3" xfId="34094" xr:uid="{6B44730E-7736-4794-A961-A5505B7A5004}"/>
    <cellStyle name="Accent6 73 3" xfId="7564" xr:uid="{00000000-0005-0000-0000-00008C1D0000}"/>
    <cellStyle name="Accent6 73 3 2" xfId="7565" xr:uid="{00000000-0005-0000-0000-00008D1D0000}"/>
    <cellStyle name="Accent6 73 3 2 2" xfId="7566" xr:uid="{00000000-0005-0000-0000-00008E1D0000}"/>
    <cellStyle name="Accent6 73 3 2 2 2" xfId="34098" xr:uid="{33B66D4D-5301-431C-B328-FAD1B438EB4B}"/>
    <cellStyle name="Accent6 73 3 2 3" xfId="34097" xr:uid="{6978FA2F-61DD-46A9-BBD0-F6628E6F29C4}"/>
    <cellStyle name="Accent6 73 3 3" xfId="7567" xr:uid="{00000000-0005-0000-0000-00008F1D0000}"/>
    <cellStyle name="Accent6 73 3 3 2" xfId="34099" xr:uid="{21552449-C7C0-4BDF-85BC-CA077C501F50}"/>
    <cellStyle name="Accent6 73 3 4" xfId="34096" xr:uid="{BE4CD2E3-86E1-4662-B40B-934E3DF2D0B0}"/>
    <cellStyle name="Accent6 73 4" xfId="7568" xr:uid="{00000000-0005-0000-0000-0000901D0000}"/>
    <cellStyle name="Accent6 73 4 2" xfId="34100" xr:uid="{BB50DFAD-5970-422B-B83A-5AEDF3CCF726}"/>
    <cellStyle name="Accent6 73 5" xfId="34093" xr:uid="{C07F3C6E-ECF0-4847-8C52-2FF30F68EC08}"/>
    <cellStyle name="Accent6 74" xfId="7569" xr:uid="{00000000-0005-0000-0000-0000911D0000}"/>
    <cellStyle name="Accent6 74 2" xfId="7570" xr:uid="{00000000-0005-0000-0000-0000921D0000}"/>
    <cellStyle name="Accent6 74 2 2" xfId="7571" xr:uid="{00000000-0005-0000-0000-0000931D0000}"/>
    <cellStyle name="Accent6 74 2 2 2" xfId="34103" xr:uid="{C0B2BE43-01EB-4DCB-BD5F-7114B22041EC}"/>
    <cellStyle name="Accent6 74 2 3" xfId="34102" xr:uid="{1819E46D-A5D8-4623-9D05-CED3C70DBB60}"/>
    <cellStyle name="Accent6 74 3" xfId="7572" xr:uid="{00000000-0005-0000-0000-0000941D0000}"/>
    <cellStyle name="Accent6 74 3 2" xfId="7573" xr:uid="{00000000-0005-0000-0000-0000951D0000}"/>
    <cellStyle name="Accent6 74 3 2 2" xfId="7574" xr:uid="{00000000-0005-0000-0000-0000961D0000}"/>
    <cellStyle name="Accent6 74 3 2 2 2" xfId="34106" xr:uid="{718FE9B7-84A9-4241-A24D-6F5A0EF0F38F}"/>
    <cellStyle name="Accent6 74 3 2 3" xfId="34105" xr:uid="{59234ED0-6A42-4E5E-B848-1EF57FEFAB45}"/>
    <cellStyle name="Accent6 74 3 3" xfId="7575" xr:uid="{00000000-0005-0000-0000-0000971D0000}"/>
    <cellStyle name="Accent6 74 3 3 2" xfId="34107" xr:uid="{3333AE1B-2D0E-4C63-96A0-BF70FD8CFBA4}"/>
    <cellStyle name="Accent6 74 3 4" xfId="34104" xr:uid="{ABCD0775-2345-459C-8024-8C016C4325E1}"/>
    <cellStyle name="Accent6 74 4" xfId="7576" xr:uid="{00000000-0005-0000-0000-0000981D0000}"/>
    <cellStyle name="Accent6 74 4 2" xfId="34108" xr:uid="{B9064FD2-68AA-4CF8-B53D-8639FF6D03A4}"/>
    <cellStyle name="Accent6 74 5" xfId="34101" xr:uid="{3CC56BD0-FC4A-4F8B-AEBD-64539A02AA8E}"/>
    <cellStyle name="Accent6 75" xfId="7577" xr:uid="{00000000-0005-0000-0000-0000991D0000}"/>
    <cellStyle name="Accent6 75 2" xfId="7578" xr:uid="{00000000-0005-0000-0000-00009A1D0000}"/>
    <cellStyle name="Accent6 75 2 2" xfId="7579" xr:uid="{00000000-0005-0000-0000-00009B1D0000}"/>
    <cellStyle name="Accent6 75 2 2 2" xfId="34111" xr:uid="{4FAFEF31-FCB4-4BD9-8CA7-F1CBF669364C}"/>
    <cellStyle name="Accent6 75 2 3" xfId="34110" xr:uid="{726AC6B1-EFE6-4A3B-B278-5078999BF4C2}"/>
    <cellStyle name="Accent6 75 3" xfId="7580" xr:uid="{00000000-0005-0000-0000-00009C1D0000}"/>
    <cellStyle name="Accent6 75 3 2" xfId="7581" xr:uid="{00000000-0005-0000-0000-00009D1D0000}"/>
    <cellStyle name="Accent6 75 3 2 2" xfId="7582" xr:uid="{00000000-0005-0000-0000-00009E1D0000}"/>
    <cellStyle name="Accent6 75 3 2 2 2" xfId="34114" xr:uid="{A5247699-26C0-45F6-A566-657CFC975276}"/>
    <cellStyle name="Accent6 75 3 2 3" xfId="34113" xr:uid="{2527E085-560E-4BCB-9BB6-2AD746939D7C}"/>
    <cellStyle name="Accent6 75 3 3" xfId="7583" xr:uid="{00000000-0005-0000-0000-00009F1D0000}"/>
    <cellStyle name="Accent6 75 3 3 2" xfId="34115" xr:uid="{B57DEA51-A877-4614-8E34-6228F27C9C50}"/>
    <cellStyle name="Accent6 75 3 4" xfId="34112" xr:uid="{4CA2F37C-0DE9-46F9-A90B-721061C4AA27}"/>
    <cellStyle name="Accent6 75 4" xfId="7584" xr:uid="{00000000-0005-0000-0000-0000A01D0000}"/>
    <cellStyle name="Accent6 75 4 2" xfId="34116" xr:uid="{C7CEBC80-8677-41BA-814F-F693B5BC091E}"/>
    <cellStyle name="Accent6 75 5" xfId="34109" xr:uid="{5E221629-3F48-4AE6-B965-82B8FEFA663C}"/>
    <cellStyle name="Accent6 76" xfId="7585" xr:uid="{00000000-0005-0000-0000-0000A11D0000}"/>
    <cellStyle name="Accent6 76 2" xfId="7586" xr:uid="{00000000-0005-0000-0000-0000A21D0000}"/>
    <cellStyle name="Accent6 76 2 2" xfId="7587" xr:uid="{00000000-0005-0000-0000-0000A31D0000}"/>
    <cellStyle name="Accent6 76 2 2 2" xfId="34119" xr:uid="{7915059B-8AC4-41E8-9BF9-B22636F5E9F2}"/>
    <cellStyle name="Accent6 76 2 3" xfId="34118" xr:uid="{98836A0D-4318-4329-ABAD-9C5F5CAD2FD1}"/>
    <cellStyle name="Accent6 76 3" xfId="7588" xr:uid="{00000000-0005-0000-0000-0000A41D0000}"/>
    <cellStyle name="Accent6 76 3 2" xfId="7589" xr:uid="{00000000-0005-0000-0000-0000A51D0000}"/>
    <cellStyle name="Accent6 76 3 2 2" xfId="7590" xr:uid="{00000000-0005-0000-0000-0000A61D0000}"/>
    <cellStyle name="Accent6 76 3 2 2 2" xfId="34122" xr:uid="{988E1743-E782-46F2-9544-D7E541921248}"/>
    <cellStyle name="Accent6 76 3 2 3" xfId="34121" xr:uid="{AD9B033D-CF3F-48D5-8D42-C8EF335CEDB0}"/>
    <cellStyle name="Accent6 76 3 3" xfId="7591" xr:uid="{00000000-0005-0000-0000-0000A71D0000}"/>
    <cellStyle name="Accent6 76 3 3 2" xfId="34123" xr:uid="{590F4922-B52B-4587-BB43-885890DAFCFE}"/>
    <cellStyle name="Accent6 76 3 4" xfId="34120" xr:uid="{50E5E8CE-1F4F-4844-8F1F-D7AC7983A99D}"/>
    <cellStyle name="Accent6 76 4" xfId="7592" xr:uid="{00000000-0005-0000-0000-0000A81D0000}"/>
    <cellStyle name="Accent6 76 4 2" xfId="34124" xr:uid="{0317AEB5-7C70-451F-8D78-306297FA918A}"/>
    <cellStyle name="Accent6 76 5" xfId="34117" xr:uid="{0FE7856E-E2D7-4449-894D-9BC15053F379}"/>
    <cellStyle name="Accent6 77" xfId="7593" xr:uid="{00000000-0005-0000-0000-0000A91D0000}"/>
    <cellStyle name="Accent6 77 2" xfId="7594" xr:uid="{00000000-0005-0000-0000-0000AA1D0000}"/>
    <cellStyle name="Accent6 77 2 2" xfId="7595" xr:uid="{00000000-0005-0000-0000-0000AB1D0000}"/>
    <cellStyle name="Accent6 77 2 2 2" xfId="34127" xr:uid="{E95E0AE1-A2CB-4F7B-8326-EDC09AFF57FC}"/>
    <cellStyle name="Accent6 77 2 3" xfId="34126" xr:uid="{A259AE81-5D83-4424-B360-30C07895A82A}"/>
    <cellStyle name="Accent6 77 3" xfId="7596" xr:uid="{00000000-0005-0000-0000-0000AC1D0000}"/>
    <cellStyle name="Accent6 77 3 2" xfId="7597" xr:uid="{00000000-0005-0000-0000-0000AD1D0000}"/>
    <cellStyle name="Accent6 77 3 2 2" xfId="7598" xr:uid="{00000000-0005-0000-0000-0000AE1D0000}"/>
    <cellStyle name="Accent6 77 3 2 2 2" xfId="34130" xr:uid="{F00C1301-4F30-440F-A0BE-90AC79398DB9}"/>
    <cellStyle name="Accent6 77 3 2 3" xfId="34129" xr:uid="{66B0CD2C-C992-4154-BC52-EDEEF6CDFE8E}"/>
    <cellStyle name="Accent6 77 3 3" xfId="7599" xr:uid="{00000000-0005-0000-0000-0000AF1D0000}"/>
    <cellStyle name="Accent6 77 3 3 2" xfId="34131" xr:uid="{50FF51D8-821C-4C56-B068-973E639D2886}"/>
    <cellStyle name="Accent6 77 3 4" xfId="34128" xr:uid="{3D9632C3-B8FD-43FA-8612-23417675384A}"/>
    <cellStyle name="Accent6 77 4" xfId="7600" xr:uid="{00000000-0005-0000-0000-0000B01D0000}"/>
    <cellStyle name="Accent6 77 4 2" xfId="34132" xr:uid="{1253E7ED-B5D1-46C9-AEA9-8F28CBD80668}"/>
    <cellStyle name="Accent6 77 5" xfId="34125" xr:uid="{22F727BA-89D4-4E18-9A2D-C44C526CF3D7}"/>
    <cellStyle name="Accent6 78" xfId="7601" xr:uid="{00000000-0005-0000-0000-0000B11D0000}"/>
    <cellStyle name="Accent6 78 2" xfId="7602" xr:uid="{00000000-0005-0000-0000-0000B21D0000}"/>
    <cellStyle name="Accent6 78 2 2" xfId="7603" xr:uid="{00000000-0005-0000-0000-0000B31D0000}"/>
    <cellStyle name="Accent6 78 2 2 2" xfId="34135" xr:uid="{DAD6BB30-FBB6-4859-A358-5EFB56093D3E}"/>
    <cellStyle name="Accent6 78 2 3" xfId="34134" xr:uid="{31133327-1FDB-43CE-802E-8878946D5C8F}"/>
    <cellStyle name="Accent6 78 3" xfId="7604" xr:uid="{00000000-0005-0000-0000-0000B41D0000}"/>
    <cellStyle name="Accent6 78 3 2" xfId="7605" xr:uid="{00000000-0005-0000-0000-0000B51D0000}"/>
    <cellStyle name="Accent6 78 3 2 2" xfId="7606" xr:uid="{00000000-0005-0000-0000-0000B61D0000}"/>
    <cellStyle name="Accent6 78 3 2 2 2" xfId="34138" xr:uid="{E10C21A2-C867-4D70-9FD6-4B9C4F103153}"/>
    <cellStyle name="Accent6 78 3 2 3" xfId="34137" xr:uid="{B8A0B535-3F76-4B06-B65E-A157A069DFF1}"/>
    <cellStyle name="Accent6 78 3 3" xfId="7607" xr:uid="{00000000-0005-0000-0000-0000B71D0000}"/>
    <cellStyle name="Accent6 78 3 3 2" xfId="34139" xr:uid="{64447C24-5219-406E-9B08-1CB2500B7475}"/>
    <cellStyle name="Accent6 78 3 4" xfId="34136" xr:uid="{758E06E1-92B8-4105-B0E7-44506F91A940}"/>
    <cellStyle name="Accent6 78 4" xfId="7608" xr:uid="{00000000-0005-0000-0000-0000B81D0000}"/>
    <cellStyle name="Accent6 78 4 2" xfId="34140" xr:uid="{42A60FAE-A603-47D2-8E79-0A41B94198F7}"/>
    <cellStyle name="Accent6 78 5" xfId="34133" xr:uid="{CE587CF2-941F-4143-83DB-5AA915F5694D}"/>
    <cellStyle name="Accent6 79" xfId="7609" xr:uid="{00000000-0005-0000-0000-0000B91D0000}"/>
    <cellStyle name="Accent6 79 2" xfId="7610" xr:uid="{00000000-0005-0000-0000-0000BA1D0000}"/>
    <cellStyle name="Accent6 79 2 2" xfId="7611" xr:uid="{00000000-0005-0000-0000-0000BB1D0000}"/>
    <cellStyle name="Accent6 79 2 2 2" xfId="34143" xr:uid="{E8D03141-A2AB-47D9-B7AE-3948373060BA}"/>
    <cellStyle name="Accent6 79 2 3" xfId="34142" xr:uid="{25A949DF-DC7C-4A84-B6A1-CF58BED4D000}"/>
    <cellStyle name="Accent6 79 3" xfId="7612" xr:uid="{00000000-0005-0000-0000-0000BC1D0000}"/>
    <cellStyle name="Accent6 79 3 2" xfId="7613" xr:uid="{00000000-0005-0000-0000-0000BD1D0000}"/>
    <cellStyle name="Accent6 79 3 2 2" xfId="7614" xr:uid="{00000000-0005-0000-0000-0000BE1D0000}"/>
    <cellStyle name="Accent6 79 3 2 2 2" xfId="34146" xr:uid="{605794B9-B4A5-4994-859B-30064DE26D8A}"/>
    <cellStyle name="Accent6 79 3 2 3" xfId="34145" xr:uid="{19076F9A-A1C9-4E18-8AD2-78906D0E664E}"/>
    <cellStyle name="Accent6 79 3 3" xfId="7615" xr:uid="{00000000-0005-0000-0000-0000BF1D0000}"/>
    <cellStyle name="Accent6 79 3 3 2" xfId="34147" xr:uid="{90DE4E72-E0EC-4783-A04C-F8ECF7DCF73E}"/>
    <cellStyle name="Accent6 79 3 4" xfId="34144" xr:uid="{7BDC47C5-46F1-4CEC-B904-78E45CE068BF}"/>
    <cellStyle name="Accent6 79 4" xfId="7616" xr:uid="{00000000-0005-0000-0000-0000C01D0000}"/>
    <cellStyle name="Accent6 79 4 2" xfId="34148" xr:uid="{83367F9B-754B-4AEE-88A6-6A6DB3C67BF7}"/>
    <cellStyle name="Accent6 79 5" xfId="34141" xr:uid="{70C91D12-88CC-44CF-BCD4-72763EC54862}"/>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2 2 2" xfId="34151" xr:uid="{5A7C125F-3363-494C-80C5-EF0B1957DB52}"/>
    <cellStyle name="Accent6 80 2 3" xfId="34150" xr:uid="{2D3A6D40-E9BF-44B1-A60F-534BE2BB57BF}"/>
    <cellStyle name="Accent6 80 3" xfId="7624" xr:uid="{00000000-0005-0000-0000-0000C81D0000}"/>
    <cellStyle name="Accent6 80 3 2" xfId="7625" xr:uid="{00000000-0005-0000-0000-0000C91D0000}"/>
    <cellStyle name="Accent6 80 3 2 2" xfId="7626" xr:uid="{00000000-0005-0000-0000-0000CA1D0000}"/>
    <cellStyle name="Accent6 80 3 2 2 2" xfId="34154" xr:uid="{54D0A29A-0C55-4366-8736-14451A0EE6D5}"/>
    <cellStyle name="Accent6 80 3 2 3" xfId="34153" xr:uid="{D91FECF2-55F9-4CF6-A515-18559C99563A}"/>
    <cellStyle name="Accent6 80 3 3" xfId="7627" xr:uid="{00000000-0005-0000-0000-0000CB1D0000}"/>
    <cellStyle name="Accent6 80 3 3 2" xfId="34155" xr:uid="{7F13B745-5AEA-4037-9117-648F6B5FEFFC}"/>
    <cellStyle name="Accent6 80 3 4" xfId="34152" xr:uid="{548D9B89-1E8C-4937-9700-404FBB8271BB}"/>
    <cellStyle name="Accent6 80 4" xfId="7628" xr:uid="{00000000-0005-0000-0000-0000CC1D0000}"/>
    <cellStyle name="Accent6 80 4 2" xfId="34156" xr:uid="{C1BEC592-9AB3-438A-BCE1-EF7104A7DF15}"/>
    <cellStyle name="Accent6 80 5" xfId="34149" xr:uid="{6F1C3F46-B597-46E0-9FE0-857CBBB336F7}"/>
    <cellStyle name="Accent6 81" xfId="7629" xr:uid="{00000000-0005-0000-0000-0000CD1D0000}"/>
    <cellStyle name="Accent6 81 2" xfId="7630" xr:uid="{00000000-0005-0000-0000-0000CE1D0000}"/>
    <cellStyle name="Accent6 81 2 2" xfId="7631" xr:uid="{00000000-0005-0000-0000-0000CF1D0000}"/>
    <cellStyle name="Accent6 81 2 2 2" xfId="34159" xr:uid="{68BFBC1E-AAD3-4D6F-9567-F97D140B72F5}"/>
    <cellStyle name="Accent6 81 2 3" xfId="34158" xr:uid="{AACEB9AE-643F-47EB-AB79-891D9F72E7D7}"/>
    <cellStyle name="Accent6 81 3" xfId="7632" xr:uid="{00000000-0005-0000-0000-0000D01D0000}"/>
    <cellStyle name="Accent6 81 3 2" xfId="7633" xr:uid="{00000000-0005-0000-0000-0000D11D0000}"/>
    <cellStyle name="Accent6 81 3 2 2" xfId="7634" xr:uid="{00000000-0005-0000-0000-0000D21D0000}"/>
    <cellStyle name="Accent6 81 3 2 2 2" xfId="34162" xr:uid="{0B7EDD5C-43E6-4D28-B5A4-F59DBA239CDD}"/>
    <cellStyle name="Accent6 81 3 2 3" xfId="34161" xr:uid="{6D6F85F6-3F17-4C5F-BFB0-309FAB7DFCA2}"/>
    <cellStyle name="Accent6 81 3 3" xfId="7635" xr:uid="{00000000-0005-0000-0000-0000D31D0000}"/>
    <cellStyle name="Accent6 81 3 3 2" xfId="34163" xr:uid="{E4C4FA7C-9D4C-413C-B1F9-ACCAD0900520}"/>
    <cellStyle name="Accent6 81 3 4" xfId="34160" xr:uid="{3E2793FB-E97C-474D-A506-23B372408167}"/>
    <cellStyle name="Accent6 81 4" xfId="7636" xr:uid="{00000000-0005-0000-0000-0000D41D0000}"/>
    <cellStyle name="Accent6 81 4 2" xfId="34164" xr:uid="{C2B8FCC4-DDAB-4D5D-A941-95F31F118EE7}"/>
    <cellStyle name="Accent6 81 5" xfId="34157" xr:uid="{B3BDFC27-2052-4E6B-AECB-3EF10534D440}"/>
    <cellStyle name="Accent6 82" xfId="7637" xr:uid="{00000000-0005-0000-0000-0000D51D0000}"/>
    <cellStyle name="Accent6 82 2" xfId="7638" xr:uid="{00000000-0005-0000-0000-0000D61D0000}"/>
    <cellStyle name="Accent6 82 2 2" xfId="7639" xr:uid="{00000000-0005-0000-0000-0000D71D0000}"/>
    <cellStyle name="Accent6 82 2 2 2" xfId="34167" xr:uid="{F07DEF8B-1C73-47CB-AEA8-314071337DD1}"/>
    <cellStyle name="Accent6 82 2 3" xfId="34166" xr:uid="{47F8EA91-72A8-4E62-9DD3-2F196AAAAC69}"/>
    <cellStyle name="Accent6 82 3" xfId="7640" xr:uid="{00000000-0005-0000-0000-0000D81D0000}"/>
    <cellStyle name="Accent6 82 3 2" xfId="7641" xr:uid="{00000000-0005-0000-0000-0000D91D0000}"/>
    <cellStyle name="Accent6 82 3 2 2" xfId="7642" xr:uid="{00000000-0005-0000-0000-0000DA1D0000}"/>
    <cellStyle name="Accent6 82 3 2 2 2" xfId="34170" xr:uid="{FEB53D69-A660-4927-BFDB-193C8150ED66}"/>
    <cellStyle name="Accent6 82 3 2 3" xfId="34169" xr:uid="{5484543D-7AED-4C28-A5D9-8894E2C2E8A5}"/>
    <cellStyle name="Accent6 82 3 3" xfId="7643" xr:uid="{00000000-0005-0000-0000-0000DB1D0000}"/>
    <cellStyle name="Accent6 82 3 3 2" xfId="34171" xr:uid="{6C09253F-4458-4FCC-871B-27B5C950C556}"/>
    <cellStyle name="Accent6 82 3 4" xfId="34168" xr:uid="{5D279218-1BBC-474E-A3DA-7B0DBA762E6E}"/>
    <cellStyle name="Accent6 82 4" xfId="7644" xr:uid="{00000000-0005-0000-0000-0000DC1D0000}"/>
    <cellStyle name="Accent6 82 4 2" xfId="34172" xr:uid="{5FBD7A6D-7D9C-4F85-BB99-D54E0E37C610}"/>
    <cellStyle name="Accent6 82 5" xfId="34165" xr:uid="{37B5178B-6CE5-4C0A-BA98-0AB99C4D07FB}"/>
    <cellStyle name="Accent6 83" xfId="7645" xr:uid="{00000000-0005-0000-0000-0000DD1D0000}"/>
    <cellStyle name="Accent6 83 2" xfId="7646" xr:uid="{00000000-0005-0000-0000-0000DE1D0000}"/>
    <cellStyle name="Accent6 83 2 2" xfId="7647" xr:uid="{00000000-0005-0000-0000-0000DF1D0000}"/>
    <cellStyle name="Accent6 83 2 2 2" xfId="34175" xr:uid="{16444EE2-4BDB-40C8-8791-54223C806860}"/>
    <cellStyle name="Accent6 83 2 3" xfId="34174" xr:uid="{95EA4DCF-E4F3-47CA-B815-6F951BFBB3A2}"/>
    <cellStyle name="Accent6 83 3" xfId="7648" xr:uid="{00000000-0005-0000-0000-0000E01D0000}"/>
    <cellStyle name="Accent6 83 3 2" xfId="7649" xr:uid="{00000000-0005-0000-0000-0000E11D0000}"/>
    <cellStyle name="Accent6 83 3 2 2" xfId="7650" xr:uid="{00000000-0005-0000-0000-0000E21D0000}"/>
    <cellStyle name="Accent6 83 3 2 2 2" xfId="34178" xr:uid="{DBE18BBD-4604-48AB-A1AA-645F3C13908D}"/>
    <cellStyle name="Accent6 83 3 2 3" xfId="34177" xr:uid="{49D9D024-8287-4658-8D8C-A7291727F722}"/>
    <cellStyle name="Accent6 83 3 3" xfId="7651" xr:uid="{00000000-0005-0000-0000-0000E31D0000}"/>
    <cellStyle name="Accent6 83 3 3 2" xfId="34179" xr:uid="{9487B5F5-E06C-4A99-9E03-93046E60B9FE}"/>
    <cellStyle name="Accent6 83 3 4" xfId="34176" xr:uid="{7083C409-49C8-45A8-B6CF-F28337F61DFB}"/>
    <cellStyle name="Accent6 83 4" xfId="7652" xr:uid="{00000000-0005-0000-0000-0000E41D0000}"/>
    <cellStyle name="Accent6 83 4 2" xfId="34180" xr:uid="{EA186028-3DDA-4597-A90E-25D5FE845AD9}"/>
    <cellStyle name="Accent6 83 5" xfId="34173" xr:uid="{E5C83D7F-2683-4D37-9F9B-806B9AC29DE2}"/>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2 2 2" xfId="34183" xr:uid="{9DEC4B55-EEE9-458C-84BC-66935771EDF2}"/>
    <cellStyle name="Accent6 91 2 3" xfId="34182" xr:uid="{BAED4F71-AEFB-45FB-80D3-6AF394B28381}"/>
    <cellStyle name="Accent6 91 3" xfId="7688" xr:uid="{00000000-0005-0000-0000-0000081E0000}"/>
    <cellStyle name="Accent6 91 3 2" xfId="34184" xr:uid="{C2E4B562-B0FC-49ED-AFA0-0284252D8F30}"/>
    <cellStyle name="Accent6 91 4" xfId="34181" xr:uid="{BEB1716C-A67B-4A75-AD2C-6A4EEF8E1B22}"/>
    <cellStyle name="Accent6 92" xfId="7689" xr:uid="{00000000-0005-0000-0000-0000091E0000}"/>
    <cellStyle name="Accent6 92 2" xfId="7690" xr:uid="{00000000-0005-0000-0000-00000A1E0000}"/>
    <cellStyle name="Accent6 92 2 2" xfId="7691" xr:uid="{00000000-0005-0000-0000-00000B1E0000}"/>
    <cellStyle name="Accent6 92 2 2 2" xfId="34187" xr:uid="{8B64A1E0-8BBE-45C8-A084-FC89AB081529}"/>
    <cellStyle name="Accent6 92 2 3" xfId="34186" xr:uid="{0E60EDC6-D874-4EA2-9F82-1B44C2F4DC36}"/>
    <cellStyle name="Accent6 92 3" xfId="7692" xr:uid="{00000000-0005-0000-0000-00000C1E0000}"/>
    <cellStyle name="Accent6 92 3 2" xfId="34188" xr:uid="{307B690C-A2DA-4B74-BC1F-759DC4E2EA9F}"/>
    <cellStyle name="Accent6 92 4" xfId="34185" xr:uid="{1CF8AA17-BA28-4F5B-B793-559F32D858AF}"/>
    <cellStyle name="Accent6 93" xfId="7693" xr:uid="{00000000-0005-0000-0000-00000D1E0000}"/>
    <cellStyle name="Accent6 93 2" xfId="7694" xr:uid="{00000000-0005-0000-0000-00000E1E0000}"/>
    <cellStyle name="Accent6 93 2 2" xfId="7695" xr:uid="{00000000-0005-0000-0000-00000F1E0000}"/>
    <cellStyle name="Accent6 93 2 2 2" xfId="34191" xr:uid="{48E72497-261D-4DCE-B64D-863E63E7C744}"/>
    <cellStyle name="Accent6 93 2 3" xfId="34190" xr:uid="{8DD9F600-1D2A-4DFC-888D-97B79E54040B}"/>
    <cellStyle name="Accent6 93 3" xfId="7696" xr:uid="{00000000-0005-0000-0000-0000101E0000}"/>
    <cellStyle name="Accent6 93 3 2" xfId="34192" xr:uid="{80ED2774-8E4F-413D-8AFB-D74EB0DC8B22}"/>
    <cellStyle name="Accent6 93 4" xfId="34189" xr:uid="{EA747498-4CF9-4F5B-B161-A9BF07C53FDE}"/>
    <cellStyle name="Accent6 94" xfId="7697" xr:uid="{00000000-0005-0000-0000-0000111E0000}"/>
    <cellStyle name="Accent6 94 2" xfId="7698" xr:uid="{00000000-0005-0000-0000-0000121E0000}"/>
    <cellStyle name="Accent6 94 2 2" xfId="7699" xr:uid="{00000000-0005-0000-0000-0000131E0000}"/>
    <cellStyle name="Accent6 94 2 2 2" xfId="34195" xr:uid="{D8C44AF8-DBFB-48A4-B3B6-560759FEA328}"/>
    <cellStyle name="Accent6 94 2 3" xfId="34194" xr:uid="{BC14451E-D0B0-4196-8611-670D1BC0D704}"/>
    <cellStyle name="Accent6 94 3" xfId="7700" xr:uid="{00000000-0005-0000-0000-0000141E0000}"/>
    <cellStyle name="Accent6 94 3 2" xfId="34196" xr:uid="{782A330F-3DBE-4BE7-8FB4-76D68A780391}"/>
    <cellStyle name="Accent6 94 4" xfId="34193" xr:uid="{D6A05CFF-3FFA-4237-9308-7167D042F7F0}"/>
    <cellStyle name="Accent6 95" xfId="7701" xr:uid="{00000000-0005-0000-0000-0000151E0000}"/>
    <cellStyle name="Accent6 95 2" xfId="7702" xr:uid="{00000000-0005-0000-0000-0000161E0000}"/>
    <cellStyle name="Accent6 95 2 2" xfId="7703" xr:uid="{00000000-0005-0000-0000-0000171E0000}"/>
    <cellStyle name="Accent6 95 2 2 2" xfId="34199" xr:uid="{765F570A-3672-4545-9BE9-69026B4EF35F}"/>
    <cellStyle name="Accent6 95 2 3" xfId="34198" xr:uid="{AC66A17F-0660-4AA3-A2E6-7F053D99D972}"/>
    <cellStyle name="Accent6 95 3" xfId="7704" xr:uid="{00000000-0005-0000-0000-0000181E0000}"/>
    <cellStyle name="Accent6 95 3 2" xfId="34200" xr:uid="{4C9BF9CD-9354-497D-B6C1-D82D4261B5F8}"/>
    <cellStyle name="Accent6 95 4" xfId="34197" xr:uid="{8E91981B-C14A-43C0-9247-E3DCBF46D638}"/>
    <cellStyle name="Accent6 96" xfId="7705" xr:uid="{00000000-0005-0000-0000-0000191E0000}"/>
    <cellStyle name="Accent6 96 2" xfId="7706" xr:uid="{00000000-0005-0000-0000-00001A1E0000}"/>
    <cellStyle name="Accent6 96 2 2" xfId="7707" xr:uid="{00000000-0005-0000-0000-00001B1E0000}"/>
    <cellStyle name="Accent6 96 2 2 2" xfId="34203" xr:uid="{213F7542-EB7C-4D89-B778-1A87A8583B65}"/>
    <cellStyle name="Accent6 96 2 3" xfId="34202" xr:uid="{4EFBBD1A-3EBF-408D-BBE4-872C16583453}"/>
    <cellStyle name="Accent6 96 3" xfId="7708" xr:uid="{00000000-0005-0000-0000-00001C1E0000}"/>
    <cellStyle name="Accent6 96 3 2" xfId="34204" xr:uid="{10933A7A-BBA8-4901-8835-641AB035F30E}"/>
    <cellStyle name="Accent6 96 4" xfId="34201" xr:uid="{ABB198F7-E7EA-4A78-8882-755D0ACE1F8C}"/>
    <cellStyle name="Accent6 97" xfId="7709" xr:uid="{00000000-0005-0000-0000-00001D1E0000}"/>
    <cellStyle name="Accent6 97 2" xfId="7710" xr:uid="{00000000-0005-0000-0000-00001E1E0000}"/>
    <cellStyle name="Accent6 97 2 2" xfId="7711" xr:uid="{00000000-0005-0000-0000-00001F1E0000}"/>
    <cellStyle name="Accent6 97 2 2 2" xfId="34207" xr:uid="{A2989E61-2FC8-4743-937C-08F0B6445462}"/>
    <cellStyle name="Accent6 97 2 3" xfId="34206" xr:uid="{0A77C1E8-CAE4-48CF-8272-3EA966D46712}"/>
    <cellStyle name="Accent6 97 3" xfId="7712" xr:uid="{00000000-0005-0000-0000-0000201E0000}"/>
    <cellStyle name="Accent6 97 3 2" xfId="34208" xr:uid="{F9AC191B-38AA-4FB1-944B-3CDACEBC1664}"/>
    <cellStyle name="Accent6 97 4" xfId="34205" xr:uid="{E3E0A334-DF86-4668-ADED-C64407A7AF84}"/>
    <cellStyle name="Accent6 98" xfId="7713" xr:uid="{00000000-0005-0000-0000-0000211E0000}"/>
    <cellStyle name="Accent6 98 2" xfId="7714" xr:uid="{00000000-0005-0000-0000-0000221E0000}"/>
    <cellStyle name="Accent6 98 2 2" xfId="7715" xr:uid="{00000000-0005-0000-0000-0000231E0000}"/>
    <cellStyle name="Accent6 98 2 2 2" xfId="34211" xr:uid="{AAE45D6B-C3BF-4865-8EA7-33CB124A990C}"/>
    <cellStyle name="Accent6 98 2 3" xfId="34210" xr:uid="{9B39C344-8348-4C06-9D06-22A275B71A15}"/>
    <cellStyle name="Accent6 98 3" xfId="7716" xr:uid="{00000000-0005-0000-0000-0000241E0000}"/>
    <cellStyle name="Accent6 98 3 2" xfId="34212" xr:uid="{91CF26E8-9A39-488B-BDA3-A35DE41CD514}"/>
    <cellStyle name="Accent6 98 4" xfId="34209" xr:uid="{26A1A84E-9FE3-45F9-AEED-07339C9F2C06}"/>
    <cellStyle name="Accent6 99" xfId="7717" xr:uid="{00000000-0005-0000-0000-0000251E0000}"/>
    <cellStyle name="Accent6 99 2" xfId="7718" xr:uid="{00000000-0005-0000-0000-0000261E0000}"/>
    <cellStyle name="Accent6 99 2 2" xfId="7719" xr:uid="{00000000-0005-0000-0000-0000271E0000}"/>
    <cellStyle name="Accent6 99 2 2 2" xfId="34215" xr:uid="{3DDF701A-AEBC-4F75-AACD-C570FEC93AC3}"/>
    <cellStyle name="Accent6 99 2 3" xfId="34214" xr:uid="{A59FECCC-CFA7-4D29-A799-ACAD033ED342}"/>
    <cellStyle name="Accent6 99 3" xfId="7720" xr:uid="{00000000-0005-0000-0000-0000281E0000}"/>
    <cellStyle name="Accent6 99 3 2" xfId="34216" xr:uid="{11AC9983-214A-4683-8CB9-E637B1DE71D8}"/>
    <cellStyle name="Accent6 99 4" xfId="34213" xr:uid="{E0440BFF-62B4-48A8-988F-E374441E79AC}"/>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2 2 2" xfId="34219" xr:uid="{29A335D8-7A83-4709-A33F-83C87F4F9801}"/>
    <cellStyle name="Actual Date 2 3" xfId="34218" xr:uid="{137AB481-CD4C-4941-81F1-C725ECC02F44}"/>
    <cellStyle name="Actual Date 3" xfId="7742" xr:uid="{00000000-0005-0000-0000-00003E1E0000}"/>
    <cellStyle name="Actual Date 3 2" xfId="7743" xr:uid="{00000000-0005-0000-0000-00003F1E0000}"/>
    <cellStyle name="Actual Date 3 2 2" xfId="34221" xr:uid="{2FD8EF76-43CC-4505-8556-074CA7026037}"/>
    <cellStyle name="Actual Date 3 3" xfId="34220" xr:uid="{58B8004E-44BB-4FE7-BA30-FB180FCE1FBA}"/>
    <cellStyle name="Actual Date 4" xfId="7744" xr:uid="{00000000-0005-0000-0000-0000401E0000}"/>
    <cellStyle name="Actual Date 4 2" xfId="34222" xr:uid="{16BDA3A8-9457-46A0-9D8F-044FADEB4CED}"/>
    <cellStyle name="Actual Date 5" xfId="7745" xr:uid="{00000000-0005-0000-0000-0000411E0000}"/>
    <cellStyle name="Actual Date 5 2" xfId="34223" xr:uid="{5F194726-41EF-44B1-A19A-4CF83BEA993F}"/>
    <cellStyle name="Actual Date 6" xfId="34217" xr:uid="{61EFB93F-0E19-49F1-8D14-D63A66850D1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0 2 2" xfId="34226" xr:uid="{E866ECD1-6628-4B3F-810F-257AE5CD6AB3}"/>
    <cellStyle name="Bad 2 10 3" xfId="34225" xr:uid="{313BB40C-004A-418D-BC58-BD8C72F53A09}"/>
    <cellStyle name="Bad 2 11" xfId="7771" xr:uid="{00000000-0005-0000-0000-00005B1E0000}"/>
    <cellStyle name="Bad 2 11 2" xfId="34227" xr:uid="{7F30AFB0-26B2-482D-BBE7-1EC6A0FCD534}"/>
    <cellStyle name="Bad 2 12" xfId="7772" xr:uid="{00000000-0005-0000-0000-00005C1E0000}"/>
    <cellStyle name="Bad 2 13" xfId="34224" xr:uid="{29777D02-DB95-4749-8C0D-B7DE6EB0478F}"/>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7 2 2" xfId="34229" xr:uid="{7BB661A5-196B-4E8E-8640-BD089BE8A950}"/>
    <cellStyle name="Bad 2 7 3" xfId="34228" xr:uid="{51B9941B-06B7-4045-8F04-B6E129415DBE}"/>
    <cellStyle name="Bad 2 8" xfId="7811" xr:uid="{00000000-0005-0000-0000-0000831E0000}"/>
    <cellStyle name="Bad 2 8 2" xfId="7812" xr:uid="{00000000-0005-0000-0000-0000841E0000}"/>
    <cellStyle name="Bad 2 8 2 2" xfId="7813" xr:uid="{00000000-0005-0000-0000-0000851E0000}"/>
    <cellStyle name="Bad 2 8 2 2 2" xfId="34232" xr:uid="{9224F8A5-0F76-4177-B02F-15F54C7353BE}"/>
    <cellStyle name="Bad 2 8 2 3" xfId="34231" xr:uid="{E659DFC1-774D-48BB-81A3-5BD4F94750D0}"/>
    <cellStyle name="Bad 2 8 3" xfId="7814" xr:uid="{00000000-0005-0000-0000-0000861E0000}"/>
    <cellStyle name="Bad 2 8 3 2" xfId="34233" xr:uid="{D4462F45-1ECC-4931-8A1D-E0DD99016E0C}"/>
    <cellStyle name="Bad 2 8 4" xfId="34230" xr:uid="{DC773395-5886-4743-B8DB-AA60A924DEEB}"/>
    <cellStyle name="Bad 2 9" xfId="7815" xr:uid="{00000000-0005-0000-0000-0000871E0000}"/>
    <cellStyle name="Bad 2 9 2" xfId="7816" xr:uid="{00000000-0005-0000-0000-0000881E0000}"/>
    <cellStyle name="Bad 2 9 2 2" xfId="7817" xr:uid="{00000000-0005-0000-0000-0000891E0000}"/>
    <cellStyle name="Bad 2 9 2 2 2" xfId="34235" xr:uid="{86289ADB-ECCA-4616-B1A3-70816C9ACAC6}"/>
    <cellStyle name="Bad 2 9 2 3" xfId="34234" xr:uid="{A4CA509F-0B4B-48B5-A09F-98AC412C10BB}"/>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3 6" xfId="34236" xr:uid="{C9A3FAB9-FCC3-4FDB-90FF-D7FB84E97562}"/>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4 5" xfId="34237" xr:uid="{D8B1E1C3-3CDE-4E9E-A813-80815FDB94BE}"/>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2 2 2" xfId="34241" xr:uid="{A12D9C2D-8045-495D-93AF-D2248F5991B1}"/>
    <cellStyle name="Bad 5 2 2 2 3" xfId="34240" xr:uid="{A90FFA9A-4B56-400A-B41F-45F15FF4E854}"/>
    <cellStyle name="Bad 5 2 2 3" xfId="7842" xr:uid="{00000000-0005-0000-0000-0000A21E0000}"/>
    <cellStyle name="Bad 5 2 2 3 2" xfId="7843" xr:uid="{00000000-0005-0000-0000-0000A31E0000}"/>
    <cellStyle name="Bad 5 2 2 3 2 2" xfId="7844" xr:uid="{00000000-0005-0000-0000-0000A41E0000}"/>
    <cellStyle name="Bad 5 2 2 3 2 2 2" xfId="34244" xr:uid="{99E4D16D-A496-4973-A70D-14CDD081B67D}"/>
    <cellStyle name="Bad 5 2 2 3 2 3" xfId="34243" xr:uid="{109EE395-DEF3-4E66-BB53-4912E62C09D9}"/>
    <cellStyle name="Bad 5 2 2 3 3" xfId="7845" xr:uid="{00000000-0005-0000-0000-0000A51E0000}"/>
    <cellStyle name="Bad 5 2 2 3 3 2" xfId="34245" xr:uid="{ECFB2E1D-D070-4EB5-9442-FAFFED06EB6C}"/>
    <cellStyle name="Bad 5 2 2 3 4" xfId="34242" xr:uid="{AE03BCEE-8DC7-45CC-8311-59B9CCD301B0}"/>
    <cellStyle name="Bad 5 2 2 4" xfId="7846" xr:uid="{00000000-0005-0000-0000-0000A61E0000}"/>
    <cellStyle name="Bad 5 2 2 4 2" xfId="34246" xr:uid="{EF3E41CB-D279-4C71-B9BC-72D3369723F4}"/>
    <cellStyle name="Bad 5 2 2 5" xfId="34239" xr:uid="{025563EE-6953-45C4-B7B8-AD8D9886E73D}"/>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4 2 2" xfId="34248" xr:uid="{CC8CCC35-B29F-4624-8E6A-428A28EBE72A}"/>
    <cellStyle name="Bad 5 4 3" xfId="34247" xr:uid="{96063195-3160-4A4C-B736-6BEF60CE5E48}"/>
    <cellStyle name="Bad 5 5" xfId="7860" xr:uid="{00000000-0005-0000-0000-0000B41E0000}"/>
    <cellStyle name="Bad 5 5 2" xfId="7861" xr:uid="{00000000-0005-0000-0000-0000B51E0000}"/>
    <cellStyle name="Bad 5 5 2 2" xfId="7862" xr:uid="{00000000-0005-0000-0000-0000B61E0000}"/>
    <cellStyle name="Bad 5 5 2 2 2" xfId="34251" xr:uid="{D2995AA0-7438-4733-940A-0F7D20AF9202}"/>
    <cellStyle name="Bad 5 5 2 3" xfId="34250" xr:uid="{0A660C42-8353-4F47-BCBF-5E56FE2688B7}"/>
    <cellStyle name="Bad 5 5 3" xfId="7863" xr:uid="{00000000-0005-0000-0000-0000B71E0000}"/>
    <cellStyle name="Bad 5 5 3 2" xfId="34252" xr:uid="{5E546639-D29C-440F-A5A7-D2DE957D9B97}"/>
    <cellStyle name="Bad 5 5 4" xfId="34249" xr:uid="{F501E191-8393-4A15-A0C3-C77CD8F5D69E}"/>
    <cellStyle name="Bad 5 6" xfId="7864" xr:uid="{00000000-0005-0000-0000-0000B81E0000}"/>
    <cellStyle name="Bad 5 6 2" xfId="34253" xr:uid="{D888B867-5AD6-410A-A8AD-80D967117D91}"/>
    <cellStyle name="Bad 5 7" xfId="34238" xr:uid="{DFD3C446-7B8C-4280-B1D2-DD7B300BE9C4}"/>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2 2" xfId="34256" xr:uid="{8ABED2AE-7D47-4F40-8379-F298E1C02806}"/>
    <cellStyle name="Calculation 2 10 3" xfId="7902" xr:uid="{00000000-0005-0000-0000-0000DE1E0000}"/>
    <cellStyle name="Calculation 2 10 3 2" xfId="34257" xr:uid="{4A6AD2D2-7440-4906-A1EE-1872879036FF}"/>
    <cellStyle name="Calculation 2 10 4" xfId="34255" xr:uid="{2D05BB12-DDE3-4B47-BF4A-CBEE831B8BFE}"/>
    <cellStyle name="Calculation 2 11" xfId="7903" xr:uid="{00000000-0005-0000-0000-0000DF1E0000}"/>
    <cellStyle name="Calculation 2 11 2" xfId="7904" xr:uid="{00000000-0005-0000-0000-0000E01E0000}"/>
    <cellStyle name="Calculation 2 12" xfId="7905" xr:uid="{00000000-0005-0000-0000-0000E11E0000}"/>
    <cellStyle name="Calculation 2 12 2" xfId="34258" xr:uid="{AAD07089-477B-4668-8053-C263A7EC286A}"/>
    <cellStyle name="Calculation 2 13" xfId="7906" xr:uid="{00000000-0005-0000-0000-0000E21E0000}"/>
    <cellStyle name="Calculation 2 14" xfId="34254" xr:uid="{49D04733-2486-4827-92BA-6B7C357350D4}"/>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2 2 2" xfId="34261" xr:uid="{F4BACFE5-73D3-47DB-ACDD-7FB8EC9E51C9}"/>
    <cellStyle name="Calculation 2 7 2 3" xfId="34260" xr:uid="{0639E4BC-7855-42DF-9B38-A0074491E756}"/>
    <cellStyle name="Calculation 2 7 3" xfId="7994" xr:uid="{00000000-0005-0000-0000-00003A1F0000}"/>
    <cellStyle name="Calculation 2 7 3 2" xfId="34262" xr:uid="{4C269DF8-2914-443C-81B5-5AD547EE3E02}"/>
    <cellStyle name="Calculation 2 7 4" xfId="34259" xr:uid="{B61E359A-60C8-4AE7-9773-E1F8C0C017AC}"/>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2 2 2" xfId="34266" xr:uid="{BFC563EF-8D8E-404C-8A10-BA0FA874E205}"/>
    <cellStyle name="Calculation 2 8 2 2 3" xfId="34265" xr:uid="{02C94D99-AC49-4D51-B4AD-98F45A2EE5D3}"/>
    <cellStyle name="Calculation 2 8 2 3" xfId="7999" xr:uid="{00000000-0005-0000-0000-00003F1F0000}"/>
    <cellStyle name="Calculation 2 8 2 3 2" xfId="34267" xr:uid="{DA40A330-B3B4-45C1-B853-9CAC98196BD1}"/>
    <cellStyle name="Calculation 2 8 2 4" xfId="34264" xr:uid="{D19C187E-EFBF-4E72-A401-82847771B19D}"/>
    <cellStyle name="Calculation 2 8 3" xfId="8000" xr:uid="{00000000-0005-0000-0000-0000401F0000}"/>
    <cellStyle name="Calculation 2 8 3 2" xfId="8001" xr:uid="{00000000-0005-0000-0000-0000411F0000}"/>
    <cellStyle name="Calculation 2 8 3 2 2" xfId="34269" xr:uid="{F1FB8AD7-0AD2-4FC0-A0CC-B5981DC897F9}"/>
    <cellStyle name="Calculation 2 8 3 3" xfId="34268" xr:uid="{7550E3D7-0A40-44AB-A40E-29B5D082D7B6}"/>
    <cellStyle name="Calculation 2 8 4" xfId="8002" xr:uid="{00000000-0005-0000-0000-0000421F0000}"/>
    <cellStyle name="Calculation 2 8 4 2" xfId="34270" xr:uid="{DE7F2C3B-5F13-403D-B895-1BC663241D8F}"/>
    <cellStyle name="Calculation 2 8 5" xfId="34263" xr:uid="{97837FBA-B353-400D-9468-CE626BBE4297}"/>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2 2 2" xfId="34273" xr:uid="{65CA98A4-69B3-40EA-8F36-473DC2BA077C}"/>
    <cellStyle name="Calculation 2 9 2 2 3" xfId="34272" xr:uid="{DB288D2C-6668-4C8C-9588-05FF19C74199}"/>
    <cellStyle name="Calculation 2 9 2 3" xfId="8007" xr:uid="{00000000-0005-0000-0000-0000471F0000}"/>
    <cellStyle name="Calculation 2 9 2 3 2" xfId="34274" xr:uid="{7CFE1A7A-13B0-4C83-ADAF-E7367424641D}"/>
    <cellStyle name="Calculation 2 9 2 4" xfId="34271" xr:uid="{34D93682-49EB-4AC0-A28A-35AB21E77A13}"/>
    <cellStyle name="Calculation 2 9 3" xfId="8008" xr:uid="{00000000-0005-0000-0000-0000481F0000}"/>
    <cellStyle name="Calculation 2 9 3 2" xfId="8009" xr:uid="{00000000-0005-0000-0000-0000491F0000}"/>
    <cellStyle name="Calculation 2 9 3 2 2" xfId="34276" xr:uid="{4B1496F5-07B3-4008-9664-067A187CB43C}"/>
    <cellStyle name="Calculation 2 9 3 3" xfId="34275" xr:uid="{A7B90EE3-8645-4557-8624-E2910BADA30F}"/>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3 6" xfId="34277" xr:uid="{A299E589-17C5-4D4E-92B6-D164EBDF2177}"/>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4 5" xfId="34278" xr:uid="{69A14627-8366-4FA5-9699-B64EC62E341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2 2 2" xfId="34282" xr:uid="{9287156F-6781-4F02-89DD-DEE41CE51F16}"/>
    <cellStyle name="Calculation 5 2 2 3" xfId="34281" xr:uid="{D734A9F3-9F16-4844-A011-E5162162668F}"/>
    <cellStyle name="Calculation 5 2 3" xfId="8037" xr:uid="{00000000-0005-0000-0000-0000651F0000}"/>
    <cellStyle name="Calculation 5 2 3 2" xfId="34283" xr:uid="{C3D86D41-8793-4F6B-8C53-9B8CC6834BA5}"/>
    <cellStyle name="Calculation 5 2 4" xfId="34280" xr:uid="{1E8F1F68-5A73-459C-BBA1-5A53C3BCEEB1}"/>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2 2 2" xfId="34287" xr:uid="{7D7F4F22-DD77-4A44-B0E7-BFF244579DEB}"/>
    <cellStyle name="Calculation 5 3 2 2 3" xfId="34286" xr:uid="{5982DDB1-A33E-45F0-855E-3C78725B62E7}"/>
    <cellStyle name="Calculation 5 3 2 3" xfId="8042" xr:uid="{00000000-0005-0000-0000-00006A1F0000}"/>
    <cellStyle name="Calculation 5 3 2 3 2" xfId="34288" xr:uid="{D080DE1B-8DAF-44F1-864F-0310DCA19A54}"/>
    <cellStyle name="Calculation 5 3 2 4" xfId="34285" xr:uid="{91014107-4A21-4F64-BA1B-97BFCC67DA21}"/>
    <cellStyle name="Calculation 5 3 3" xfId="8043" xr:uid="{00000000-0005-0000-0000-00006B1F0000}"/>
    <cellStyle name="Calculation 5 3 3 2" xfId="8044" xr:uid="{00000000-0005-0000-0000-00006C1F0000}"/>
    <cellStyle name="Calculation 5 3 3 2 2" xfId="34290" xr:uid="{350282C0-6F65-4894-A6BB-28D4F3D99938}"/>
    <cellStyle name="Calculation 5 3 3 3" xfId="34289" xr:uid="{DFA27229-124E-49DF-9D72-F18C112CAE9A}"/>
    <cellStyle name="Calculation 5 3 4" xfId="8045" xr:uid="{00000000-0005-0000-0000-00006D1F0000}"/>
    <cellStyle name="Calculation 5 3 4 2" xfId="34291" xr:uid="{C9B2E3F0-34EB-48E6-9732-2836942856A5}"/>
    <cellStyle name="Calculation 5 3 5" xfId="34284" xr:uid="{E7A4F329-9DE9-4646-A384-1B261CCE49D4}"/>
    <cellStyle name="Calculation 5 4" xfId="8046" xr:uid="{00000000-0005-0000-0000-00006E1F0000}"/>
    <cellStyle name="Calculation 5 4 2" xfId="8047" xr:uid="{00000000-0005-0000-0000-00006F1F0000}"/>
    <cellStyle name="Calculation 5 4 2 2" xfId="34293" xr:uid="{43AA3854-3B45-45DF-A400-B1572F6208F7}"/>
    <cellStyle name="Calculation 5 4 3" xfId="34292" xr:uid="{58D535E2-833B-4A6C-9871-840BEF191E19}"/>
    <cellStyle name="Calculation 5 5" xfId="8048" xr:uid="{00000000-0005-0000-0000-0000701F0000}"/>
    <cellStyle name="Calculation 5 5 2" xfId="34294" xr:uid="{DB2E79CE-9524-456F-811A-FC21B8458B54}"/>
    <cellStyle name="Calculation 5 6" xfId="34279" xr:uid="{DD02C1B0-F2B3-4FE6-997C-29447776F737}"/>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2 2 2" xfId="34297" xr:uid="{9636BD41-385A-4173-AF4E-CF4D76A21B45}"/>
    <cellStyle name="Check Cell 2 3 2 3" xfId="34296" xr:uid="{DBB86A3F-EB9B-46B4-B711-28A3EF7DD6D3}"/>
    <cellStyle name="Check Cell 2 3 3" xfId="8088" xr:uid="{00000000-0005-0000-0000-0000981F0000}"/>
    <cellStyle name="Check Cell 2 3 3 2" xfId="8089" xr:uid="{00000000-0005-0000-0000-0000991F0000}"/>
    <cellStyle name="Check Cell 2 3 3 2 2" xfId="8090" xr:uid="{00000000-0005-0000-0000-00009A1F0000}"/>
    <cellStyle name="Check Cell 2 3 3 2 2 2" xfId="34300" xr:uid="{44BFE38C-7E3D-440A-A565-A4BEFBCC805B}"/>
    <cellStyle name="Check Cell 2 3 3 2 3" xfId="34299" xr:uid="{28D45382-63DF-4AD3-885B-CB3A9D7757F4}"/>
    <cellStyle name="Check Cell 2 3 3 3" xfId="8091" xr:uid="{00000000-0005-0000-0000-00009B1F0000}"/>
    <cellStyle name="Check Cell 2 3 3 3 2" xfId="34301" xr:uid="{259FF85D-63D2-4E89-8B71-131F2A5704BA}"/>
    <cellStyle name="Check Cell 2 3 3 4" xfId="34298" xr:uid="{852DDB3C-4A93-405B-969F-0BEC9B7EAA92}"/>
    <cellStyle name="Check Cell 2 3 4" xfId="8092" xr:uid="{00000000-0005-0000-0000-00009C1F0000}"/>
    <cellStyle name="Check Cell 2 3 4 2" xfId="34302" xr:uid="{5EF93302-2D39-45C0-B2B7-CFD64B4B3854}"/>
    <cellStyle name="Check Cell 2 3 5" xfId="34295" xr:uid="{A8F33E28-4904-4178-A6D8-ED138B04F8D4}"/>
    <cellStyle name="Check Cell 2 4" xfId="8093" xr:uid="{00000000-0005-0000-0000-00009D1F0000}"/>
    <cellStyle name="Check Cell 2 4 2" xfId="8094" xr:uid="{00000000-0005-0000-0000-00009E1F0000}"/>
    <cellStyle name="Check Cell 2 4 2 2" xfId="8095" xr:uid="{00000000-0005-0000-0000-00009F1F0000}"/>
    <cellStyle name="Check Cell 2 4 2 2 2" xfId="34305" xr:uid="{88FA0290-11E8-4CC8-BD6D-0AA087FF250C}"/>
    <cellStyle name="Check Cell 2 4 2 3" xfId="34304" xr:uid="{41C16B1C-0310-4CDC-86D2-8021A90284B1}"/>
    <cellStyle name="Check Cell 2 4 3" xfId="8096" xr:uid="{00000000-0005-0000-0000-0000A01F0000}"/>
    <cellStyle name="Check Cell 2 4 3 2" xfId="34306" xr:uid="{41E26259-6394-4FED-95A2-F04632AF721B}"/>
    <cellStyle name="Check Cell 2 4 4" xfId="34303" xr:uid="{96829552-853E-4698-A751-884E33720828}"/>
    <cellStyle name="Check Cell 2 5" xfId="8097" xr:uid="{00000000-0005-0000-0000-0000A11F0000}"/>
    <cellStyle name="Check Cell 2 5 2" xfId="8098" xr:uid="{00000000-0005-0000-0000-0000A21F0000}"/>
    <cellStyle name="Check Cell 2 5 2 2" xfId="8099" xr:uid="{00000000-0005-0000-0000-0000A31F0000}"/>
    <cellStyle name="Check Cell 2 5 2 2 2" xfId="34309" xr:uid="{99B72425-799B-4385-A364-B48051FC8203}"/>
    <cellStyle name="Check Cell 2 5 2 3" xfId="34308" xr:uid="{673E9408-588B-4D8C-A893-46B0C03AA37F}"/>
    <cellStyle name="Check Cell 2 5 3" xfId="8100" xr:uid="{00000000-0005-0000-0000-0000A41F0000}"/>
    <cellStyle name="Check Cell 2 5 3 2" xfId="8101" xr:uid="{00000000-0005-0000-0000-0000A51F0000}"/>
    <cellStyle name="Check Cell 2 5 3 2 2" xfId="8102" xr:uid="{00000000-0005-0000-0000-0000A61F0000}"/>
    <cellStyle name="Check Cell 2 5 3 2 2 2" xfId="34312" xr:uid="{535C1292-DAC9-43B4-8F24-E1EAB1D51E12}"/>
    <cellStyle name="Check Cell 2 5 3 2 3" xfId="34311" xr:uid="{DCB0C6E1-0B46-47FC-B1F6-FB1642FD7293}"/>
    <cellStyle name="Check Cell 2 5 3 3" xfId="8103" xr:uid="{00000000-0005-0000-0000-0000A71F0000}"/>
    <cellStyle name="Check Cell 2 5 3 3 2" xfId="34313" xr:uid="{0C428ACE-5B3B-422F-A232-01B2B304F78D}"/>
    <cellStyle name="Check Cell 2 5 3 4" xfId="34310" xr:uid="{F84541D0-50A3-44A5-B2E9-C0A9D142A5F9}"/>
    <cellStyle name="Check Cell 2 5 4" xfId="8104" xr:uid="{00000000-0005-0000-0000-0000A81F0000}"/>
    <cellStyle name="Check Cell 2 5 4 2" xfId="34314" xr:uid="{52CA2FB0-4F95-48F1-8EEB-831165E13152}"/>
    <cellStyle name="Check Cell 2 5 5" xfId="34307" xr:uid="{E9D54D77-4DD0-44CE-99B8-640FB4D2A95A}"/>
    <cellStyle name="Check Cell 2 6" xfId="8105" xr:uid="{00000000-0005-0000-0000-0000A91F0000}"/>
    <cellStyle name="Check Cell 2 6 2" xfId="8106" xr:uid="{00000000-0005-0000-0000-0000AA1F0000}"/>
    <cellStyle name="Check Cell 2 6 2 2" xfId="8107" xr:uid="{00000000-0005-0000-0000-0000AB1F0000}"/>
    <cellStyle name="Check Cell 2 6 2 2 2" xfId="34316" xr:uid="{B422628E-5C90-4F93-A17B-6AE8D686B76F}"/>
    <cellStyle name="Check Cell 2 6 2 3" xfId="34315" xr:uid="{1F129020-B556-4D0C-9E4D-33BA4D11631B}"/>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2 9 3 2" xfId="34317" xr:uid="{8F493D6C-8BEE-4C5A-A1D1-305C98388A84}"/>
    <cellStyle name="Check Cell 3" xfId="8121" xr:uid="{00000000-0005-0000-0000-0000B91F0000}"/>
    <cellStyle name="Check Cell 3 2" xfId="8122" xr:uid="{00000000-0005-0000-0000-0000BA1F0000}"/>
    <cellStyle name="Check Cell 3 2 2" xfId="8123" xr:uid="{00000000-0005-0000-0000-0000BB1F0000}"/>
    <cellStyle name="Check Cell 3 2 2 2" xfId="34319" xr:uid="{9FD4FBB7-D60B-42B1-8403-2324DF19A54A}"/>
    <cellStyle name="Check Cell 3 2 3" xfId="34318" xr:uid="{11156BE6-F266-4CCE-8772-FBBFEBD1B042}"/>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2 2 2" xfId="34322" xr:uid="{53A74EF1-6290-4878-8E8F-55BAB1591EF0}"/>
    <cellStyle name="Check Cell 6 2 3" xfId="34321" xr:uid="{5A1F3AAA-BE31-4EFC-9F38-ACC27B54763E}"/>
    <cellStyle name="Check Cell 6 3" xfId="8150" xr:uid="{00000000-0005-0000-0000-0000D61F0000}"/>
    <cellStyle name="Check Cell 6 3 2" xfId="34323" xr:uid="{0BBD5554-3F60-449C-9D6A-4F250C6CA94E}"/>
    <cellStyle name="Check Cell 6 4" xfId="34320" xr:uid="{1501D9DA-5743-4B3A-978F-E37A4990DC1F}"/>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4997" xr:uid="{871AACC2-7734-4CAF-8D47-8AB4BC72C464}"/>
    <cellStyle name="Comma 33" xfId="35003" xr:uid="{415BF12C-AD20-4C1A-AADA-047C30E470AD}"/>
    <cellStyle name="Comma 34" xfId="34996" xr:uid="{1E1CBCF0-5DD1-4CBA-9CAE-441160BB474A}"/>
    <cellStyle name="Comma 35" xfId="52" xr:uid="{00000000-0005-0000-0000-000034000000}"/>
    <cellStyle name="Comma 36" xfId="35004" xr:uid="{31A21890-C833-4EF3-98C2-3ED94BA1CB9A}"/>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0" xfId="35005" xr:uid="{6321CB06-C076-46E1-8080-4BC86552F4F9}"/>
    <cellStyle name="Comma 41" xfId="35006" xr:uid="{A9452440-7F54-4F08-9BDB-38483F55A5EF}"/>
    <cellStyle name="Comma 42" xfId="35007" xr:uid="{F47F675A-CE0C-42E5-BBC5-88882A45E77B}"/>
    <cellStyle name="Comma 43" xfId="35008" xr:uid="{657C6827-12F2-4280-8EF5-3CD072FC7753}"/>
    <cellStyle name="Comma 44" xfId="35009" xr:uid="{56084793-9A78-44C8-99F9-8E9A0E2FAB71}"/>
    <cellStyle name="Comma 45" xfId="35010" xr:uid="{D839A856-80F2-4C9E-9A30-644BF2B42C48}"/>
    <cellStyle name="Comma 46" xfId="35011" xr:uid="{E918185D-71BB-40BF-B96C-6C119AA67D60}"/>
    <cellStyle name="Comma 47" xfId="35012" xr:uid="{BE2C017F-6C9F-437F-98A8-2FBFAF991F7A}"/>
    <cellStyle name="Comma 48" xfId="35013" xr:uid="{8398F768-C16E-46C9-A6EE-12BB1DAA3E8B}"/>
    <cellStyle name="Comma 49" xfId="35014" xr:uid="{6E54873D-9D79-45D6-9B7F-12C226EDB9B3}"/>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50" xfId="35015" xr:uid="{38E2EA86-504E-4297-87A5-645315228D95}"/>
    <cellStyle name="Comma 51" xfId="35016" xr:uid="{9CF2B5C8-927B-4E66-9161-F6F00217FB4C}"/>
    <cellStyle name="Comma 52" xfId="35017" xr:uid="{5BA5983E-E752-4B88-8B21-492E8C36BDB9}"/>
    <cellStyle name="Comma 53" xfId="35018" xr:uid="{34302603-A446-4550-8A26-834EDCF01FA4}"/>
    <cellStyle name="Comma 54" xfId="35019" xr:uid="{6D0C923C-3BEC-492B-B7EE-9C0AA67F02FB}"/>
    <cellStyle name="Comma 55" xfId="35020" xr:uid="{1D7A953F-3806-4570-8B48-C70BE7C04849}"/>
    <cellStyle name="Comma 56" xfId="35021" xr:uid="{3D7991E7-769B-42BF-8E6F-707A1EA6690B}"/>
    <cellStyle name="Comma 57" xfId="35022" xr:uid="{47E7F172-96D0-4C3D-A4C6-DA258727AEB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0 2 2" xfId="34325" xr:uid="{1E9D2B76-4608-4251-9E74-333766F1AFB6}"/>
    <cellStyle name="Good 2 10 3" xfId="34324" xr:uid="{D9353855-DB4D-459C-A03A-7527F5448E37}"/>
    <cellStyle name="Good 2 11" xfId="8555" xr:uid="{00000000-0005-0000-0000-00006B210000}"/>
    <cellStyle name="Good 2 11 2" xfId="34326" xr:uid="{FCE8E0B6-FD10-4243-A4F5-D08346B784CF}"/>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7 2 2" xfId="34328" xr:uid="{A810878F-775F-4049-9438-88575DD9442D}"/>
    <cellStyle name="Good 2 7 3" xfId="34327" xr:uid="{A73CABCA-EE69-49AA-9EB6-BA97FD249E06}"/>
    <cellStyle name="Good 2 8" xfId="8599" xr:uid="{00000000-0005-0000-0000-000097210000}"/>
    <cellStyle name="Good 2 8 2" xfId="8600" xr:uid="{00000000-0005-0000-0000-000098210000}"/>
    <cellStyle name="Good 2 8 2 2" xfId="8601" xr:uid="{00000000-0005-0000-0000-000099210000}"/>
    <cellStyle name="Good 2 8 2 2 2" xfId="34331" xr:uid="{375263CE-EE8B-40E4-A361-B59D224DFE44}"/>
    <cellStyle name="Good 2 8 2 3" xfId="34330" xr:uid="{7FC02721-ACE3-401A-984E-5A070CC0A040}"/>
    <cellStyle name="Good 2 8 3" xfId="8602" xr:uid="{00000000-0005-0000-0000-00009A210000}"/>
    <cellStyle name="Good 2 8 3 2" xfId="34332" xr:uid="{5CB0AE99-55FF-42E1-B730-8C6D6AD755C2}"/>
    <cellStyle name="Good 2 8 4" xfId="34329" xr:uid="{FB7F4DFA-5E40-408C-9702-761926B719BA}"/>
    <cellStyle name="Good 2 9" xfId="8603" xr:uid="{00000000-0005-0000-0000-00009B210000}"/>
    <cellStyle name="Good 2 9 2" xfId="8604" xr:uid="{00000000-0005-0000-0000-00009C210000}"/>
    <cellStyle name="Good 2 9 2 2" xfId="8605" xr:uid="{00000000-0005-0000-0000-00009D210000}"/>
    <cellStyle name="Good 2 9 2 2 2" xfId="34334" xr:uid="{F1CB22F5-4B2E-4407-81ED-EC300145AD40}"/>
    <cellStyle name="Good 2 9 2 3" xfId="34333" xr:uid="{8B309E8D-AFC8-4EBA-A38C-863BE9E47D89}"/>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4 5" xfId="34335" xr:uid="{6788108B-1529-44B9-B237-2C43B8BA0B1A}"/>
    <cellStyle name="Good 5" xfId="8625" xr:uid="{00000000-0005-0000-0000-0000B1210000}"/>
    <cellStyle name="Good 5 2" xfId="8626" xr:uid="{00000000-0005-0000-0000-0000B2210000}"/>
    <cellStyle name="Good 5 2 2" xfId="8627" xr:uid="{00000000-0005-0000-0000-0000B3210000}"/>
    <cellStyle name="Good 5 2 2 2" xfId="34338" xr:uid="{EF4CC92B-BAED-41A3-96CF-A0029F78451E}"/>
    <cellStyle name="Good 5 2 3" xfId="34337" xr:uid="{8FD63278-BD0D-4082-BB89-ADFBFB17B3E5}"/>
    <cellStyle name="Good 5 3" xfId="8628" xr:uid="{00000000-0005-0000-0000-0000B4210000}"/>
    <cellStyle name="Good 5 3 2" xfId="8629" xr:uid="{00000000-0005-0000-0000-0000B5210000}"/>
    <cellStyle name="Good 5 3 2 2" xfId="8630" xr:uid="{00000000-0005-0000-0000-0000B6210000}"/>
    <cellStyle name="Good 5 3 2 2 2" xfId="34341" xr:uid="{22FE4B99-A5FA-4326-9C24-2E9FFE726501}"/>
    <cellStyle name="Good 5 3 2 3" xfId="34340" xr:uid="{E73AAEF4-BCC1-4FCC-AD61-865C06825169}"/>
    <cellStyle name="Good 5 3 3" xfId="8631" xr:uid="{00000000-0005-0000-0000-0000B7210000}"/>
    <cellStyle name="Good 5 3 3 2" xfId="34342" xr:uid="{8C8A6FC9-3E34-411B-9F4B-64376C1E75FA}"/>
    <cellStyle name="Good 5 3 4" xfId="34339" xr:uid="{C10FA57F-1B5A-4E43-B543-4482F3C6CCE2}"/>
    <cellStyle name="Good 5 4" xfId="8632" xr:uid="{00000000-0005-0000-0000-0000B8210000}"/>
    <cellStyle name="Good 5 4 2" xfId="34343" xr:uid="{4FE0311F-F323-4924-981D-658BA24B594C}"/>
    <cellStyle name="Good 5 5" xfId="34336" xr:uid="{7B5B67CC-0B10-4701-8ECE-22F48E151F6F}"/>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Grey 2 2" xfId="34345" xr:uid="{3602987E-6192-4DC8-9D8C-F26F2254EE07}"/>
    <cellStyle name="Grey 3" xfId="34344" xr:uid="{C67B2F31-85B6-4458-B8E7-EE0F793FE3BD}"/>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yellow] 2 2" xfId="34347" xr:uid="{4A50AF21-AF74-415B-BC48-46B9A4663559}"/>
    <cellStyle name="Input [yellow] 3" xfId="34346" xr:uid="{743AA2BD-2F5F-43C2-A358-B5874D712E64}"/>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2 2 2" xfId="34351" xr:uid="{3C48E1C1-4DA0-4442-B604-B57BA71DC05F}"/>
    <cellStyle name="Input 100 2 2 3" xfId="34350" xr:uid="{47E2F2CC-3973-4194-951D-628698AFBB38}"/>
    <cellStyle name="Input 100 2 3" xfId="9359" xr:uid="{00000000-0005-0000-0000-00008F240000}"/>
    <cellStyle name="Input 100 2 3 2" xfId="34352" xr:uid="{81A86587-D564-49D2-8260-A2399966CF6A}"/>
    <cellStyle name="Input 100 2 4" xfId="34349" xr:uid="{12461FF7-5CEC-4999-A43A-6D6E6D595D7D}"/>
    <cellStyle name="Input 100 3" xfId="9360" xr:uid="{00000000-0005-0000-0000-000090240000}"/>
    <cellStyle name="Input 100 3 2" xfId="9361" xr:uid="{00000000-0005-0000-0000-000091240000}"/>
    <cellStyle name="Input 100 3 2 2" xfId="34354" xr:uid="{C1E833C0-D601-424F-934F-9AF5BC663A6E}"/>
    <cellStyle name="Input 100 3 3" xfId="34353" xr:uid="{DC6F8BD9-2954-4E76-8B0C-952CF2DBBF0C}"/>
    <cellStyle name="Input 100 4" xfId="9362" xr:uid="{00000000-0005-0000-0000-000092240000}"/>
    <cellStyle name="Input 100 4 2" xfId="34355" xr:uid="{99F788E2-8B85-4A43-8856-BE627992337C}"/>
    <cellStyle name="Input 100 5" xfId="34348" xr:uid="{8A3D0848-176D-4821-BD44-4F5ED735022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2 2 2" xfId="34359" xr:uid="{97941EA5-3D63-4133-92C5-09C259DF9A94}"/>
    <cellStyle name="Input 101 2 2 3" xfId="34358" xr:uid="{AF6348A9-7047-48D3-BF39-756BA5067D56}"/>
    <cellStyle name="Input 101 2 3" xfId="9367" xr:uid="{00000000-0005-0000-0000-000097240000}"/>
    <cellStyle name="Input 101 2 3 2" xfId="34360" xr:uid="{00BDA5AF-5972-49F3-8A81-2DB31750C0B5}"/>
    <cellStyle name="Input 101 2 4" xfId="34357" xr:uid="{731DA4D0-E169-4A03-B3DA-446B5EB0AE19}"/>
    <cellStyle name="Input 101 3" xfId="9368" xr:uid="{00000000-0005-0000-0000-000098240000}"/>
    <cellStyle name="Input 101 3 2" xfId="9369" xr:uid="{00000000-0005-0000-0000-000099240000}"/>
    <cellStyle name="Input 101 3 2 2" xfId="34362" xr:uid="{542D147F-B5E4-4F56-BE4A-2C8E58F50C6A}"/>
    <cellStyle name="Input 101 3 3" xfId="34361" xr:uid="{7F087C4C-6F3F-4ACC-BD00-8CDF9422658B}"/>
    <cellStyle name="Input 101 4" xfId="9370" xr:uid="{00000000-0005-0000-0000-00009A240000}"/>
    <cellStyle name="Input 101 4 2" xfId="34363" xr:uid="{59B97163-505C-4394-A4AA-DB1D01C697B9}"/>
    <cellStyle name="Input 101 5" xfId="34356" xr:uid="{542F96B6-47BB-4273-9860-20DD40EF658F}"/>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2 2 2" xfId="34367" xr:uid="{5816F080-820F-4529-867B-B2D22964B9CA}"/>
    <cellStyle name="Input 105 2 2 3" xfId="34366" xr:uid="{EC2737F0-B7E3-4809-A2D3-A46BF979E98C}"/>
    <cellStyle name="Input 105 2 3" xfId="9439" xr:uid="{00000000-0005-0000-0000-0000DF240000}"/>
    <cellStyle name="Input 105 2 3 2" xfId="34368" xr:uid="{CFF68E49-3D54-422A-B4DB-A28AB2933260}"/>
    <cellStyle name="Input 105 2 4" xfId="34365" xr:uid="{6F73B09B-B426-491C-BCE5-518A6D557786}"/>
    <cellStyle name="Input 105 3" xfId="9440" xr:uid="{00000000-0005-0000-0000-0000E0240000}"/>
    <cellStyle name="Input 105 3 2" xfId="9441" xr:uid="{00000000-0005-0000-0000-0000E1240000}"/>
    <cellStyle name="Input 105 3 2 2" xfId="34370" xr:uid="{5E82077D-BF31-49D2-A5D2-F43EEF0624F1}"/>
    <cellStyle name="Input 105 3 3" xfId="34369" xr:uid="{FC7B3B0B-EB81-4AD5-A6F7-CE9FE1C03C79}"/>
    <cellStyle name="Input 105 4" xfId="9442" xr:uid="{00000000-0005-0000-0000-0000E2240000}"/>
    <cellStyle name="Input 105 4 2" xfId="34371" xr:uid="{CEA621BF-E88A-47AB-A4DE-04112AB9A9A7}"/>
    <cellStyle name="Input 105 5" xfId="34364" xr:uid="{3037951C-E467-42A7-89AC-820592AD817E}"/>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2 2 2" xfId="34375" xr:uid="{3E5B65BD-4982-4B66-A544-85214B95C5F7}"/>
    <cellStyle name="Input 106 2 2 3" xfId="34374" xr:uid="{DE387781-3307-4F09-8D70-46650AEEA140}"/>
    <cellStyle name="Input 106 2 3" xfId="9447" xr:uid="{00000000-0005-0000-0000-0000E7240000}"/>
    <cellStyle name="Input 106 2 3 2" xfId="34376" xr:uid="{AA23F240-71DE-4097-A0C1-6FC96BC70F78}"/>
    <cellStyle name="Input 106 2 4" xfId="34373" xr:uid="{08ACC95A-F119-419C-B90B-1EBA6C0CA82D}"/>
    <cellStyle name="Input 106 3" xfId="9448" xr:uid="{00000000-0005-0000-0000-0000E8240000}"/>
    <cellStyle name="Input 106 3 2" xfId="9449" xr:uid="{00000000-0005-0000-0000-0000E9240000}"/>
    <cellStyle name="Input 106 3 2 2" xfId="34378" xr:uid="{967F9C42-B3FB-47C2-9BFF-2E63C271D60A}"/>
    <cellStyle name="Input 106 3 3" xfId="34377" xr:uid="{81B86B8D-C7CE-45D1-A63E-4B2971216878}"/>
    <cellStyle name="Input 106 4" xfId="9450" xr:uid="{00000000-0005-0000-0000-0000EA240000}"/>
    <cellStyle name="Input 106 4 2" xfId="34379" xr:uid="{0116E7F5-7B43-4781-9D02-C3A99E545BF5}"/>
    <cellStyle name="Input 106 5" xfId="34372" xr:uid="{3D46FFD9-6382-4A12-9088-E2E2E247C6D7}"/>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2 2 2" xfId="34383" xr:uid="{241C3B3C-1B70-481A-8282-58712ED531F2}"/>
    <cellStyle name="Input 107 2 2 3" xfId="34382" xr:uid="{F903E130-9963-40EA-ACA0-C2260134E040}"/>
    <cellStyle name="Input 107 2 3" xfId="9455" xr:uid="{00000000-0005-0000-0000-0000EF240000}"/>
    <cellStyle name="Input 107 2 3 2" xfId="34384" xr:uid="{F682AFB2-6872-4D4D-BB84-4E04C6CCBD7A}"/>
    <cellStyle name="Input 107 2 4" xfId="34381" xr:uid="{09CD6350-2543-4BC6-BDF7-C67D9CA96B9B}"/>
    <cellStyle name="Input 107 3" xfId="9456" xr:uid="{00000000-0005-0000-0000-0000F0240000}"/>
    <cellStyle name="Input 107 3 2" xfId="9457" xr:uid="{00000000-0005-0000-0000-0000F1240000}"/>
    <cellStyle name="Input 107 3 2 2" xfId="34386" xr:uid="{BB73F0A0-B7E6-4514-A934-F2F79443070F}"/>
    <cellStyle name="Input 107 3 3" xfId="34385" xr:uid="{458C6B95-1210-499A-8B89-98E22E9838C8}"/>
    <cellStyle name="Input 107 4" xfId="9458" xr:uid="{00000000-0005-0000-0000-0000F2240000}"/>
    <cellStyle name="Input 107 4 2" xfId="34387" xr:uid="{EFAB541C-AC17-458D-AD4A-D4A6E04AF229}"/>
    <cellStyle name="Input 107 5" xfId="34380" xr:uid="{E547BC49-F5DD-4498-BAB2-D6213823557A}"/>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2 2" xfId="34390" xr:uid="{8B91B9BA-855A-44A9-B8B7-2618E4DD03D6}"/>
    <cellStyle name="Input 2 10 3" xfId="9865" xr:uid="{00000000-0005-0000-0000-000089260000}"/>
    <cellStyle name="Input 2 10 3 2" xfId="34391" xr:uid="{52317A4B-7A5C-441C-B5F1-112C1A40AE37}"/>
    <cellStyle name="Input 2 10 4" xfId="34389" xr:uid="{E6227E15-74A3-45A0-8E57-44662C7FB059}"/>
    <cellStyle name="Input 2 11" xfId="9866" xr:uid="{00000000-0005-0000-0000-00008A260000}"/>
    <cellStyle name="Input 2 11 2" xfId="9867" xr:uid="{00000000-0005-0000-0000-00008B260000}"/>
    <cellStyle name="Input 2 12" xfId="9868" xr:uid="{00000000-0005-0000-0000-00008C260000}"/>
    <cellStyle name="Input 2 12 2" xfId="34392" xr:uid="{BE7B6792-D43A-428C-8159-B23596A4E0E9}"/>
    <cellStyle name="Input 2 13" xfId="9869" xr:uid="{00000000-0005-0000-0000-00008D260000}"/>
    <cellStyle name="Input 2 14" xfId="34388" xr:uid="{ECED83F1-56CA-472C-BE23-134B97A814DA}"/>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2 2 2" xfId="34395" xr:uid="{9BDB4B14-C0E9-464D-8257-E00B936CECDD}"/>
    <cellStyle name="Input 2 7 2 3" xfId="34394" xr:uid="{23AF7CEB-D4F1-44DB-BCEC-7779B72FF75A}"/>
    <cellStyle name="Input 2 7 3" xfId="9949" xr:uid="{00000000-0005-0000-0000-0000DD260000}"/>
    <cellStyle name="Input 2 7 3 2" xfId="34396" xr:uid="{FB9C3136-2417-4DC9-AF5C-0A21A778673C}"/>
    <cellStyle name="Input 2 7 4" xfId="34393" xr:uid="{C3717312-408E-454B-A836-E8705B39B788}"/>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2 2 2" xfId="34400" xr:uid="{73336DF3-9F70-43AE-B8B3-467C1F785AE1}"/>
    <cellStyle name="Input 2 8 2 2 3" xfId="34399" xr:uid="{01E5A531-C844-49BB-A397-584F5886C6F7}"/>
    <cellStyle name="Input 2 8 2 3" xfId="9954" xr:uid="{00000000-0005-0000-0000-0000E2260000}"/>
    <cellStyle name="Input 2 8 2 3 2" xfId="34401" xr:uid="{21598896-BF02-4C05-9AC1-06E78E5672CA}"/>
    <cellStyle name="Input 2 8 2 4" xfId="34398" xr:uid="{EC0BC3B4-ADF8-4924-9D0D-864A2FE01B87}"/>
    <cellStyle name="Input 2 8 3" xfId="9955" xr:uid="{00000000-0005-0000-0000-0000E3260000}"/>
    <cellStyle name="Input 2 8 3 2" xfId="9956" xr:uid="{00000000-0005-0000-0000-0000E4260000}"/>
    <cellStyle name="Input 2 8 3 2 2" xfId="34403" xr:uid="{5046BFA7-E3E9-4951-8163-A2489CD6C604}"/>
    <cellStyle name="Input 2 8 3 3" xfId="34402" xr:uid="{FC6F87FD-1237-462C-B6CA-67181F0E5040}"/>
    <cellStyle name="Input 2 8 4" xfId="9957" xr:uid="{00000000-0005-0000-0000-0000E5260000}"/>
    <cellStyle name="Input 2 8 4 2" xfId="34404" xr:uid="{6FDE4915-1030-4234-916B-898E4B8DB5BF}"/>
    <cellStyle name="Input 2 8 5" xfId="34397" xr:uid="{F9273E86-40E9-4B7F-BEDC-A025FD28FDFE}"/>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2 2 2" xfId="34407" xr:uid="{5B758CC4-C69D-4CFE-88E7-35AB62EA0382}"/>
    <cellStyle name="Input 2 9 2 2 3" xfId="34406" xr:uid="{FE39E617-443C-472F-819E-591D7B46A4C3}"/>
    <cellStyle name="Input 2 9 2 3" xfId="9962" xr:uid="{00000000-0005-0000-0000-0000EA260000}"/>
    <cellStyle name="Input 2 9 2 3 2" xfId="34408" xr:uid="{60A866F7-DB6B-4E43-A849-E68D370CC465}"/>
    <cellStyle name="Input 2 9 2 4" xfId="34405" xr:uid="{CBA4DA62-5030-4587-BBE8-F41C1D0AF510}"/>
    <cellStyle name="Input 2 9 3" xfId="9963" xr:uid="{00000000-0005-0000-0000-0000EB260000}"/>
    <cellStyle name="Input 2 9 3 2" xfId="9964" xr:uid="{00000000-0005-0000-0000-0000EC260000}"/>
    <cellStyle name="Input 2 9 3 2 2" xfId="34410" xr:uid="{3F0163E5-8004-4F8F-9EEA-1B83D8AC580A}"/>
    <cellStyle name="Input 2 9 3 3" xfId="34409" xr:uid="{B459BFDC-4053-44BF-90FA-1DA9BE96F52B}"/>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1 2 2" xfId="34413" xr:uid="{3D208C65-2FD9-4F45-8AB4-FBECA5775880}"/>
    <cellStyle name="Input 3 11 3" xfId="34412" xr:uid="{D9800E20-3382-4E71-B0D1-ACA9D8181C00}"/>
    <cellStyle name="Input 3 12" xfId="10053" xr:uid="{00000000-0005-0000-0000-000045270000}"/>
    <cellStyle name="Input 3 12 2" xfId="34414" xr:uid="{C0B1B5F7-0F72-4B44-8C69-09B32216C326}"/>
    <cellStyle name="Input 3 13" xfId="34411" xr:uid="{1ADEB842-5680-4CA4-A1E3-AAFBBF81AAC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2 2 2" xfId="34417" xr:uid="{F40A2894-5DA8-45D6-BF3D-4F588A2A3E64}"/>
    <cellStyle name="Input 3 7 2 3" xfId="34416" xr:uid="{68202F6E-E42C-4CFD-9507-81E80F6EBED2}"/>
    <cellStyle name="Input 3 7 3" xfId="10109" xr:uid="{00000000-0005-0000-0000-00007D270000}"/>
    <cellStyle name="Input 3 7 3 2" xfId="34418" xr:uid="{29FA925B-193B-4041-9D3E-405DACE26E35}"/>
    <cellStyle name="Input 3 7 4" xfId="34415" xr:uid="{15921068-7C20-4C54-83DB-C5EBF92C2858}"/>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2 2 2" xfId="34422" xr:uid="{C7DE9D3D-4DEC-4A4F-AE75-41E111078C42}"/>
    <cellStyle name="Input 3 8 2 2 3" xfId="34421" xr:uid="{BED4140C-B071-4EDC-B7CB-0A3AEDE53C69}"/>
    <cellStyle name="Input 3 8 2 3" xfId="10114" xr:uid="{00000000-0005-0000-0000-000082270000}"/>
    <cellStyle name="Input 3 8 2 3 2" xfId="34423" xr:uid="{5EA85742-3D2E-4F7F-848A-38771A8147E2}"/>
    <cellStyle name="Input 3 8 2 4" xfId="34420" xr:uid="{BA6D6B03-F6F3-4629-BDC9-DC28D276D1E8}"/>
    <cellStyle name="Input 3 8 3" xfId="10115" xr:uid="{00000000-0005-0000-0000-000083270000}"/>
    <cellStyle name="Input 3 8 3 2" xfId="10116" xr:uid="{00000000-0005-0000-0000-000084270000}"/>
    <cellStyle name="Input 3 8 3 2 2" xfId="34425" xr:uid="{5EA16102-451D-45D6-8161-2361578C0257}"/>
    <cellStyle name="Input 3 8 3 3" xfId="34424" xr:uid="{870C5C70-A5BC-4516-9AEE-77C6795DDDFD}"/>
    <cellStyle name="Input 3 8 4" xfId="10117" xr:uid="{00000000-0005-0000-0000-000085270000}"/>
    <cellStyle name="Input 3 8 4 2" xfId="34426" xr:uid="{78A19EA8-7156-49CE-9359-2ED75145ACF9}"/>
    <cellStyle name="Input 3 8 5" xfId="34419" xr:uid="{2DF6A6D8-A970-47FA-A9EB-35BCB6FA2581}"/>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10" xfId="34427" xr:uid="{8C894616-850D-46E9-8CB2-26D0301D9A09}"/>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2 2 2" xfId="34431" xr:uid="{93C72B3A-9E5F-4FDF-B9E5-8F3F4F71F7A0}"/>
    <cellStyle name="Input 48 2 2 3" xfId="34430" xr:uid="{5FCFE9E8-534B-41B5-94FA-80B086CE850D}"/>
    <cellStyle name="Input 48 2 3" xfId="10374" xr:uid="{00000000-0005-0000-0000-000086280000}"/>
    <cellStyle name="Input 48 2 3 2" xfId="34432" xr:uid="{0F48D52F-2918-4E8F-9CCC-8A8E0E9EFB72}"/>
    <cellStyle name="Input 48 2 4" xfId="34429" xr:uid="{EE84BE86-B1CF-4FFF-8BA1-A00F6410CF81}"/>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2 2 2" xfId="34436" xr:uid="{A1FFABF9-D5B7-49DE-949B-D9A7D2E4952D}"/>
    <cellStyle name="Input 48 3 2 2 3" xfId="34435" xr:uid="{5C7F7F60-9616-4D0E-8613-D271269DACD9}"/>
    <cellStyle name="Input 48 3 2 3" xfId="10379" xr:uid="{00000000-0005-0000-0000-00008B280000}"/>
    <cellStyle name="Input 48 3 2 3 2" xfId="34437" xr:uid="{580937D4-4804-4597-BD56-5B0C09F12AD4}"/>
    <cellStyle name="Input 48 3 2 4" xfId="34434" xr:uid="{0BD10D2B-4EBC-4BCA-9ABA-A47D4E23A105}"/>
    <cellStyle name="Input 48 3 3" xfId="10380" xr:uid="{00000000-0005-0000-0000-00008C280000}"/>
    <cellStyle name="Input 48 3 3 2" xfId="10381" xr:uid="{00000000-0005-0000-0000-00008D280000}"/>
    <cellStyle name="Input 48 3 3 2 2" xfId="34439" xr:uid="{7FD63C92-0579-4F33-9343-D0017C5D0304}"/>
    <cellStyle name="Input 48 3 3 3" xfId="34438" xr:uid="{D36EBB16-494A-4647-95D2-95378F0EB58A}"/>
    <cellStyle name="Input 48 3 4" xfId="10382" xr:uid="{00000000-0005-0000-0000-00008E280000}"/>
    <cellStyle name="Input 48 3 4 2" xfId="34440" xr:uid="{ADC8AEAB-57D9-4B8E-B1A3-AB96FA62A3AD}"/>
    <cellStyle name="Input 48 3 5" xfId="34433" xr:uid="{0005C611-AB76-40B9-9101-D834E65407C9}"/>
    <cellStyle name="Input 48 4" xfId="10383" xr:uid="{00000000-0005-0000-0000-00008F280000}"/>
    <cellStyle name="Input 48 4 2" xfId="10384" xr:uid="{00000000-0005-0000-0000-000090280000}"/>
    <cellStyle name="Input 48 4 2 2" xfId="34442" xr:uid="{B39F919C-7F3C-49C1-AFBD-8B6E0B83DAA7}"/>
    <cellStyle name="Input 48 4 3" xfId="34441" xr:uid="{B5169AC9-132C-4FFA-82CC-5CDCBDA5F58F}"/>
    <cellStyle name="Input 48 5" xfId="10385" xr:uid="{00000000-0005-0000-0000-000091280000}"/>
    <cellStyle name="Input 48 5 2" xfId="34443" xr:uid="{6422FB29-A25F-4D3F-A23C-74877A64AEDA}"/>
    <cellStyle name="Input 48 6" xfId="34428" xr:uid="{5669A019-A68C-400A-BA38-2A97830A7A44}"/>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2 2 2" xfId="34447" xr:uid="{F928963E-19C7-4335-B975-9540C50D5BE8}"/>
    <cellStyle name="Input 49 2 2 3" xfId="34446" xr:uid="{AAF7658C-0764-4ECB-A46D-79496C5E2657}"/>
    <cellStyle name="Input 49 2 3" xfId="10390" xr:uid="{00000000-0005-0000-0000-000096280000}"/>
    <cellStyle name="Input 49 2 3 2" xfId="34448" xr:uid="{C08D5AEA-B65C-4EC8-8755-FC0E5B2C7DDB}"/>
    <cellStyle name="Input 49 2 4" xfId="34445" xr:uid="{9FB1ECB3-6BC9-4BD9-8349-48D5A5BC47EA}"/>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2 2 2" xfId="34452" xr:uid="{3ACD9F02-39CA-445D-838A-0C9F2BC690D8}"/>
    <cellStyle name="Input 49 3 2 2 3" xfId="34451" xr:uid="{4EB9E604-AFD6-40FB-9C29-5DD17306A623}"/>
    <cellStyle name="Input 49 3 2 3" xfId="10395" xr:uid="{00000000-0005-0000-0000-00009B280000}"/>
    <cellStyle name="Input 49 3 2 3 2" xfId="34453" xr:uid="{9F3A2B2D-3A43-468E-A754-81F46B126389}"/>
    <cellStyle name="Input 49 3 2 4" xfId="34450" xr:uid="{6529110F-DAA8-459F-B2F1-04EA5220C801}"/>
    <cellStyle name="Input 49 3 3" xfId="10396" xr:uid="{00000000-0005-0000-0000-00009C280000}"/>
    <cellStyle name="Input 49 3 3 2" xfId="10397" xr:uid="{00000000-0005-0000-0000-00009D280000}"/>
    <cellStyle name="Input 49 3 3 2 2" xfId="34455" xr:uid="{D538E0C0-20C2-4356-B9EF-10F70070D471}"/>
    <cellStyle name="Input 49 3 3 3" xfId="34454" xr:uid="{1CEFB234-FF99-4A02-A214-93D00C12D09D}"/>
    <cellStyle name="Input 49 3 4" xfId="10398" xr:uid="{00000000-0005-0000-0000-00009E280000}"/>
    <cellStyle name="Input 49 3 4 2" xfId="34456" xr:uid="{FAA2AAAD-8D29-47DE-BC87-1F312DCEED54}"/>
    <cellStyle name="Input 49 3 5" xfId="34449" xr:uid="{E86B41D5-B3F7-4E45-9305-8CC4DE368C03}"/>
    <cellStyle name="Input 49 4" xfId="10399" xr:uid="{00000000-0005-0000-0000-00009F280000}"/>
    <cellStyle name="Input 49 4 2" xfId="10400" xr:uid="{00000000-0005-0000-0000-0000A0280000}"/>
    <cellStyle name="Input 49 4 2 2" xfId="34458" xr:uid="{85264FBB-C95D-4A63-9FBA-8F592B2A208F}"/>
    <cellStyle name="Input 49 4 3" xfId="34457" xr:uid="{7795C5DB-F5C8-4A16-AC2A-6DB04674A2C3}"/>
    <cellStyle name="Input 49 5" xfId="10401" xr:uid="{00000000-0005-0000-0000-0000A1280000}"/>
    <cellStyle name="Input 49 5 2" xfId="34459" xr:uid="{51C47255-BD07-4A89-A1F9-1452AAD4858D}"/>
    <cellStyle name="Input 49 6" xfId="34444" xr:uid="{20E83658-D03D-490E-95A0-605D913A826B}"/>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2 2 2" xfId="34463" xr:uid="{27DA4802-DB16-4ECC-BF8B-4DE701CF0430}"/>
    <cellStyle name="Input 5 3 2 2 3" xfId="34462" xr:uid="{3F9136B6-B367-4037-9A45-71C48D387376}"/>
    <cellStyle name="Input 5 3 2 3" xfId="10423" xr:uid="{00000000-0005-0000-0000-0000B7280000}"/>
    <cellStyle name="Input 5 3 2 3 2" xfId="34464" xr:uid="{563A542E-ADB1-4D3A-9018-DDE5E8710A60}"/>
    <cellStyle name="Input 5 3 2 4" xfId="34461" xr:uid="{7C7F348F-DC1D-4F14-B782-730D64CD697F}"/>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2 2 2" xfId="34468" xr:uid="{1860E90C-F0DD-4E36-AACA-C7424635CB87}"/>
    <cellStyle name="Input 5 3 3 2 2 3" xfId="34467" xr:uid="{9504043E-4ECB-4D90-993C-7EA972D61893}"/>
    <cellStyle name="Input 5 3 3 2 3" xfId="10428" xr:uid="{00000000-0005-0000-0000-0000BC280000}"/>
    <cellStyle name="Input 5 3 3 2 3 2" xfId="34469" xr:uid="{EA157AA9-1D9F-4C28-80F6-D00152AD3DBB}"/>
    <cellStyle name="Input 5 3 3 2 4" xfId="34466" xr:uid="{B39FFB27-0A17-4008-85C4-BF96C5C05240}"/>
    <cellStyle name="Input 5 3 3 3" xfId="10429" xr:uid="{00000000-0005-0000-0000-0000BD280000}"/>
    <cellStyle name="Input 5 3 3 3 2" xfId="10430" xr:uid="{00000000-0005-0000-0000-0000BE280000}"/>
    <cellStyle name="Input 5 3 3 3 2 2" xfId="34471" xr:uid="{EBCA1A44-4F6F-4D37-A5A3-24D770393E29}"/>
    <cellStyle name="Input 5 3 3 3 3" xfId="34470" xr:uid="{4A8B5252-286F-4FE7-B6B2-6A83827431E6}"/>
    <cellStyle name="Input 5 3 3 4" xfId="10431" xr:uid="{00000000-0005-0000-0000-0000BF280000}"/>
    <cellStyle name="Input 5 3 3 4 2" xfId="34472" xr:uid="{F3CB8F1E-18D0-4BFE-98BF-3CB14D0A7999}"/>
    <cellStyle name="Input 5 3 3 5" xfId="34465" xr:uid="{A6CC100D-F279-4629-B1C3-E0657793D1A9}"/>
    <cellStyle name="Input 5 3 4" xfId="10432" xr:uid="{00000000-0005-0000-0000-0000C0280000}"/>
    <cellStyle name="Input 5 3 4 2" xfId="10433" xr:uid="{00000000-0005-0000-0000-0000C1280000}"/>
    <cellStyle name="Input 5 3 4 2 2" xfId="34474" xr:uid="{0D5C2B37-FEB6-40B3-A69F-87CA04159E72}"/>
    <cellStyle name="Input 5 3 4 3" xfId="34473" xr:uid="{9A6DFDE6-3659-436E-9B9B-C854CAE714F3}"/>
    <cellStyle name="Input 5 3 5" xfId="10434" xr:uid="{00000000-0005-0000-0000-0000C2280000}"/>
    <cellStyle name="Input 5 3 5 2" xfId="34475" xr:uid="{D267DE03-0DA8-4266-9AA0-EE3308707636}"/>
    <cellStyle name="Input 5 3 6" xfId="34460" xr:uid="{B9F3FFA5-85D1-493D-8881-348F8C4833ED}"/>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2 2 2" xfId="34479" xr:uid="{57CA5FD2-33F0-4CE8-8192-7B5F95238F39}"/>
    <cellStyle name="Input 50 2 2 3" xfId="34478" xr:uid="{23C3D25F-4D05-4FDA-8A65-2B9B1D8B5DB5}"/>
    <cellStyle name="Input 50 2 3" xfId="10478" xr:uid="{00000000-0005-0000-0000-0000EE280000}"/>
    <cellStyle name="Input 50 2 3 2" xfId="34480" xr:uid="{A0A67876-332C-47F9-A5ED-0404B4F04F88}"/>
    <cellStyle name="Input 50 2 4" xfId="34477" xr:uid="{516CA66D-930C-4613-BB45-21D7E288A496}"/>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2 2 2" xfId="34484" xr:uid="{56DED30D-8008-4793-BDF8-EFD4ACE5709C}"/>
    <cellStyle name="Input 50 3 2 2 3" xfId="34483" xr:uid="{552B9C64-D1AF-40A6-93CB-94AC89BA1DD5}"/>
    <cellStyle name="Input 50 3 2 3" xfId="10483" xr:uid="{00000000-0005-0000-0000-0000F3280000}"/>
    <cellStyle name="Input 50 3 2 3 2" xfId="34485" xr:uid="{0C662A87-B7AC-45E0-AA2D-62EFB6B7E416}"/>
    <cellStyle name="Input 50 3 2 4" xfId="34482" xr:uid="{3CACB4C8-B064-4F8B-BD98-806E8F88B71E}"/>
    <cellStyle name="Input 50 3 3" xfId="10484" xr:uid="{00000000-0005-0000-0000-0000F4280000}"/>
    <cellStyle name="Input 50 3 3 2" xfId="10485" xr:uid="{00000000-0005-0000-0000-0000F5280000}"/>
    <cellStyle name="Input 50 3 3 2 2" xfId="34487" xr:uid="{5B202EFC-0CE8-45CC-AD83-6921371FFC57}"/>
    <cellStyle name="Input 50 3 3 3" xfId="34486" xr:uid="{00A7FEC6-1490-4539-A723-7CF72D0E4B04}"/>
    <cellStyle name="Input 50 3 4" xfId="10486" xr:uid="{00000000-0005-0000-0000-0000F6280000}"/>
    <cellStyle name="Input 50 3 4 2" xfId="34488" xr:uid="{33A95221-0B2F-4C55-A38C-D4EA70B72F15}"/>
    <cellStyle name="Input 50 3 5" xfId="34481" xr:uid="{1695620B-25C5-46C5-A3F6-0FB2206EF922}"/>
    <cellStyle name="Input 50 4" xfId="10487" xr:uid="{00000000-0005-0000-0000-0000F7280000}"/>
    <cellStyle name="Input 50 4 2" xfId="10488" xr:uid="{00000000-0005-0000-0000-0000F8280000}"/>
    <cellStyle name="Input 50 4 2 2" xfId="34490" xr:uid="{16670627-4126-4A0E-892D-C323F084CC68}"/>
    <cellStyle name="Input 50 4 3" xfId="34489" xr:uid="{31F23187-CE68-4B58-AD5E-00F0B593F1E0}"/>
    <cellStyle name="Input 50 5" xfId="10489" xr:uid="{00000000-0005-0000-0000-0000F9280000}"/>
    <cellStyle name="Input 50 5 2" xfId="34491" xr:uid="{8BFB5CA4-9933-43E8-9D6F-69DB52B7D211}"/>
    <cellStyle name="Input 50 6" xfId="34476" xr:uid="{8F951710-C5F6-4D9E-958B-A160CEF29A33}"/>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2 2 2" xfId="34495" xr:uid="{12F3703B-FEC7-4D53-9E6A-DE681B113581}"/>
    <cellStyle name="Input 51 2 2 3" xfId="34494" xr:uid="{CE1DA70D-057C-495D-BEBD-ADD03ED67443}"/>
    <cellStyle name="Input 51 2 3" xfId="10494" xr:uid="{00000000-0005-0000-0000-0000FE280000}"/>
    <cellStyle name="Input 51 2 3 2" xfId="34496" xr:uid="{BF45D624-5568-4435-8352-6E30476F3BF7}"/>
    <cellStyle name="Input 51 2 4" xfId="34493" xr:uid="{A4281A62-2738-4A82-AC21-EFC63F9B4D24}"/>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2 2 2" xfId="34500" xr:uid="{351A3746-3E17-4EBE-ACCD-B121C9F16696}"/>
    <cellStyle name="Input 51 3 2 2 3" xfId="34499" xr:uid="{095E8BE2-593C-4E62-B1FB-D9FD11891FDA}"/>
    <cellStyle name="Input 51 3 2 3" xfId="10499" xr:uid="{00000000-0005-0000-0000-000003290000}"/>
    <cellStyle name="Input 51 3 2 3 2" xfId="34501" xr:uid="{43D84438-5067-48FB-AE48-AE848665316B}"/>
    <cellStyle name="Input 51 3 2 4" xfId="34498" xr:uid="{7D0B4F3A-8FC1-4E6B-BA82-72CCDEA72135}"/>
    <cellStyle name="Input 51 3 3" xfId="10500" xr:uid="{00000000-0005-0000-0000-000004290000}"/>
    <cellStyle name="Input 51 3 3 2" xfId="10501" xr:uid="{00000000-0005-0000-0000-000005290000}"/>
    <cellStyle name="Input 51 3 3 2 2" xfId="34503" xr:uid="{F3FC516F-26F4-4B3C-8530-30C727A62FAF}"/>
    <cellStyle name="Input 51 3 3 3" xfId="34502" xr:uid="{43589C4D-5F3A-4712-BED8-52F22D4631BD}"/>
    <cellStyle name="Input 51 3 4" xfId="10502" xr:uid="{00000000-0005-0000-0000-000006290000}"/>
    <cellStyle name="Input 51 3 4 2" xfId="34504" xr:uid="{C774506B-F799-4B7D-AFB2-7D1EBBE2A963}"/>
    <cellStyle name="Input 51 3 5" xfId="34497" xr:uid="{34B0D392-DE83-4276-9957-F257741BAADE}"/>
    <cellStyle name="Input 51 4" xfId="10503" xr:uid="{00000000-0005-0000-0000-000007290000}"/>
    <cellStyle name="Input 51 4 2" xfId="10504" xr:uid="{00000000-0005-0000-0000-000008290000}"/>
    <cellStyle name="Input 51 4 2 2" xfId="34506" xr:uid="{6CBB0AC7-5C78-4011-B42B-FEE9FB780E02}"/>
    <cellStyle name="Input 51 4 3" xfId="34505" xr:uid="{DE70D929-5B76-43E6-B638-9E7CE70D4CF2}"/>
    <cellStyle name="Input 51 5" xfId="10505" xr:uid="{00000000-0005-0000-0000-000009290000}"/>
    <cellStyle name="Input 51 5 2" xfId="34507" xr:uid="{188D7876-34B0-4A84-B112-B5085C62FF91}"/>
    <cellStyle name="Input 51 6" xfId="34492" xr:uid="{78466F8D-00D1-4933-8465-828E96374FE2}"/>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2 2 2" xfId="34511" xr:uid="{A3096E8A-9226-4861-BDCF-9C838D41FA03}"/>
    <cellStyle name="Input 58 2 2 3" xfId="34510" xr:uid="{2F4A0362-1834-43F7-A7E8-6F0029F9C226}"/>
    <cellStyle name="Input 58 2 3" xfId="10558" xr:uid="{00000000-0005-0000-0000-00003E290000}"/>
    <cellStyle name="Input 58 2 3 2" xfId="34512" xr:uid="{2ADB2518-3C9E-4C28-9F65-34AC767272CC}"/>
    <cellStyle name="Input 58 2 4" xfId="34509" xr:uid="{63E55FFD-8368-432E-A350-5B52872F6096}"/>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2 2 2" xfId="34516" xr:uid="{E7E2B430-A0F1-44C8-AEB2-53595714A92A}"/>
    <cellStyle name="Input 58 3 2 2 3" xfId="34515" xr:uid="{2B4A6181-04BF-482B-B396-BC88E598C940}"/>
    <cellStyle name="Input 58 3 2 3" xfId="10563" xr:uid="{00000000-0005-0000-0000-000043290000}"/>
    <cellStyle name="Input 58 3 2 3 2" xfId="34517" xr:uid="{1B6333A8-22C3-4EDD-ADC9-0D4AA2E4E354}"/>
    <cellStyle name="Input 58 3 2 4" xfId="34514" xr:uid="{EC83F98A-39C3-4E7F-901F-E4E9C88933C4}"/>
    <cellStyle name="Input 58 3 3" xfId="10564" xr:uid="{00000000-0005-0000-0000-000044290000}"/>
    <cellStyle name="Input 58 3 3 2" xfId="10565" xr:uid="{00000000-0005-0000-0000-000045290000}"/>
    <cellStyle name="Input 58 3 3 2 2" xfId="34519" xr:uid="{987D0375-6ECD-4578-8620-A1F71C5AF2AF}"/>
    <cellStyle name="Input 58 3 3 3" xfId="34518" xr:uid="{072B7DED-CF2B-410B-8AD6-4634C710C065}"/>
    <cellStyle name="Input 58 3 4" xfId="10566" xr:uid="{00000000-0005-0000-0000-000046290000}"/>
    <cellStyle name="Input 58 3 4 2" xfId="34520" xr:uid="{C4E838C2-4BED-4504-9CE4-A8597CC50096}"/>
    <cellStyle name="Input 58 3 5" xfId="34513" xr:uid="{7776AE3C-2BF2-4FDE-B4B5-A469EDF67D92}"/>
    <cellStyle name="Input 58 4" xfId="10567" xr:uid="{00000000-0005-0000-0000-000047290000}"/>
    <cellStyle name="Input 58 4 2" xfId="10568" xr:uid="{00000000-0005-0000-0000-000048290000}"/>
    <cellStyle name="Input 58 4 2 2" xfId="34522" xr:uid="{54183C63-6890-4545-B9D6-40E006659F99}"/>
    <cellStyle name="Input 58 4 3" xfId="34521" xr:uid="{21ACADC7-43FE-43E9-BE70-C2611C4A0E4F}"/>
    <cellStyle name="Input 58 5" xfId="10569" xr:uid="{00000000-0005-0000-0000-000049290000}"/>
    <cellStyle name="Input 58 5 2" xfId="34523" xr:uid="{06165E02-8397-4C12-912B-A36D8B6D17F1}"/>
    <cellStyle name="Input 58 6" xfId="34508" xr:uid="{5381BECA-4AAB-4957-8187-C891E3C36F48}"/>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2 2 2" xfId="34527" xr:uid="{3322FE73-1D00-460D-AEE9-0ECF48D64B8C}"/>
    <cellStyle name="Input 59 2 2 3" xfId="34526" xr:uid="{9B6B2065-27B6-45CF-9E61-BCEA537C842C}"/>
    <cellStyle name="Input 59 2 3" xfId="10574" xr:uid="{00000000-0005-0000-0000-00004E290000}"/>
    <cellStyle name="Input 59 2 3 2" xfId="34528" xr:uid="{1414F70F-414C-40B1-BED7-B7E703401968}"/>
    <cellStyle name="Input 59 2 4" xfId="34525" xr:uid="{8D6FE21B-E1A2-47D1-BE2E-EC54386854F6}"/>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2 2 2" xfId="34532" xr:uid="{D340C5BE-2CFB-4E5F-BA96-8495799EF68F}"/>
    <cellStyle name="Input 59 3 2 2 3" xfId="34531" xr:uid="{C77BF33A-E88E-41A1-AE30-A09C92443D9D}"/>
    <cellStyle name="Input 59 3 2 3" xfId="10579" xr:uid="{00000000-0005-0000-0000-000053290000}"/>
    <cellStyle name="Input 59 3 2 3 2" xfId="34533" xr:uid="{89070A2A-98BF-4A16-99FE-6DA5476F55C6}"/>
    <cellStyle name="Input 59 3 2 4" xfId="34530" xr:uid="{8E6AA5BA-4AEB-4703-9DE3-15FD8364494C}"/>
    <cellStyle name="Input 59 3 3" xfId="10580" xr:uid="{00000000-0005-0000-0000-000054290000}"/>
    <cellStyle name="Input 59 3 3 2" xfId="10581" xr:uid="{00000000-0005-0000-0000-000055290000}"/>
    <cellStyle name="Input 59 3 3 2 2" xfId="34535" xr:uid="{6F3758AA-A5CF-46AD-9D84-C6BB76C34646}"/>
    <cellStyle name="Input 59 3 3 3" xfId="34534" xr:uid="{F5E39A4F-D040-434E-95B1-A792A9BA7065}"/>
    <cellStyle name="Input 59 3 4" xfId="10582" xr:uid="{00000000-0005-0000-0000-000056290000}"/>
    <cellStyle name="Input 59 3 4 2" xfId="34536" xr:uid="{32E64E88-6558-4997-A449-6F9E2F2A5601}"/>
    <cellStyle name="Input 59 3 5" xfId="34529" xr:uid="{9F9D6A48-0804-42A5-BF8F-21F160F76E75}"/>
    <cellStyle name="Input 59 4" xfId="10583" xr:uid="{00000000-0005-0000-0000-000057290000}"/>
    <cellStyle name="Input 59 4 2" xfId="10584" xr:uid="{00000000-0005-0000-0000-000058290000}"/>
    <cellStyle name="Input 59 4 2 2" xfId="34538" xr:uid="{B4EFEFE0-BCB7-48BC-80F5-D23515DA8250}"/>
    <cellStyle name="Input 59 4 3" xfId="34537" xr:uid="{52EE7B52-816D-4933-B1EF-562AE63B6F6E}"/>
    <cellStyle name="Input 59 5" xfId="10585" xr:uid="{00000000-0005-0000-0000-000059290000}"/>
    <cellStyle name="Input 59 5 2" xfId="34539" xr:uid="{3991CD42-1F43-40DA-BF42-27F900706D06}"/>
    <cellStyle name="Input 59 6" xfId="34524" xr:uid="{7B95E09A-1B6B-41F4-9D4E-3A55C884278E}"/>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2 2 2" xfId="34543" xr:uid="{F2B4743F-85CE-4C38-8518-E77FBE57FEF5}"/>
    <cellStyle name="Input 60 2 2 3" xfId="34542" xr:uid="{F8B59D86-6B01-4E6E-A1DB-9C89B9851D2C}"/>
    <cellStyle name="Input 60 2 3" xfId="10646" xr:uid="{00000000-0005-0000-0000-000096290000}"/>
    <cellStyle name="Input 60 2 3 2" xfId="34544" xr:uid="{7CFE60FE-7A52-4ADC-B16C-E9096B6D2C15}"/>
    <cellStyle name="Input 60 2 4" xfId="34541" xr:uid="{B1E80463-154E-4441-8A36-CEF20CA459D1}"/>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2 2 2" xfId="34548" xr:uid="{60776DC2-6FDE-421D-A612-B0FACDDF4D40}"/>
    <cellStyle name="Input 60 3 2 2 3" xfId="34547" xr:uid="{BE0A3F6C-1463-491B-BBB1-2D67C360BF39}"/>
    <cellStyle name="Input 60 3 2 3" xfId="10651" xr:uid="{00000000-0005-0000-0000-00009B290000}"/>
    <cellStyle name="Input 60 3 2 3 2" xfId="34549" xr:uid="{18C80A29-3534-49BF-AD6A-C1DC7F11DFDC}"/>
    <cellStyle name="Input 60 3 2 4" xfId="34546" xr:uid="{6337BE9E-0FFE-44EB-8AAA-0FCC84ED27F7}"/>
    <cellStyle name="Input 60 3 3" xfId="10652" xr:uid="{00000000-0005-0000-0000-00009C290000}"/>
    <cellStyle name="Input 60 3 3 2" xfId="10653" xr:uid="{00000000-0005-0000-0000-00009D290000}"/>
    <cellStyle name="Input 60 3 3 2 2" xfId="34551" xr:uid="{5C7F1AF9-437C-4A4F-B5DE-92826864F155}"/>
    <cellStyle name="Input 60 3 3 3" xfId="34550" xr:uid="{1F6E3600-1462-41A8-81DD-1FC71BA28FF9}"/>
    <cellStyle name="Input 60 3 4" xfId="10654" xr:uid="{00000000-0005-0000-0000-00009E290000}"/>
    <cellStyle name="Input 60 3 4 2" xfId="34552" xr:uid="{3BFC1A55-0E17-410C-9DBE-367ECAC0C965}"/>
    <cellStyle name="Input 60 3 5" xfId="34545" xr:uid="{BC2EB74A-70FA-4C03-BB1C-2E0E42EBCF4C}"/>
    <cellStyle name="Input 60 4" xfId="10655" xr:uid="{00000000-0005-0000-0000-00009F290000}"/>
    <cellStyle name="Input 60 4 2" xfId="10656" xr:uid="{00000000-0005-0000-0000-0000A0290000}"/>
    <cellStyle name="Input 60 4 2 2" xfId="34554" xr:uid="{C7F538FB-5810-4344-B2D2-33A8F5B79E9E}"/>
    <cellStyle name="Input 60 4 3" xfId="34553" xr:uid="{3C0101FB-4CAF-4440-A689-3A8AE6602D48}"/>
    <cellStyle name="Input 60 5" xfId="10657" xr:uid="{00000000-0005-0000-0000-0000A1290000}"/>
    <cellStyle name="Input 60 5 2" xfId="34555" xr:uid="{70CB4D11-8D92-44F1-ADEF-9977BF155889}"/>
    <cellStyle name="Input 60 6" xfId="34540" xr:uid="{A22ABC11-FAD6-49B1-B3A2-84DB7937EBC3}"/>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2 2 2" xfId="34559" xr:uid="{0F70DEC7-A545-4F2E-B977-1006E8B6728A}"/>
    <cellStyle name="Input 61 2 2 3" xfId="34558" xr:uid="{5E80D1E6-B6E7-43CC-9D77-64E70EA7FFFC}"/>
    <cellStyle name="Input 61 2 3" xfId="10662" xr:uid="{00000000-0005-0000-0000-0000A6290000}"/>
    <cellStyle name="Input 61 2 3 2" xfId="34560" xr:uid="{AC7B5D0A-78D1-4662-83CD-81EE60DDA5BD}"/>
    <cellStyle name="Input 61 2 4" xfId="34557" xr:uid="{493A2E9E-71C3-46F5-A38B-042100AB365B}"/>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2 2 2" xfId="34564" xr:uid="{D8D3BDA8-C7DD-4393-9332-EF27BB0D1DB3}"/>
    <cellStyle name="Input 61 3 2 2 3" xfId="34563" xr:uid="{D5C7F5D9-7A93-4FBB-8643-797C67695AFB}"/>
    <cellStyle name="Input 61 3 2 3" xfId="10667" xr:uid="{00000000-0005-0000-0000-0000AB290000}"/>
    <cellStyle name="Input 61 3 2 3 2" xfId="34565" xr:uid="{AD866C37-06D2-4915-8C13-359415371473}"/>
    <cellStyle name="Input 61 3 2 4" xfId="34562" xr:uid="{93657E98-1126-4A20-84DE-196CEEA5B855}"/>
    <cellStyle name="Input 61 3 3" xfId="10668" xr:uid="{00000000-0005-0000-0000-0000AC290000}"/>
    <cellStyle name="Input 61 3 3 2" xfId="10669" xr:uid="{00000000-0005-0000-0000-0000AD290000}"/>
    <cellStyle name="Input 61 3 3 2 2" xfId="34567" xr:uid="{DB20E175-5623-4D09-A841-8A5BE48F2E87}"/>
    <cellStyle name="Input 61 3 3 3" xfId="34566" xr:uid="{17982F2B-1956-4657-8A8E-6F1B85720141}"/>
    <cellStyle name="Input 61 3 4" xfId="10670" xr:uid="{00000000-0005-0000-0000-0000AE290000}"/>
    <cellStyle name="Input 61 3 4 2" xfId="34568" xr:uid="{11F798E8-8381-4538-8E59-7E4FF3F185A0}"/>
    <cellStyle name="Input 61 3 5" xfId="34561" xr:uid="{B7671329-56B5-4719-86BA-FF045F4B2B90}"/>
    <cellStyle name="Input 61 4" xfId="10671" xr:uid="{00000000-0005-0000-0000-0000AF290000}"/>
    <cellStyle name="Input 61 4 2" xfId="10672" xr:uid="{00000000-0005-0000-0000-0000B0290000}"/>
    <cellStyle name="Input 61 4 2 2" xfId="34570" xr:uid="{7FED93A2-0B8B-4CD0-BD64-9CA5AC763A4C}"/>
    <cellStyle name="Input 61 4 3" xfId="34569" xr:uid="{0E798A3E-1853-4441-829C-7AD8B453056E}"/>
    <cellStyle name="Input 61 5" xfId="10673" xr:uid="{00000000-0005-0000-0000-0000B1290000}"/>
    <cellStyle name="Input 61 5 2" xfId="34571" xr:uid="{D8349E8A-F42B-4372-B3E9-D9170BFA0727}"/>
    <cellStyle name="Input 61 6" xfId="34556" xr:uid="{F2D2C306-7DDA-4376-8449-750685A8D1D6}"/>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2 2 2" xfId="34575" xr:uid="{08A72792-C0AD-4739-BF73-2DA3A16B4C2A}"/>
    <cellStyle name="Input 62 2 2 3" xfId="34574" xr:uid="{DB5ACB0B-0ED2-482E-BA33-9ED8EE8010B9}"/>
    <cellStyle name="Input 62 2 3" xfId="10678" xr:uid="{00000000-0005-0000-0000-0000B6290000}"/>
    <cellStyle name="Input 62 2 3 2" xfId="34576" xr:uid="{CB0D67CA-9E04-4925-9442-BE9914A04D04}"/>
    <cellStyle name="Input 62 2 4" xfId="34573" xr:uid="{0A2D0A6E-DB06-40A8-8E47-DF4D94810AE5}"/>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2 2 2" xfId="34580" xr:uid="{346B9BAA-A922-4C85-A6DA-36061F557FD7}"/>
    <cellStyle name="Input 62 3 2 2 3" xfId="34579" xr:uid="{5524C0AB-EF79-4756-84A1-F5B356959307}"/>
    <cellStyle name="Input 62 3 2 3" xfId="10683" xr:uid="{00000000-0005-0000-0000-0000BB290000}"/>
    <cellStyle name="Input 62 3 2 3 2" xfId="34581" xr:uid="{977AFCA5-880F-4796-859A-D5F87A6899F4}"/>
    <cellStyle name="Input 62 3 2 4" xfId="34578" xr:uid="{C1AE9C58-49E5-4920-B076-4BBFE5900A5B}"/>
    <cellStyle name="Input 62 3 3" xfId="10684" xr:uid="{00000000-0005-0000-0000-0000BC290000}"/>
    <cellStyle name="Input 62 3 3 2" xfId="10685" xr:uid="{00000000-0005-0000-0000-0000BD290000}"/>
    <cellStyle name="Input 62 3 3 2 2" xfId="34583" xr:uid="{C7FF459C-6F59-443B-BBBD-0DF58557FE5C}"/>
    <cellStyle name="Input 62 3 3 3" xfId="34582" xr:uid="{EEA5C0C1-A3DF-4A16-AB31-39512B2017EA}"/>
    <cellStyle name="Input 62 3 4" xfId="10686" xr:uid="{00000000-0005-0000-0000-0000BE290000}"/>
    <cellStyle name="Input 62 3 4 2" xfId="34584" xr:uid="{393427B2-929C-4D16-BA83-7664BB71C977}"/>
    <cellStyle name="Input 62 3 5" xfId="34577" xr:uid="{106BA3B2-1EC2-456A-B9BD-7BF4B0C35680}"/>
    <cellStyle name="Input 62 4" xfId="10687" xr:uid="{00000000-0005-0000-0000-0000BF290000}"/>
    <cellStyle name="Input 62 4 2" xfId="10688" xr:uid="{00000000-0005-0000-0000-0000C0290000}"/>
    <cellStyle name="Input 62 4 2 2" xfId="34586" xr:uid="{364342AE-C4C1-44AF-8CDE-F280A8D10F98}"/>
    <cellStyle name="Input 62 4 3" xfId="34585" xr:uid="{062FBEED-082B-42B1-9744-9A321016118D}"/>
    <cellStyle name="Input 62 5" xfId="10689" xr:uid="{00000000-0005-0000-0000-0000C1290000}"/>
    <cellStyle name="Input 62 5 2" xfId="34587" xr:uid="{89FD753F-5E71-4580-86BD-9CEF45D043C0}"/>
    <cellStyle name="Input 62 6" xfId="34572" xr:uid="{1990C642-E80E-40C8-8CD1-4CE65B9F81DF}"/>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2 2 2" xfId="34591" xr:uid="{54057088-FC33-4719-98CB-481E74594D81}"/>
    <cellStyle name="Input 63 2 2 3" xfId="34590" xr:uid="{0215FCD1-564B-4753-8E58-2B0D0AD3F9D0}"/>
    <cellStyle name="Input 63 2 3" xfId="10694" xr:uid="{00000000-0005-0000-0000-0000C6290000}"/>
    <cellStyle name="Input 63 2 3 2" xfId="34592" xr:uid="{38257072-DFCB-4065-AAC6-F44630F41E33}"/>
    <cellStyle name="Input 63 2 4" xfId="34589" xr:uid="{E2574246-3B7E-4583-9BE2-27CE07DF838D}"/>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2 2 2" xfId="34596" xr:uid="{ACDDAC65-BCAC-4330-9A34-C946B5163E8C}"/>
    <cellStyle name="Input 63 3 2 2 3" xfId="34595" xr:uid="{0F518169-A3AD-4259-B4DD-2FD1E83BFB4E}"/>
    <cellStyle name="Input 63 3 2 3" xfId="10699" xr:uid="{00000000-0005-0000-0000-0000CB290000}"/>
    <cellStyle name="Input 63 3 2 3 2" xfId="34597" xr:uid="{FFC34F1B-03EA-4561-A4BA-1E25B7A177D2}"/>
    <cellStyle name="Input 63 3 2 4" xfId="34594" xr:uid="{311FCC14-740F-4BD9-8412-EB5911D97E61}"/>
    <cellStyle name="Input 63 3 3" xfId="10700" xr:uid="{00000000-0005-0000-0000-0000CC290000}"/>
    <cellStyle name="Input 63 3 3 2" xfId="10701" xr:uid="{00000000-0005-0000-0000-0000CD290000}"/>
    <cellStyle name="Input 63 3 3 2 2" xfId="34599" xr:uid="{0CF422A8-1382-4FE8-8D1E-CE0110A6C9F9}"/>
    <cellStyle name="Input 63 3 3 3" xfId="34598" xr:uid="{24AB63CA-30C1-4746-ADCB-077613A7A4E8}"/>
    <cellStyle name="Input 63 3 4" xfId="10702" xr:uid="{00000000-0005-0000-0000-0000CE290000}"/>
    <cellStyle name="Input 63 3 4 2" xfId="34600" xr:uid="{5C630689-A376-4FBD-92E6-55FD6F07FB5C}"/>
    <cellStyle name="Input 63 3 5" xfId="34593" xr:uid="{C2C6DD01-6C7B-4B88-B1C8-C01EF7F300FE}"/>
    <cellStyle name="Input 63 4" xfId="10703" xr:uid="{00000000-0005-0000-0000-0000CF290000}"/>
    <cellStyle name="Input 63 4 2" xfId="10704" xr:uid="{00000000-0005-0000-0000-0000D0290000}"/>
    <cellStyle name="Input 63 4 2 2" xfId="34602" xr:uid="{8ABCC4FA-73E6-4921-8CDE-3909792C411F}"/>
    <cellStyle name="Input 63 4 3" xfId="34601" xr:uid="{1DAFA2DA-32B6-448F-AF15-B1E77A73A802}"/>
    <cellStyle name="Input 63 5" xfId="10705" xr:uid="{00000000-0005-0000-0000-0000D1290000}"/>
    <cellStyle name="Input 63 5 2" xfId="34603" xr:uid="{7C522A1F-ADF2-4C95-9E13-80BA7E901F90}"/>
    <cellStyle name="Input 63 6" xfId="34588" xr:uid="{271A24F8-BC1C-4B09-89C9-63EEA6D1CE2E}"/>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2 2 2" xfId="34607" xr:uid="{6D5D7347-D5DA-4636-B89B-F61221AC306F}"/>
    <cellStyle name="Input 64 2 2 3" xfId="34606" xr:uid="{A4A115C1-8B0B-4ACF-A413-F33C26FDAC9B}"/>
    <cellStyle name="Input 64 2 3" xfId="10710" xr:uid="{00000000-0005-0000-0000-0000D6290000}"/>
    <cellStyle name="Input 64 2 3 2" xfId="34608" xr:uid="{885C615B-461F-4640-8F90-8AE0E8378797}"/>
    <cellStyle name="Input 64 2 4" xfId="34605" xr:uid="{043A175C-051A-476E-9B4C-F8169F07C173}"/>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2 2 2" xfId="34612" xr:uid="{4FD0BB5C-406A-4D4B-939B-7B01C9A6951A}"/>
    <cellStyle name="Input 64 3 2 2 3" xfId="34611" xr:uid="{FF6D75B2-6E05-48F7-AFED-1BA7DEE442A9}"/>
    <cellStyle name="Input 64 3 2 3" xfId="10715" xr:uid="{00000000-0005-0000-0000-0000DB290000}"/>
    <cellStyle name="Input 64 3 2 3 2" xfId="34613" xr:uid="{1F920610-FCD4-4E79-BA27-7D0799972429}"/>
    <cellStyle name="Input 64 3 2 4" xfId="34610" xr:uid="{B2E56E92-35BE-4174-A155-B738B7CED312}"/>
    <cellStyle name="Input 64 3 3" xfId="10716" xr:uid="{00000000-0005-0000-0000-0000DC290000}"/>
    <cellStyle name="Input 64 3 3 2" xfId="10717" xr:uid="{00000000-0005-0000-0000-0000DD290000}"/>
    <cellStyle name="Input 64 3 3 2 2" xfId="34615" xr:uid="{F59875D0-EB0F-41FB-996E-ACB7CCAEAD88}"/>
    <cellStyle name="Input 64 3 3 3" xfId="34614" xr:uid="{62C6A123-7FAB-4A44-B213-B34711613671}"/>
    <cellStyle name="Input 64 3 4" xfId="10718" xr:uid="{00000000-0005-0000-0000-0000DE290000}"/>
    <cellStyle name="Input 64 3 4 2" xfId="34616" xr:uid="{BF2614AD-D8F8-4B89-BE60-C58E97E445FD}"/>
    <cellStyle name="Input 64 3 5" xfId="34609" xr:uid="{FCCEE4E0-7DCB-440D-A206-C9E3ABA352AD}"/>
    <cellStyle name="Input 64 4" xfId="10719" xr:uid="{00000000-0005-0000-0000-0000DF290000}"/>
    <cellStyle name="Input 64 4 2" xfId="10720" xr:uid="{00000000-0005-0000-0000-0000E0290000}"/>
    <cellStyle name="Input 64 4 2 2" xfId="34618" xr:uid="{1CD0F075-58BE-4760-BD03-A464F1287903}"/>
    <cellStyle name="Input 64 4 3" xfId="34617" xr:uid="{DF903731-C474-47E3-A95C-D646AE9FBD76}"/>
    <cellStyle name="Input 64 5" xfId="10721" xr:uid="{00000000-0005-0000-0000-0000E1290000}"/>
    <cellStyle name="Input 64 5 2" xfId="34619" xr:uid="{06DE7461-C576-4D86-AD3F-A158F90A6A94}"/>
    <cellStyle name="Input 64 6" xfId="34604" xr:uid="{348B37D0-A4F0-4362-8830-637F3B635987}"/>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2 2 2" xfId="34623" xr:uid="{8B5EEA58-2955-4B0A-B24E-36EB25AB6D23}"/>
    <cellStyle name="Input 65 2 2 3" xfId="34622" xr:uid="{FCA35658-F0B8-4A95-B299-76E3BC45F711}"/>
    <cellStyle name="Input 65 2 3" xfId="10726" xr:uid="{00000000-0005-0000-0000-0000E6290000}"/>
    <cellStyle name="Input 65 2 3 2" xfId="34624" xr:uid="{BF250BF0-120C-4684-B327-D0CBD8235941}"/>
    <cellStyle name="Input 65 2 4" xfId="34621" xr:uid="{EE2692EB-040E-40DE-9D40-417C171C54A5}"/>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2 2 2" xfId="34628" xr:uid="{6F93147C-90FE-4854-9557-2CEC99C903E5}"/>
    <cellStyle name="Input 65 3 2 2 3" xfId="34627" xr:uid="{DA8422D3-9124-45F6-BE8C-AAD2AF5145ED}"/>
    <cellStyle name="Input 65 3 2 3" xfId="10731" xr:uid="{00000000-0005-0000-0000-0000EB290000}"/>
    <cellStyle name="Input 65 3 2 3 2" xfId="34629" xr:uid="{7DD291F1-1308-4B56-9D31-0E0A74448F7D}"/>
    <cellStyle name="Input 65 3 2 4" xfId="34626" xr:uid="{C625C75C-2B22-459B-9D80-BC8F8332ACC7}"/>
    <cellStyle name="Input 65 3 3" xfId="10732" xr:uid="{00000000-0005-0000-0000-0000EC290000}"/>
    <cellStyle name="Input 65 3 3 2" xfId="10733" xr:uid="{00000000-0005-0000-0000-0000ED290000}"/>
    <cellStyle name="Input 65 3 3 2 2" xfId="34631" xr:uid="{16172307-6EAB-4377-9A54-128E58B35052}"/>
    <cellStyle name="Input 65 3 3 3" xfId="34630" xr:uid="{FEA38F25-1BEB-4014-8DDA-EF4B7D21BFFC}"/>
    <cellStyle name="Input 65 3 4" xfId="10734" xr:uid="{00000000-0005-0000-0000-0000EE290000}"/>
    <cellStyle name="Input 65 3 4 2" xfId="34632" xr:uid="{EB87DBC1-D03D-4852-946D-8D077E5F3430}"/>
    <cellStyle name="Input 65 3 5" xfId="34625" xr:uid="{DFBC8ACC-3E70-4975-9494-08828CA9CCD6}"/>
    <cellStyle name="Input 65 4" xfId="10735" xr:uid="{00000000-0005-0000-0000-0000EF290000}"/>
    <cellStyle name="Input 65 4 2" xfId="10736" xr:uid="{00000000-0005-0000-0000-0000F0290000}"/>
    <cellStyle name="Input 65 4 2 2" xfId="34634" xr:uid="{0EDE72AA-BE86-4CB9-8534-A8A22440F7BF}"/>
    <cellStyle name="Input 65 4 3" xfId="34633" xr:uid="{6FF234BA-0514-4C52-9645-03F772EEACB8}"/>
    <cellStyle name="Input 65 5" xfId="10737" xr:uid="{00000000-0005-0000-0000-0000F1290000}"/>
    <cellStyle name="Input 65 5 2" xfId="34635" xr:uid="{BC1395FE-5EDD-4543-A561-EA6D0266D40E}"/>
    <cellStyle name="Input 65 6" xfId="34620" xr:uid="{1D14BC25-4ADB-46C8-AEE9-539071511AC4}"/>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2 2 2" xfId="34639" xr:uid="{041B30CC-D469-48A0-AC95-774F7C8E4890}"/>
    <cellStyle name="Input 66 2 2 3" xfId="34638" xr:uid="{FAB2CEE4-4EC2-4FBF-B2F5-752D461C3F32}"/>
    <cellStyle name="Input 66 2 3" xfId="10742" xr:uid="{00000000-0005-0000-0000-0000F6290000}"/>
    <cellStyle name="Input 66 2 3 2" xfId="34640" xr:uid="{4022F7CB-C1F2-47FC-8F24-0B6B496FAF90}"/>
    <cellStyle name="Input 66 2 4" xfId="34637" xr:uid="{4CC67A58-7433-4E04-A3A0-B466A29EA401}"/>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2 2 2" xfId="34644" xr:uid="{C7FBFADF-0BD8-4EA7-B7D1-C8066F4BD93B}"/>
    <cellStyle name="Input 66 3 2 2 3" xfId="34643" xr:uid="{0DBD2917-0BA9-4E9A-8870-81B79F3D1AA4}"/>
    <cellStyle name="Input 66 3 2 3" xfId="10747" xr:uid="{00000000-0005-0000-0000-0000FB290000}"/>
    <cellStyle name="Input 66 3 2 3 2" xfId="34645" xr:uid="{37CF20D7-D59E-4476-BBA2-324299E520A2}"/>
    <cellStyle name="Input 66 3 2 4" xfId="34642" xr:uid="{8AC3FE8D-D87D-4E82-8890-A5817E6CC642}"/>
    <cellStyle name="Input 66 3 3" xfId="10748" xr:uid="{00000000-0005-0000-0000-0000FC290000}"/>
    <cellStyle name="Input 66 3 3 2" xfId="10749" xr:uid="{00000000-0005-0000-0000-0000FD290000}"/>
    <cellStyle name="Input 66 3 3 2 2" xfId="34647" xr:uid="{6565F777-042B-448E-93B2-27339DEF01C8}"/>
    <cellStyle name="Input 66 3 3 3" xfId="34646" xr:uid="{5BD74E9D-B8C6-4113-A6FC-97025077633D}"/>
    <cellStyle name="Input 66 3 4" xfId="10750" xr:uid="{00000000-0005-0000-0000-0000FE290000}"/>
    <cellStyle name="Input 66 3 4 2" xfId="34648" xr:uid="{75777C61-F8DD-4287-83F4-D25CA7E7390C}"/>
    <cellStyle name="Input 66 3 5" xfId="34641" xr:uid="{69BE4F3A-5171-4F11-A3CB-85FD8E1724A1}"/>
    <cellStyle name="Input 66 4" xfId="10751" xr:uid="{00000000-0005-0000-0000-0000FF290000}"/>
    <cellStyle name="Input 66 4 2" xfId="10752" xr:uid="{00000000-0005-0000-0000-0000002A0000}"/>
    <cellStyle name="Input 66 4 2 2" xfId="34650" xr:uid="{81321C54-6866-4D2C-83C7-2DBEC4086D97}"/>
    <cellStyle name="Input 66 4 3" xfId="34649" xr:uid="{5C73ED0B-F952-4F47-B8BC-3B7687AAFE12}"/>
    <cellStyle name="Input 66 5" xfId="10753" xr:uid="{00000000-0005-0000-0000-0000012A0000}"/>
    <cellStyle name="Input 66 5 2" xfId="34651" xr:uid="{858C30DD-F418-43D9-BCED-0BD3960469A4}"/>
    <cellStyle name="Input 66 6" xfId="34636" xr:uid="{421DBDE6-8774-408C-8CA3-5CD59B11E9D3}"/>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2 2 2" xfId="34655" xr:uid="{265AE80E-6FD9-4694-808C-F446D294F34F}"/>
    <cellStyle name="Input 67 2 2 3" xfId="34654" xr:uid="{95010D04-CDF5-4D55-8346-A8E327118922}"/>
    <cellStyle name="Input 67 2 3" xfId="10758" xr:uid="{00000000-0005-0000-0000-0000062A0000}"/>
    <cellStyle name="Input 67 2 3 2" xfId="34656" xr:uid="{9CAAE1EA-39BE-47CF-BB82-8006CB68062B}"/>
    <cellStyle name="Input 67 2 4" xfId="34653" xr:uid="{D0E83CE0-6082-440B-843F-C8B745530CCC}"/>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2 2 2" xfId="34660" xr:uid="{C6967113-AE7F-4074-9201-9CFF26656427}"/>
    <cellStyle name="Input 67 3 2 2 3" xfId="34659" xr:uid="{1B9EF859-287A-4F66-BB55-8BC054FEC031}"/>
    <cellStyle name="Input 67 3 2 3" xfId="10763" xr:uid="{00000000-0005-0000-0000-00000B2A0000}"/>
    <cellStyle name="Input 67 3 2 3 2" xfId="34661" xr:uid="{541D987A-C5DD-4840-99AC-0056FCA22047}"/>
    <cellStyle name="Input 67 3 2 4" xfId="34658" xr:uid="{93A42695-727C-49E6-A151-736611457089}"/>
    <cellStyle name="Input 67 3 3" xfId="10764" xr:uid="{00000000-0005-0000-0000-00000C2A0000}"/>
    <cellStyle name="Input 67 3 3 2" xfId="10765" xr:uid="{00000000-0005-0000-0000-00000D2A0000}"/>
    <cellStyle name="Input 67 3 3 2 2" xfId="34663" xr:uid="{A38DACD5-5B3F-4B45-80B0-DFC58E1047AD}"/>
    <cellStyle name="Input 67 3 3 3" xfId="34662" xr:uid="{6584C0C2-2F6A-409E-A3EA-413DEB4EBCC4}"/>
    <cellStyle name="Input 67 3 4" xfId="10766" xr:uid="{00000000-0005-0000-0000-00000E2A0000}"/>
    <cellStyle name="Input 67 3 4 2" xfId="34664" xr:uid="{D85CB56A-5468-401E-B062-00A6EEAE70DE}"/>
    <cellStyle name="Input 67 3 5" xfId="34657" xr:uid="{3619EA66-1B1F-4337-B861-EFB93DFDF2B2}"/>
    <cellStyle name="Input 67 4" xfId="10767" xr:uid="{00000000-0005-0000-0000-00000F2A0000}"/>
    <cellStyle name="Input 67 4 2" xfId="10768" xr:uid="{00000000-0005-0000-0000-0000102A0000}"/>
    <cellStyle name="Input 67 4 2 2" xfId="34666" xr:uid="{CD496018-1B5C-4627-A715-3CE94CC34E1D}"/>
    <cellStyle name="Input 67 4 3" xfId="34665" xr:uid="{875F829F-D676-43E3-A40C-E45A64F7038F}"/>
    <cellStyle name="Input 67 5" xfId="10769" xr:uid="{00000000-0005-0000-0000-0000112A0000}"/>
    <cellStyle name="Input 67 5 2" xfId="34667" xr:uid="{401CC5EC-2619-4593-839F-9DDDED928B22}"/>
    <cellStyle name="Input 67 6" xfId="34652" xr:uid="{4BF11B7D-8BEC-4203-8CFF-C5885189BBAE}"/>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2 2 2" xfId="34671" xr:uid="{16419ECC-F82C-404F-8934-AE70AAAC8CD6}"/>
    <cellStyle name="Input 68 2 2 3" xfId="34670" xr:uid="{B7786A3C-EC6B-4FA1-9A9C-184BC147A3CA}"/>
    <cellStyle name="Input 68 2 3" xfId="10774" xr:uid="{00000000-0005-0000-0000-0000162A0000}"/>
    <cellStyle name="Input 68 2 3 2" xfId="34672" xr:uid="{98DADFEB-D11C-47E2-A994-E2D86C54EF64}"/>
    <cellStyle name="Input 68 2 4" xfId="34669" xr:uid="{4CAC8E59-A3B7-4069-8ADA-5340DA0C58BD}"/>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2 2 2" xfId="34676" xr:uid="{0A3875F1-0CC3-46B3-86C6-AD31D8FD0F4C}"/>
    <cellStyle name="Input 68 3 2 2 3" xfId="34675" xr:uid="{4CF30CE6-0EFD-4DAD-A285-1CBDF14B11E0}"/>
    <cellStyle name="Input 68 3 2 3" xfId="10779" xr:uid="{00000000-0005-0000-0000-00001B2A0000}"/>
    <cellStyle name="Input 68 3 2 3 2" xfId="34677" xr:uid="{68665156-DA6A-4B3C-A83E-2DF949D76022}"/>
    <cellStyle name="Input 68 3 2 4" xfId="34674" xr:uid="{F543F92A-40C9-4644-B4C9-5E2416F27F13}"/>
    <cellStyle name="Input 68 3 3" xfId="10780" xr:uid="{00000000-0005-0000-0000-00001C2A0000}"/>
    <cellStyle name="Input 68 3 3 2" xfId="10781" xr:uid="{00000000-0005-0000-0000-00001D2A0000}"/>
    <cellStyle name="Input 68 3 3 2 2" xfId="34679" xr:uid="{BB6297B4-DB75-4A5B-BC0D-6025FAEEFFC6}"/>
    <cellStyle name="Input 68 3 3 3" xfId="34678" xr:uid="{7EA50BF5-0C5F-425D-AF2A-DCAE4B1AD474}"/>
    <cellStyle name="Input 68 3 4" xfId="10782" xr:uid="{00000000-0005-0000-0000-00001E2A0000}"/>
    <cellStyle name="Input 68 3 4 2" xfId="34680" xr:uid="{653CC9D9-04BB-47D2-A9DB-88F672B574DD}"/>
    <cellStyle name="Input 68 3 5" xfId="34673" xr:uid="{85D284E3-176D-4279-8114-5F36E2B94598}"/>
    <cellStyle name="Input 68 4" xfId="10783" xr:uid="{00000000-0005-0000-0000-00001F2A0000}"/>
    <cellStyle name="Input 68 4 2" xfId="10784" xr:uid="{00000000-0005-0000-0000-0000202A0000}"/>
    <cellStyle name="Input 68 4 2 2" xfId="34682" xr:uid="{6FE11A76-D85C-46CE-87AC-B043471A7416}"/>
    <cellStyle name="Input 68 4 3" xfId="34681" xr:uid="{981110C4-8F3E-42E9-BE4D-B8745280E394}"/>
    <cellStyle name="Input 68 5" xfId="10785" xr:uid="{00000000-0005-0000-0000-0000212A0000}"/>
    <cellStyle name="Input 68 5 2" xfId="34683" xr:uid="{E7077B93-6003-4C76-81DA-9585804C08A8}"/>
    <cellStyle name="Input 68 6" xfId="34668" xr:uid="{E882C5FD-86A4-47FD-B0CA-53B0F3A746FE}"/>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2 2 2" xfId="34687" xr:uid="{5E8BE478-A9C5-4051-B4F3-CEA7532E0D15}"/>
    <cellStyle name="Input 69 2 2 3" xfId="34686" xr:uid="{BA83A5C0-302C-4489-AF51-7562E4EDAC07}"/>
    <cellStyle name="Input 69 2 3" xfId="10790" xr:uid="{00000000-0005-0000-0000-0000262A0000}"/>
    <cellStyle name="Input 69 2 3 2" xfId="34688" xr:uid="{2F2B2CFB-F85D-4D19-86AE-67BEC1F77A6B}"/>
    <cellStyle name="Input 69 2 4" xfId="34685" xr:uid="{65C11DDB-6E78-42B7-A4C5-8F1AE6AFDDA3}"/>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2 2 2" xfId="34692" xr:uid="{FE181377-D6EA-4FD1-AE88-A60E173E8E03}"/>
    <cellStyle name="Input 69 3 2 2 3" xfId="34691" xr:uid="{F0D44CD7-3261-41F2-B78D-103DAC1A4691}"/>
    <cellStyle name="Input 69 3 2 3" xfId="10795" xr:uid="{00000000-0005-0000-0000-00002B2A0000}"/>
    <cellStyle name="Input 69 3 2 3 2" xfId="34693" xr:uid="{2B565010-780B-4326-8B08-826D80D6AE9E}"/>
    <cellStyle name="Input 69 3 2 4" xfId="34690" xr:uid="{875CFAC7-24B8-4A81-B192-761DBD909BDF}"/>
    <cellStyle name="Input 69 3 3" xfId="10796" xr:uid="{00000000-0005-0000-0000-00002C2A0000}"/>
    <cellStyle name="Input 69 3 3 2" xfId="10797" xr:uid="{00000000-0005-0000-0000-00002D2A0000}"/>
    <cellStyle name="Input 69 3 3 2 2" xfId="34695" xr:uid="{91B8C871-6EF0-4742-9E70-CFE41B6E0020}"/>
    <cellStyle name="Input 69 3 3 3" xfId="34694" xr:uid="{BF1C653F-857A-4850-8FBD-2B061A2B2AC2}"/>
    <cellStyle name="Input 69 3 4" xfId="10798" xr:uid="{00000000-0005-0000-0000-00002E2A0000}"/>
    <cellStyle name="Input 69 3 4 2" xfId="34696" xr:uid="{7B6E0516-AB60-4914-8E5C-19A8C5E0882A}"/>
    <cellStyle name="Input 69 3 5" xfId="34689" xr:uid="{ECA84908-BFE9-457D-8C6D-2127A480EDAC}"/>
    <cellStyle name="Input 69 4" xfId="10799" xr:uid="{00000000-0005-0000-0000-00002F2A0000}"/>
    <cellStyle name="Input 69 4 2" xfId="10800" xr:uid="{00000000-0005-0000-0000-0000302A0000}"/>
    <cellStyle name="Input 69 4 2 2" xfId="34698" xr:uid="{2D6101E9-3546-4FA9-BCB8-8521A2421B32}"/>
    <cellStyle name="Input 69 4 3" xfId="34697" xr:uid="{1E3BC2E5-2376-4297-B468-8D8769900FF4}"/>
    <cellStyle name="Input 69 5" xfId="10801" xr:uid="{00000000-0005-0000-0000-0000312A0000}"/>
    <cellStyle name="Input 69 5 2" xfId="34699" xr:uid="{550E7224-89D2-4EA5-872A-0CD8DA448330}"/>
    <cellStyle name="Input 69 6" xfId="34684" xr:uid="{03293B91-A221-4A62-AFFD-F3B08064E297}"/>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2 2 2" xfId="34703" xr:uid="{A9E55CB0-3179-4986-886F-EB1D2D181B0B}"/>
    <cellStyle name="Input 70 2 2 3" xfId="34702" xr:uid="{FF057744-15C4-403B-94BA-5894F8D2BC2A}"/>
    <cellStyle name="Input 70 2 3" xfId="10862" xr:uid="{00000000-0005-0000-0000-00006E2A0000}"/>
    <cellStyle name="Input 70 2 3 2" xfId="34704" xr:uid="{F324252F-AE71-4F2D-BB04-0DE22256990F}"/>
    <cellStyle name="Input 70 2 4" xfId="34701" xr:uid="{F56DF2DA-C74E-4541-9B5A-DF8DC4F30E8A}"/>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2 2 2" xfId="34708" xr:uid="{7F519B27-595D-4890-8FC7-E4B16064E9FD}"/>
    <cellStyle name="Input 70 3 2 2 3" xfId="34707" xr:uid="{8DED7BDB-6601-4A64-AEA8-825B0B159A0D}"/>
    <cellStyle name="Input 70 3 2 3" xfId="10867" xr:uid="{00000000-0005-0000-0000-0000732A0000}"/>
    <cellStyle name="Input 70 3 2 3 2" xfId="34709" xr:uid="{EE2ACEBC-653C-4CC0-A121-CAFE3443FDA1}"/>
    <cellStyle name="Input 70 3 2 4" xfId="34706" xr:uid="{5606B272-EC4A-4D5C-944E-47CAAB949100}"/>
    <cellStyle name="Input 70 3 3" xfId="10868" xr:uid="{00000000-0005-0000-0000-0000742A0000}"/>
    <cellStyle name="Input 70 3 3 2" xfId="10869" xr:uid="{00000000-0005-0000-0000-0000752A0000}"/>
    <cellStyle name="Input 70 3 3 2 2" xfId="34711" xr:uid="{CF39FD98-2D34-41E7-9B54-36C667CB8F0A}"/>
    <cellStyle name="Input 70 3 3 3" xfId="34710" xr:uid="{5F74EFDF-5597-44A7-AA99-5127022DF292}"/>
    <cellStyle name="Input 70 3 4" xfId="10870" xr:uid="{00000000-0005-0000-0000-0000762A0000}"/>
    <cellStyle name="Input 70 3 4 2" xfId="34712" xr:uid="{58CD814F-AABD-4940-82D2-D5D72E3C438D}"/>
    <cellStyle name="Input 70 3 5" xfId="34705" xr:uid="{CC1A737A-9A10-46E1-AEC6-6ED172B0CC64}"/>
    <cellStyle name="Input 70 4" xfId="10871" xr:uid="{00000000-0005-0000-0000-0000772A0000}"/>
    <cellStyle name="Input 70 4 2" xfId="10872" xr:uid="{00000000-0005-0000-0000-0000782A0000}"/>
    <cellStyle name="Input 70 4 2 2" xfId="34714" xr:uid="{D8A115FA-7BE1-46D0-BB95-04FD6A6E6CB2}"/>
    <cellStyle name="Input 70 4 3" xfId="34713" xr:uid="{C5D425E0-9761-41D7-ABD4-B641DC373730}"/>
    <cellStyle name="Input 70 5" xfId="10873" xr:uid="{00000000-0005-0000-0000-0000792A0000}"/>
    <cellStyle name="Input 70 5 2" xfId="34715" xr:uid="{A4824ECE-E79A-496F-820A-019D6ABCB875}"/>
    <cellStyle name="Input 70 6" xfId="34700" xr:uid="{B349300D-6AD3-4CDD-8542-8D94B4E882A8}"/>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2 2 2" xfId="34719" xr:uid="{E380CC4C-D393-4781-84DD-29F1D7B8174B}"/>
    <cellStyle name="Input 71 2 2 3" xfId="34718" xr:uid="{6DDD095D-1AE8-4C0C-BF95-6083DFFB9414}"/>
    <cellStyle name="Input 71 2 3" xfId="10878" xr:uid="{00000000-0005-0000-0000-00007E2A0000}"/>
    <cellStyle name="Input 71 2 3 2" xfId="34720" xr:uid="{1DDB7345-DE22-42B1-9C48-493696200264}"/>
    <cellStyle name="Input 71 2 4" xfId="34717" xr:uid="{7456A985-1D3F-43CE-B7A8-CE799648E925}"/>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2 2 2" xfId="34724" xr:uid="{A7F7268D-5797-4D23-BF30-91E7239A4CCA}"/>
    <cellStyle name="Input 71 3 2 2 3" xfId="34723" xr:uid="{D3982DF9-239F-4C8A-A2F1-8CB744782965}"/>
    <cellStyle name="Input 71 3 2 3" xfId="10883" xr:uid="{00000000-0005-0000-0000-0000832A0000}"/>
    <cellStyle name="Input 71 3 2 3 2" xfId="34725" xr:uid="{49AA4D5B-C8A6-4D69-9433-146AD08C686D}"/>
    <cellStyle name="Input 71 3 2 4" xfId="34722" xr:uid="{4ACE7F17-4A03-4E80-B4A9-271EF570E3FC}"/>
    <cellStyle name="Input 71 3 3" xfId="10884" xr:uid="{00000000-0005-0000-0000-0000842A0000}"/>
    <cellStyle name="Input 71 3 3 2" xfId="10885" xr:uid="{00000000-0005-0000-0000-0000852A0000}"/>
    <cellStyle name="Input 71 3 3 2 2" xfId="34727" xr:uid="{338F9D8C-A20C-42D5-9F67-EBCB02C09713}"/>
    <cellStyle name="Input 71 3 3 3" xfId="34726" xr:uid="{5F17DD09-253E-4BEA-8EA4-0D964FEC0E84}"/>
    <cellStyle name="Input 71 3 4" xfId="10886" xr:uid="{00000000-0005-0000-0000-0000862A0000}"/>
    <cellStyle name="Input 71 3 4 2" xfId="34728" xr:uid="{61FDB5F8-4AAA-4C2C-ACE0-6E5D1156B39C}"/>
    <cellStyle name="Input 71 3 5" xfId="34721" xr:uid="{F0CDCF63-8E3A-4A7A-B657-014AF946B891}"/>
    <cellStyle name="Input 71 4" xfId="10887" xr:uid="{00000000-0005-0000-0000-0000872A0000}"/>
    <cellStyle name="Input 71 4 2" xfId="10888" xr:uid="{00000000-0005-0000-0000-0000882A0000}"/>
    <cellStyle name="Input 71 4 2 2" xfId="34730" xr:uid="{FC96D736-B616-4B8B-AEF3-732A8920F8A0}"/>
    <cellStyle name="Input 71 4 3" xfId="34729" xr:uid="{0B823D62-6231-48DD-ABDA-A2539548AADD}"/>
    <cellStyle name="Input 71 5" xfId="10889" xr:uid="{00000000-0005-0000-0000-0000892A0000}"/>
    <cellStyle name="Input 71 5 2" xfId="34731" xr:uid="{9EE9D3B3-569A-4692-A3AC-EF14A36F593F}"/>
    <cellStyle name="Input 71 6" xfId="34716" xr:uid="{B84E1C33-D255-499C-9B6A-7319D90F802A}"/>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2 2 2" xfId="34735" xr:uid="{44BA7C45-5094-49CD-A64A-47EAFD5D22C8}"/>
    <cellStyle name="Input 72 2 2 3" xfId="34734" xr:uid="{9F988070-4DA8-469F-8710-D905F3BAEBBC}"/>
    <cellStyle name="Input 72 2 3" xfId="10894" xr:uid="{00000000-0005-0000-0000-00008E2A0000}"/>
    <cellStyle name="Input 72 2 3 2" xfId="34736" xr:uid="{BD208951-9338-4D26-B384-3CF6E317B9C8}"/>
    <cellStyle name="Input 72 2 4" xfId="34733" xr:uid="{86BB7D5B-29E7-4FBD-BFCD-0E27209103E5}"/>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2 2 2" xfId="34740" xr:uid="{E64DE051-EF05-448C-94DB-322A4A46CF11}"/>
    <cellStyle name="Input 72 3 2 2 3" xfId="34739" xr:uid="{ACEC8B70-CEA7-4773-B08F-A16AB7677B69}"/>
    <cellStyle name="Input 72 3 2 3" xfId="10899" xr:uid="{00000000-0005-0000-0000-0000932A0000}"/>
    <cellStyle name="Input 72 3 2 3 2" xfId="34741" xr:uid="{29AD1F77-06DB-4316-892A-0A104C589BFD}"/>
    <cellStyle name="Input 72 3 2 4" xfId="34738" xr:uid="{45F3296F-FE19-487A-98EA-2C89A705479F}"/>
    <cellStyle name="Input 72 3 3" xfId="10900" xr:uid="{00000000-0005-0000-0000-0000942A0000}"/>
    <cellStyle name="Input 72 3 3 2" xfId="10901" xr:uid="{00000000-0005-0000-0000-0000952A0000}"/>
    <cellStyle name="Input 72 3 3 2 2" xfId="34743" xr:uid="{A34207C2-2534-4BE0-B7DE-F728D8BD3C79}"/>
    <cellStyle name="Input 72 3 3 3" xfId="34742" xr:uid="{CFC38A72-AAF2-4F52-8CEB-05F3AF665A06}"/>
    <cellStyle name="Input 72 3 4" xfId="10902" xr:uid="{00000000-0005-0000-0000-0000962A0000}"/>
    <cellStyle name="Input 72 3 4 2" xfId="34744" xr:uid="{F720534F-3360-401E-84E0-807F608BF4CE}"/>
    <cellStyle name="Input 72 3 5" xfId="34737" xr:uid="{9B9A8C23-3BAD-440D-954C-7229D2B7759C}"/>
    <cellStyle name="Input 72 4" xfId="10903" xr:uid="{00000000-0005-0000-0000-0000972A0000}"/>
    <cellStyle name="Input 72 4 2" xfId="10904" xr:uid="{00000000-0005-0000-0000-0000982A0000}"/>
    <cellStyle name="Input 72 4 2 2" xfId="34746" xr:uid="{DE50604F-40AE-47B7-BFEA-D4494FC5973F}"/>
    <cellStyle name="Input 72 4 3" xfId="34745" xr:uid="{57EBC6E8-3EFA-47B3-BC37-BE934D878DA3}"/>
    <cellStyle name="Input 72 5" xfId="10905" xr:uid="{00000000-0005-0000-0000-0000992A0000}"/>
    <cellStyle name="Input 72 5 2" xfId="34747" xr:uid="{33A95C38-DDCA-40CD-98C1-8AC564596B15}"/>
    <cellStyle name="Input 72 6" xfId="34732" xr:uid="{971E9C18-0891-44EE-8410-8EEB8DFA19EE}"/>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2 2 2" xfId="34751" xr:uid="{1BE0016A-3C50-4FFB-9AB4-ACC220F5F02F}"/>
    <cellStyle name="Input 73 2 2 3" xfId="34750" xr:uid="{C3690697-EB86-4A0A-B6DA-BCCBB8372068}"/>
    <cellStyle name="Input 73 2 3" xfId="10910" xr:uid="{00000000-0005-0000-0000-00009E2A0000}"/>
    <cellStyle name="Input 73 2 3 2" xfId="34752" xr:uid="{C1B075B5-FA00-4B60-B8D2-81FB5C0AF891}"/>
    <cellStyle name="Input 73 2 4" xfId="34749" xr:uid="{A91102A5-4507-4727-8BE4-EBE522D54C5E}"/>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2 2 2" xfId="34756" xr:uid="{8281AB41-CF15-4781-BACC-86A61F4EB328}"/>
    <cellStyle name="Input 73 3 2 2 3" xfId="34755" xr:uid="{DEDD937F-4EFA-4094-8921-5DCACD576072}"/>
    <cellStyle name="Input 73 3 2 3" xfId="10915" xr:uid="{00000000-0005-0000-0000-0000A32A0000}"/>
    <cellStyle name="Input 73 3 2 3 2" xfId="34757" xr:uid="{A6C88363-A7AD-421A-9398-E66C9B7F3DEB}"/>
    <cellStyle name="Input 73 3 2 4" xfId="34754" xr:uid="{B379C4B9-8B14-455B-B0C8-D56F4F647FF9}"/>
    <cellStyle name="Input 73 3 3" xfId="10916" xr:uid="{00000000-0005-0000-0000-0000A42A0000}"/>
    <cellStyle name="Input 73 3 3 2" xfId="10917" xr:uid="{00000000-0005-0000-0000-0000A52A0000}"/>
    <cellStyle name="Input 73 3 3 2 2" xfId="34759" xr:uid="{9D426EEC-665B-4CD2-A35B-7604151784EB}"/>
    <cellStyle name="Input 73 3 3 3" xfId="34758" xr:uid="{AA857A12-E3AB-4951-A755-450F21E457F3}"/>
    <cellStyle name="Input 73 3 4" xfId="10918" xr:uid="{00000000-0005-0000-0000-0000A62A0000}"/>
    <cellStyle name="Input 73 3 4 2" xfId="34760" xr:uid="{9D276B3E-F472-4CAC-8131-31DD7AACC6F1}"/>
    <cellStyle name="Input 73 3 5" xfId="34753" xr:uid="{10AAEF67-17FF-46DB-A301-88492C2F9C34}"/>
    <cellStyle name="Input 73 4" xfId="10919" xr:uid="{00000000-0005-0000-0000-0000A72A0000}"/>
    <cellStyle name="Input 73 4 2" xfId="10920" xr:uid="{00000000-0005-0000-0000-0000A82A0000}"/>
    <cellStyle name="Input 73 4 2 2" xfId="34762" xr:uid="{96B9CD40-CEFF-4EC8-AD2A-E37CA13BD5E4}"/>
    <cellStyle name="Input 73 4 3" xfId="34761" xr:uid="{C056DA7A-3691-4CC5-824C-A861A79D97CB}"/>
    <cellStyle name="Input 73 5" xfId="10921" xr:uid="{00000000-0005-0000-0000-0000A92A0000}"/>
    <cellStyle name="Input 73 5 2" xfId="34763" xr:uid="{54E85044-19F7-4F91-80A5-E2F83A5A1190}"/>
    <cellStyle name="Input 73 6" xfId="34748" xr:uid="{51CB74EE-A477-410F-A63E-1B61CA327B24}"/>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2 2 2" xfId="34767" xr:uid="{321B35F6-D3FB-4965-A06A-C9573E81D618}"/>
    <cellStyle name="Input 74 2 2 3" xfId="34766" xr:uid="{AA16770E-F82F-4274-BF8F-AA324883B917}"/>
    <cellStyle name="Input 74 2 3" xfId="10926" xr:uid="{00000000-0005-0000-0000-0000AE2A0000}"/>
    <cellStyle name="Input 74 2 3 2" xfId="34768" xr:uid="{43F5D2A9-016E-4537-972D-5D3445677D6D}"/>
    <cellStyle name="Input 74 2 4" xfId="34765" xr:uid="{F0F1B927-5970-4927-BFA1-537A150C3499}"/>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2 2 2" xfId="34772" xr:uid="{CD60F875-69CE-4DA6-857C-106364F27F7E}"/>
    <cellStyle name="Input 74 3 2 2 3" xfId="34771" xr:uid="{93D6F11E-2C85-4B7C-99E8-FED2443838EB}"/>
    <cellStyle name="Input 74 3 2 3" xfId="10931" xr:uid="{00000000-0005-0000-0000-0000B32A0000}"/>
    <cellStyle name="Input 74 3 2 3 2" xfId="34773" xr:uid="{D725D852-42FD-4FC9-96D2-D61DA0AC2259}"/>
    <cellStyle name="Input 74 3 2 4" xfId="34770" xr:uid="{1D619B90-6ACF-4FB0-8D1B-64B459B93371}"/>
    <cellStyle name="Input 74 3 3" xfId="10932" xr:uid="{00000000-0005-0000-0000-0000B42A0000}"/>
    <cellStyle name="Input 74 3 3 2" xfId="10933" xr:uid="{00000000-0005-0000-0000-0000B52A0000}"/>
    <cellStyle name="Input 74 3 3 2 2" xfId="34775" xr:uid="{6C580FB3-42F4-499B-937A-F534142AF8B8}"/>
    <cellStyle name="Input 74 3 3 3" xfId="34774" xr:uid="{AAAFAE45-0060-4E1B-8073-89C3F322B6B8}"/>
    <cellStyle name="Input 74 3 4" xfId="10934" xr:uid="{00000000-0005-0000-0000-0000B62A0000}"/>
    <cellStyle name="Input 74 3 4 2" xfId="34776" xr:uid="{660520EE-B56F-41E6-B292-D9DE38532BD0}"/>
    <cellStyle name="Input 74 3 5" xfId="34769" xr:uid="{D4CC58E3-29E3-45F5-B19B-54FFB541B462}"/>
    <cellStyle name="Input 74 4" xfId="10935" xr:uid="{00000000-0005-0000-0000-0000B72A0000}"/>
    <cellStyle name="Input 74 4 2" xfId="10936" xr:uid="{00000000-0005-0000-0000-0000B82A0000}"/>
    <cellStyle name="Input 74 4 2 2" xfId="34778" xr:uid="{0CA86BD0-081F-4F8C-980F-8827111C83A5}"/>
    <cellStyle name="Input 74 4 3" xfId="34777" xr:uid="{34182F3D-0E21-4C93-A7D4-4223AF24BB43}"/>
    <cellStyle name="Input 74 5" xfId="10937" xr:uid="{00000000-0005-0000-0000-0000B92A0000}"/>
    <cellStyle name="Input 74 5 2" xfId="34779" xr:uid="{87025726-FFF6-41B1-8B55-861588FB5783}"/>
    <cellStyle name="Input 74 6" xfId="34764" xr:uid="{293329EE-8A0A-47D3-8215-B9949B7C7495}"/>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2 2 2" xfId="34783" xr:uid="{293E8E91-5D69-4401-8AC5-3F4555672B55}"/>
    <cellStyle name="Input 75 2 2 3" xfId="34782" xr:uid="{70CD6212-D625-441C-8D3A-6A0F61CC3ED7}"/>
    <cellStyle name="Input 75 2 3" xfId="10942" xr:uid="{00000000-0005-0000-0000-0000BE2A0000}"/>
    <cellStyle name="Input 75 2 3 2" xfId="34784" xr:uid="{A170D4C8-F4DE-4209-A476-60902F2D0683}"/>
    <cellStyle name="Input 75 2 4" xfId="34781" xr:uid="{0E60FFD3-24E2-4147-8014-8C7E52DB5EDE}"/>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2 2 2" xfId="34788" xr:uid="{38BA09C3-8FCD-402C-A998-C17B063EE496}"/>
    <cellStyle name="Input 75 3 2 2 3" xfId="34787" xr:uid="{0B2A63A5-00BF-4853-A18B-CB657C2B6EA3}"/>
    <cellStyle name="Input 75 3 2 3" xfId="10947" xr:uid="{00000000-0005-0000-0000-0000C32A0000}"/>
    <cellStyle name="Input 75 3 2 3 2" xfId="34789" xr:uid="{DE79BECF-20E8-4F15-AEC4-4D8A8C0D0C74}"/>
    <cellStyle name="Input 75 3 2 4" xfId="34786" xr:uid="{5879E95D-6B33-4D18-9A3E-0557153631BE}"/>
    <cellStyle name="Input 75 3 3" xfId="10948" xr:uid="{00000000-0005-0000-0000-0000C42A0000}"/>
    <cellStyle name="Input 75 3 3 2" xfId="10949" xr:uid="{00000000-0005-0000-0000-0000C52A0000}"/>
    <cellStyle name="Input 75 3 3 2 2" xfId="34791" xr:uid="{98A217A0-1FBA-4BCB-8C06-9FA24CCF574F}"/>
    <cellStyle name="Input 75 3 3 3" xfId="34790" xr:uid="{42C95AC9-AB7B-48F2-8BDB-6E2C49000F03}"/>
    <cellStyle name="Input 75 3 4" xfId="10950" xr:uid="{00000000-0005-0000-0000-0000C62A0000}"/>
    <cellStyle name="Input 75 3 4 2" xfId="34792" xr:uid="{4175B43F-73EF-4E68-9B0F-92E72521A07E}"/>
    <cellStyle name="Input 75 3 5" xfId="34785" xr:uid="{2934D0D5-D4B4-4C95-A2FF-18B86C0AF8C7}"/>
    <cellStyle name="Input 75 4" xfId="10951" xr:uid="{00000000-0005-0000-0000-0000C72A0000}"/>
    <cellStyle name="Input 75 4 2" xfId="10952" xr:uid="{00000000-0005-0000-0000-0000C82A0000}"/>
    <cellStyle name="Input 75 4 2 2" xfId="34794" xr:uid="{E9DA977A-5A74-4E3D-B64F-8DE1986CF2AA}"/>
    <cellStyle name="Input 75 4 3" xfId="34793" xr:uid="{67AF148E-F49E-41C7-9EC0-C8D4E7F0FD15}"/>
    <cellStyle name="Input 75 5" xfId="10953" xr:uid="{00000000-0005-0000-0000-0000C92A0000}"/>
    <cellStyle name="Input 75 5 2" xfId="34795" xr:uid="{C803A7EE-AE37-48D1-818A-A1728BECFDBD}"/>
    <cellStyle name="Input 75 6" xfId="34780" xr:uid="{A7674735-1478-4EA2-8739-1A7D3ABE3292}"/>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2 2 2" xfId="34799" xr:uid="{E0AC76A1-6EB8-4B2B-B0DC-16CC0C8A5265}"/>
    <cellStyle name="Input 76 2 2 3" xfId="34798" xr:uid="{7A9B1C34-5453-484C-983E-23DE8A1C3362}"/>
    <cellStyle name="Input 76 2 3" xfId="10958" xr:uid="{00000000-0005-0000-0000-0000CE2A0000}"/>
    <cellStyle name="Input 76 2 3 2" xfId="34800" xr:uid="{DFA9E2EE-622B-46B3-B887-36331153FC5A}"/>
    <cellStyle name="Input 76 2 4" xfId="34797" xr:uid="{3EF95308-9FE3-431F-988C-1D73988B543F}"/>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2 2 2" xfId="34804" xr:uid="{D39ABC10-E56F-4FA1-A08D-082BDB6881FF}"/>
    <cellStyle name="Input 76 3 2 2 3" xfId="34803" xr:uid="{1B7C9824-07FF-42E1-9226-237ADCC53779}"/>
    <cellStyle name="Input 76 3 2 3" xfId="10963" xr:uid="{00000000-0005-0000-0000-0000D32A0000}"/>
    <cellStyle name="Input 76 3 2 3 2" xfId="34805" xr:uid="{613E20FD-894A-4320-9149-24B47CD88450}"/>
    <cellStyle name="Input 76 3 2 4" xfId="34802" xr:uid="{0DB8F03A-BF48-4CEA-935F-C222B7CBF162}"/>
    <cellStyle name="Input 76 3 3" xfId="10964" xr:uid="{00000000-0005-0000-0000-0000D42A0000}"/>
    <cellStyle name="Input 76 3 3 2" xfId="10965" xr:uid="{00000000-0005-0000-0000-0000D52A0000}"/>
    <cellStyle name="Input 76 3 3 2 2" xfId="34807" xr:uid="{1FC2D31D-3656-42D5-9338-0B1C88BB15D0}"/>
    <cellStyle name="Input 76 3 3 3" xfId="34806" xr:uid="{12A7359A-79F5-401A-B1DE-292F6624A66F}"/>
    <cellStyle name="Input 76 3 4" xfId="10966" xr:uid="{00000000-0005-0000-0000-0000D62A0000}"/>
    <cellStyle name="Input 76 3 4 2" xfId="34808" xr:uid="{F2C3D04D-11A6-40C7-BD06-990C835CE6B6}"/>
    <cellStyle name="Input 76 3 5" xfId="34801" xr:uid="{0E396B81-E429-4495-B2E1-D06D7BABADD5}"/>
    <cellStyle name="Input 76 4" xfId="10967" xr:uid="{00000000-0005-0000-0000-0000D72A0000}"/>
    <cellStyle name="Input 76 4 2" xfId="10968" xr:uid="{00000000-0005-0000-0000-0000D82A0000}"/>
    <cellStyle name="Input 76 4 2 2" xfId="34810" xr:uid="{B3354C0A-BC27-4AE2-9743-7CD690DA210E}"/>
    <cellStyle name="Input 76 4 3" xfId="34809" xr:uid="{2E79D913-6C1F-4DD5-BE34-00E0AE97484B}"/>
    <cellStyle name="Input 76 5" xfId="10969" xr:uid="{00000000-0005-0000-0000-0000D92A0000}"/>
    <cellStyle name="Input 76 5 2" xfId="34811" xr:uid="{16A4B7A5-3CDB-46A4-B2E2-DB9A0810B656}"/>
    <cellStyle name="Input 76 6" xfId="34796" xr:uid="{8BABDBAD-FAD7-434A-AC03-4800A5B71F12}"/>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2 2 2" xfId="34815" xr:uid="{BD1941CC-16F9-4E55-9E7F-96F4A6903591}"/>
    <cellStyle name="Input 77 2 2 3" xfId="34814" xr:uid="{78AA9D12-F288-432D-8A3F-EB0BB7CAD5C2}"/>
    <cellStyle name="Input 77 2 3" xfId="10974" xr:uid="{00000000-0005-0000-0000-0000DE2A0000}"/>
    <cellStyle name="Input 77 2 3 2" xfId="34816" xr:uid="{43AEA383-1744-4B33-B323-8C20AA7D3030}"/>
    <cellStyle name="Input 77 2 4" xfId="34813" xr:uid="{E2462BC2-661E-4C0F-8859-4F27CEA06372}"/>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2 2 2" xfId="34820" xr:uid="{6095C8F2-4F74-4D69-A838-683C05AAC47D}"/>
    <cellStyle name="Input 77 3 2 2 3" xfId="34819" xr:uid="{4FF2EB71-CFB0-4FAA-A59E-5DBDF914D01D}"/>
    <cellStyle name="Input 77 3 2 3" xfId="10979" xr:uid="{00000000-0005-0000-0000-0000E32A0000}"/>
    <cellStyle name="Input 77 3 2 3 2" xfId="34821" xr:uid="{E000220D-4AE8-44C8-918C-FD0A297D01C3}"/>
    <cellStyle name="Input 77 3 2 4" xfId="34818" xr:uid="{6810CB05-3F3F-4B37-BFAC-ADD688F6BAE3}"/>
    <cellStyle name="Input 77 3 3" xfId="10980" xr:uid="{00000000-0005-0000-0000-0000E42A0000}"/>
    <cellStyle name="Input 77 3 3 2" xfId="10981" xr:uid="{00000000-0005-0000-0000-0000E52A0000}"/>
    <cellStyle name="Input 77 3 3 2 2" xfId="34823" xr:uid="{DE1637A3-5E09-4802-8ED1-8F120F196FC4}"/>
    <cellStyle name="Input 77 3 3 3" xfId="34822" xr:uid="{5C9838A4-2561-48E4-AE32-DD3C0BA17B38}"/>
    <cellStyle name="Input 77 3 4" xfId="10982" xr:uid="{00000000-0005-0000-0000-0000E62A0000}"/>
    <cellStyle name="Input 77 3 4 2" xfId="34824" xr:uid="{E1727CBE-88B9-426E-9C6B-C647D709E657}"/>
    <cellStyle name="Input 77 3 5" xfId="34817" xr:uid="{781FE095-8CC7-4798-88FB-4FF156EACE0A}"/>
    <cellStyle name="Input 77 4" xfId="10983" xr:uid="{00000000-0005-0000-0000-0000E72A0000}"/>
    <cellStyle name="Input 77 4 2" xfId="10984" xr:uid="{00000000-0005-0000-0000-0000E82A0000}"/>
    <cellStyle name="Input 77 4 2 2" xfId="34826" xr:uid="{CA9BFAF4-E7C2-4124-818D-CAFBCCC4C1FD}"/>
    <cellStyle name="Input 77 4 3" xfId="34825" xr:uid="{974FBDD6-E86A-40F9-A1CF-1EA390497CED}"/>
    <cellStyle name="Input 77 5" xfId="10985" xr:uid="{00000000-0005-0000-0000-0000E92A0000}"/>
    <cellStyle name="Input 77 5 2" xfId="34827" xr:uid="{5DC60924-FD17-498B-A28D-F3B4281CD2DE}"/>
    <cellStyle name="Input 77 6" xfId="34812" xr:uid="{8A05A093-E147-42D2-B3A3-271D1B55AABE}"/>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2 2 2" xfId="34831" xr:uid="{15484633-D3F8-4B59-8692-F156211FFA80}"/>
    <cellStyle name="Input 78 2 2 3" xfId="34830" xr:uid="{E1013E7F-7183-44D5-8382-E1EC6BA46C5A}"/>
    <cellStyle name="Input 78 2 3" xfId="10990" xr:uid="{00000000-0005-0000-0000-0000EE2A0000}"/>
    <cellStyle name="Input 78 2 3 2" xfId="34832" xr:uid="{C25A2E3A-2D18-4C09-8A3F-626DEE5989EC}"/>
    <cellStyle name="Input 78 2 4" xfId="34829" xr:uid="{EDBB4579-175B-401F-AC27-1CCD0219F007}"/>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2 2 2" xfId="34836" xr:uid="{496EECCA-C233-4FA8-A857-67158A991FB2}"/>
    <cellStyle name="Input 78 3 2 2 3" xfId="34835" xr:uid="{3FB876A9-67C1-4605-8DFE-8779F8CD6CDC}"/>
    <cellStyle name="Input 78 3 2 3" xfId="10995" xr:uid="{00000000-0005-0000-0000-0000F32A0000}"/>
    <cellStyle name="Input 78 3 2 3 2" xfId="34837" xr:uid="{09F7320D-373B-47C2-AE5A-79B73A343402}"/>
    <cellStyle name="Input 78 3 2 4" xfId="34834" xr:uid="{93C7A237-D7A1-4402-926A-E6865FBD2AF7}"/>
    <cellStyle name="Input 78 3 3" xfId="10996" xr:uid="{00000000-0005-0000-0000-0000F42A0000}"/>
    <cellStyle name="Input 78 3 3 2" xfId="10997" xr:uid="{00000000-0005-0000-0000-0000F52A0000}"/>
    <cellStyle name="Input 78 3 3 2 2" xfId="34839" xr:uid="{F3ABDA03-D8B1-464F-8583-69AB6EE86C70}"/>
    <cellStyle name="Input 78 3 3 3" xfId="34838" xr:uid="{1A514893-7937-4D8A-9AE0-81CBC3B99429}"/>
    <cellStyle name="Input 78 3 4" xfId="10998" xr:uid="{00000000-0005-0000-0000-0000F62A0000}"/>
    <cellStyle name="Input 78 3 4 2" xfId="34840" xr:uid="{9AD3E68F-7D93-4439-AC9A-CB8BEDD9062F}"/>
    <cellStyle name="Input 78 3 5" xfId="34833" xr:uid="{7C3F4C30-1E60-4C60-807F-50F7103F5715}"/>
    <cellStyle name="Input 78 4" xfId="10999" xr:uid="{00000000-0005-0000-0000-0000F72A0000}"/>
    <cellStyle name="Input 78 4 2" xfId="11000" xr:uid="{00000000-0005-0000-0000-0000F82A0000}"/>
    <cellStyle name="Input 78 4 2 2" xfId="34842" xr:uid="{4E751222-70E5-4748-BBB2-E6B316D85830}"/>
    <cellStyle name="Input 78 4 3" xfId="34841" xr:uid="{EEAE7971-39A4-448A-AEAF-E87D918C7C54}"/>
    <cellStyle name="Input 78 5" xfId="11001" xr:uid="{00000000-0005-0000-0000-0000F92A0000}"/>
    <cellStyle name="Input 78 5 2" xfId="34843" xr:uid="{A5D7CFE7-8041-4C6E-A186-B04B0B44E004}"/>
    <cellStyle name="Input 78 6" xfId="34828" xr:uid="{57D0889D-AF00-4413-8129-23CD7402E43C}"/>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2 2 2" xfId="34847" xr:uid="{5A151530-3E3C-49AF-A05D-AE71BAFE7252}"/>
    <cellStyle name="Input 79 2 2 3" xfId="34846" xr:uid="{7DA35F06-2411-43D9-9F5C-95E7C4EB1302}"/>
    <cellStyle name="Input 79 2 3" xfId="11006" xr:uid="{00000000-0005-0000-0000-0000FE2A0000}"/>
    <cellStyle name="Input 79 2 3 2" xfId="34848" xr:uid="{756F1BA1-4809-45BA-BCCC-9A8136296F44}"/>
    <cellStyle name="Input 79 2 4" xfId="34845" xr:uid="{A25F7072-38C9-403B-8E60-C730A9F08B5C}"/>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2 2 2" xfId="34852" xr:uid="{3B633591-AB51-4345-8C65-244E42D65D21}"/>
    <cellStyle name="Input 79 3 2 2 3" xfId="34851" xr:uid="{3E2C30C5-E08D-4FCF-A45E-6C04D947A7E3}"/>
    <cellStyle name="Input 79 3 2 3" xfId="11011" xr:uid="{00000000-0005-0000-0000-0000032B0000}"/>
    <cellStyle name="Input 79 3 2 3 2" xfId="34853" xr:uid="{7A6B8B87-E98E-44F9-8ED2-C79AE4FFC711}"/>
    <cellStyle name="Input 79 3 2 4" xfId="34850" xr:uid="{D799B5AD-E278-4437-AFC5-B1E3ED9FFD21}"/>
    <cellStyle name="Input 79 3 3" xfId="11012" xr:uid="{00000000-0005-0000-0000-0000042B0000}"/>
    <cellStyle name="Input 79 3 3 2" xfId="11013" xr:uid="{00000000-0005-0000-0000-0000052B0000}"/>
    <cellStyle name="Input 79 3 3 2 2" xfId="34855" xr:uid="{890B976E-D67B-494C-B860-1B56C782CD70}"/>
    <cellStyle name="Input 79 3 3 3" xfId="34854" xr:uid="{24A012E0-D93C-421D-8F72-4C64415E5CB5}"/>
    <cellStyle name="Input 79 3 4" xfId="11014" xr:uid="{00000000-0005-0000-0000-0000062B0000}"/>
    <cellStyle name="Input 79 3 4 2" xfId="34856" xr:uid="{1D9C72DC-E444-468B-A647-30330AB937DA}"/>
    <cellStyle name="Input 79 3 5" xfId="34849" xr:uid="{80E6426B-D861-4975-B882-940530909F74}"/>
    <cellStyle name="Input 79 4" xfId="11015" xr:uid="{00000000-0005-0000-0000-0000072B0000}"/>
    <cellStyle name="Input 79 4 2" xfId="11016" xr:uid="{00000000-0005-0000-0000-0000082B0000}"/>
    <cellStyle name="Input 79 4 2 2" xfId="34858" xr:uid="{0E423F14-DC2D-4391-A0D9-D0B735689535}"/>
    <cellStyle name="Input 79 4 3" xfId="34857" xr:uid="{170E4922-C494-4617-8823-FA900328FB4A}"/>
    <cellStyle name="Input 79 5" xfId="11017" xr:uid="{00000000-0005-0000-0000-0000092B0000}"/>
    <cellStyle name="Input 79 5 2" xfId="34859" xr:uid="{63D31875-13ED-4AF4-9787-BD0096D8965E}"/>
    <cellStyle name="Input 79 6" xfId="34844" xr:uid="{D0A41CAC-E3F5-4603-9A11-903B6681BCA7}"/>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2 2 2" xfId="34863" xr:uid="{5F716067-17C0-48F2-849C-0D94DCB7A25E}"/>
    <cellStyle name="Input 80 2 2 3" xfId="34862" xr:uid="{6B60B277-CD2D-48CD-981D-F8F9532DF110}"/>
    <cellStyle name="Input 80 2 3" xfId="11030" xr:uid="{00000000-0005-0000-0000-0000162B0000}"/>
    <cellStyle name="Input 80 2 3 2" xfId="34864" xr:uid="{EF932E5B-2E59-495D-863E-6F72E965A7A1}"/>
    <cellStyle name="Input 80 2 4" xfId="34861" xr:uid="{5EB87475-CF14-4A16-9561-20C9186F5CBA}"/>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2 2 2" xfId="34868" xr:uid="{9F539918-7EDD-4E48-A8E2-A893A6F03295}"/>
    <cellStyle name="Input 80 3 2 2 3" xfId="34867" xr:uid="{0E3991BC-014E-470E-A37A-24F02AEA6EB3}"/>
    <cellStyle name="Input 80 3 2 3" xfId="11035" xr:uid="{00000000-0005-0000-0000-00001B2B0000}"/>
    <cellStyle name="Input 80 3 2 3 2" xfId="34869" xr:uid="{C13A797E-2698-4A8E-8FA4-29E94023D19A}"/>
    <cellStyle name="Input 80 3 2 4" xfId="34866" xr:uid="{87DE3C9D-F964-4AA9-889F-FF3FF39905DA}"/>
    <cellStyle name="Input 80 3 3" xfId="11036" xr:uid="{00000000-0005-0000-0000-00001C2B0000}"/>
    <cellStyle name="Input 80 3 3 2" xfId="11037" xr:uid="{00000000-0005-0000-0000-00001D2B0000}"/>
    <cellStyle name="Input 80 3 3 2 2" xfId="34871" xr:uid="{85792B9F-48A6-48EC-A7AC-5815E12D5E17}"/>
    <cellStyle name="Input 80 3 3 3" xfId="34870" xr:uid="{EC24A55F-9517-4DD1-8613-14BAAFD9945C}"/>
    <cellStyle name="Input 80 3 4" xfId="11038" xr:uid="{00000000-0005-0000-0000-00001E2B0000}"/>
    <cellStyle name="Input 80 3 4 2" xfId="34872" xr:uid="{578A918A-44D5-4BF3-96D7-827795FD2DE8}"/>
    <cellStyle name="Input 80 3 5" xfId="34865" xr:uid="{0F188D31-2280-4771-B055-BEBF132219B7}"/>
    <cellStyle name="Input 80 4" xfId="11039" xr:uid="{00000000-0005-0000-0000-00001F2B0000}"/>
    <cellStyle name="Input 80 4 2" xfId="11040" xr:uid="{00000000-0005-0000-0000-0000202B0000}"/>
    <cellStyle name="Input 80 4 2 2" xfId="34874" xr:uid="{B0058E87-40E6-41AE-AC48-C690C2DF0263}"/>
    <cellStyle name="Input 80 4 3" xfId="34873" xr:uid="{8B7D49B0-DD43-4676-8F6F-77FD6526DD5C}"/>
    <cellStyle name="Input 80 5" xfId="11041" xr:uid="{00000000-0005-0000-0000-0000212B0000}"/>
    <cellStyle name="Input 80 5 2" xfId="34875" xr:uid="{4A35ED82-F198-489F-83AD-75B866318AAA}"/>
    <cellStyle name="Input 80 6" xfId="34860" xr:uid="{37D3C811-D5DB-4A38-98FB-86B6060BAFBE}"/>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2 2 2" xfId="34879" xr:uid="{DE34B038-4A79-4239-B4E8-5ED3BFE8E9A4}"/>
    <cellStyle name="Input 81 2 2 3" xfId="34878" xr:uid="{A0527494-C943-4587-9F67-1532A2E09CA0}"/>
    <cellStyle name="Input 81 2 3" xfId="11046" xr:uid="{00000000-0005-0000-0000-0000262B0000}"/>
    <cellStyle name="Input 81 2 3 2" xfId="34880" xr:uid="{702BECDF-610B-4E59-97AF-ED6D767CAB1C}"/>
    <cellStyle name="Input 81 2 4" xfId="34877" xr:uid="{7BA08D49-0EB2-4E75-856B-291A4273B279}"/>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2 2 2" xfId="34884" xr:uid="{D6281463-2CC5-481F-8551-8EFBBF3F68F4}"/>
    <cellStyle name="Input 81 3 2 2 3" xfId="34883" xr:uid="{871FEC1D-D530-41D5-941B-B01BBC43DCF0}"/>
    <cellStyle name="Input 81 3 2 3" xfId="11051" xr:uid="{00000000-0005-0000-0000-00002B2B0000}"/>
    <cellStyle name="Input 81 3 2 3 2" xfId="34885" xr:uid="{81B4B739-A646-40C1-8F1A-7F511CECE464}"/>
    <cellStyle name="Input 81 3 2 4" xfId="34882" xr:uid="{37DF6996-E377-49D2-9C08-8DC1EFE04FAC}"/>
    <cellStyle name="Input 81 3 3" xfId="11052" xr:uid="{00000000-0005-0000-0000-00002C2B0000}"/>
    <cellStyle name="Input 81 3 3 2" xfId="11053" xr:uid="{00000000-0005-0000-0000-00002D2B0000}"/>
    <cellStyle name="Input 81 3 3 2 2" xfId="34887" xr:uid="{5C98CF1F-8CCE-4212-83A2-01D5649892C1}"/>
    <cellStyle name="Input 81 3 3 3" xfId="34886" xr:uid="{E961369C-58E5-48ED-AB5B-F10251FAB239}"/>
    <cellStyle name="Input 81 3 4" xfId="11054" xr:uid="{00000000-0005-0000-0000-00002E2B0000}"/>
    <cellStyle name="Input 81 3 4 2" xfId="34888" xr:uid="{5D45C827-6D65-4A01-B699-AFF1E2508CBF}"/>
    <cellStyle name="Input 81 3 5" xfId="34881" xr:uid="{95C74A4B-367B-486E-A234-5C5FA2782138}"/>
    <cellStyle name="Input 81 4" xfId="11055" xr:uid="{00000000-0005-0000-0000-00002F2B0000}"/>
    <cellStyle name="Input 81 4 2" xfId="11056" xr:uid="{00000000-0005-0000-0000-0000302B0000}"/>
    <cellStyle name="Input 81 4 2 2" xfId="34890" xr:uid="{53517F9F-54F9-4933-98F9-AAC61E4B340A}"/>
    <cellStyle name="Input 81 4 3" xfId="34889" xr:uid="{6618E2CF-09A3-454C-A3BB-2E30358E189A}"/>
    <cellStyle name="Input 81 5" xfId="11057" xr:uid="{00000000-0005-0000-0000-0000312B0000}"/>
    <cellStyle name="Input 81 5 2" xfId="34891" xr:uid="{CE06BAF7-7430-4B70-A36B-E5815104EFA9}"/>
    <cellStyle name="Input 81 6" xfId="34876" xr:uid="{ADABCEA1-CA9F-4F5A-843F-EAB9CD01D50C}"/>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2 2 2" xfId="34895" xr:uid="{B5514C1C-25B2-4231-9DAD-D8566D723B43}"/>
    <cellStyle name="Input 82 2 2 3" xfId="34894" xr:uid="{0AB7BDE5-1249-4BAB-87F0-C5D28AF9AD6C}"/>
    <cellStyle name="Input 82 2 3" xfId="11062" xr:uid="{00000000-0005-0000-0000-0000362B0000}"/>
    <cellStyle name="Input 82 2 3 2" xfId="34896" xr:uid="{37CAC68D-1DB5-44EA-8CE8-4D8A392384FB}"/>
    <cellStyle name="Input 82 2 4" xfId="34893" xr:uid="{D12E5C19-0F52-4025-82C2-EF341CE7B3C7}"/>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2 2 2" xfId="34900" xr:uid="{F4488E21-613B-4BDA-BAD8-27FF721452A2}"/>
    <cellStyle name="Input 82 3 2 2 3" xfId="34899" xr:uid="{F0EEF308-A166-45EE-BC3E-3CA366FF331E}"/>
    <cellStyle name="Input 82 3 2 3" xfId="11067" xr:uid="{00000000-0005-0000-0000-00003B2B0000}"/>
    <cellStyle name="Input 82 3 2 3 2" xfId="34901" xr:uid="{D143C137-0D7A-453C-B036-98C56BF6365A}"/>
    <cellStyle name="Input 82 3 2 4" xfId="34898" xr:uid="{98BCD38E-2413-44EE-9A6B-3AD2D77170CD}"/>
    <cellStyle name="Input 82 3 3" xfId="11068" xr:uid="{00000000-0005-0000-0000-00003C2B0000}"/>
    <cellStyle name="Input 82 3 3 2" xfId="11069" xr:uid="{00000000-0005-0000-0000-00003D2B0000}"/>
    <cellStyle name="Input 82 3 3 2 2" xfId="34903" xr:uid="{9F828322-571D-4C8A-B703-58CA39A4F939}"/>
    <cellStyle name="Input 82 3 3 3" xfId="34902" xr:uid="{281D304B-41D9-47DA-AD12-D73C38C076C4}"/>
    <cellStyle name="Input 82 3 4" xfId="11070" xr:uid="{00000000-0005-0000-0000-00003E2B0000}"/>
    <cellStyle name="Input 82 3 4 2" xfId="34904" xr:uid="{4B72E978-A8B8-4087-B37B-A1C143E83DAE}"/>
    <cellStyle name="Input 82 3 5" xfId="34897" xr:uid="{26625B02-4E4E-4F4F-A33A-896A481AF930}"/>
    <cellStyle name="Input 82 4" xfId="11071" xr:uid="{00000000-0005-0000-0000-00003F2B0000}"/>
    <cellStyle name="Input 82 4 2" xfId="11072" xr:uid="{00000000-0005-0000-0000-0000402B0000}"/>
    <cellStyle name="Input 82 4 2 2" xfId="34906" xr:uid="{26F964ED-9FDF-4080-B3AB-D70B4D7C04ED}"/>
    <cellStyle name="Input 82 4 3" xfId="34905" xr:uid="{787996E2-6FD2-4D74-B6B5-0DFADF01D5BB}"/>
    <cellStyle name="Input 82 5" xfId="11073" xr:uid="{00000000-0005-0000-0000-0000412B0000}"/>
    <cellStyle name="Input 82 5 2" xfId="34907" xr:uid="{6179C4D4-746C-44DC-800F-785B1C5F0F13}"/>
    <cellStyle name="Input 82 6" xfId="34892" xr:uid="{57FB2D4D-9F22-453D-81C4-8CFF6E59DE05}"/>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2 2 2" xfId="34911" xr:uid="{6138307C-D5DB-4A0E-98A9-58121CCCA6D2}"/>
    <cellStyle name="Input 83 2 2 3" xfId="34910" xr:uid="{4B653B70-DBF3-4DAC-AE60-D52015376042}"/>
    <cellStyle name="Input 83 2 3" xfId="11078" xr:uid="{00000000-0005-0000-0000-0000462B0000}"/>
    <cellStyle name="Input 83 2 3 2" xfId="34912" xr:uid="{7D990E52-448C-441C-8EAD-F07C62373BA9}"/>
    <cellStyle name="Input 83 2 4" xfId="34909" xr:uid="{EA2A5DE4-B56E-41BC-BCE6-DF8FB2612D7C}"/>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2 2 2" xfId="34916" xr:uid="{C265792D-876B-42B6-87E9-35FBA736F677}"/>
    <cellStyle name="Input 83 3 2 2 3" xfId="34915" xr:uid="{7FC89163-471B-4B21-AA67-30AC70571262}"/>
    <cellStyle name="Input 83 3 2 3" xfId="11083" xr:uid="{00000000-0005-0000-0000-00004B2B0000}"/>
    <cellStyle name="Input 83 3 2 3 2" xfId="34917" xr:uid="{0116C002-D7E3-490B-9EF9-68AFD2CCA090}"/>
    <cellStyle name="Input 83 3 2 4" xfId="34914" xr:uid="{B2E3428D-BD36-4F7C-BE70-5778995A2F43}"/>
    <cellStyle name="Input 83 3 3" xfId="11084" xr:uid="{00000000-0005-0000-0000-00004C2B0000}"/>
    <cellStyle name="Input 83 3 3 2" xfId="11085" xr:uid="{00000000-0005-0000-0000-00004D2B0000}"/>
    <cellStyle name="Input 83 3 3 2 2" xfId="34919" xr:uid="{D5F50C16-1B77-420A-AA47-F8F10673C141}"/>
    <cellStyle name="Input 83 3 3 3" xfId="34918" xr:uid="{F771149D-4C43-4377-B11D-18FD27A05F8C}"/>
    <cellStyle name="Input 83 3 4" xfId="11086" xr:uid="{00000000-0005-0000-0000-00004E2B0000}"/>
    <cellStyle name="Input 83 3 4 2" xfId="34920" xr:uid="{1C750191-C230-4624-8804-1785C2F2927B}"/>
    <cellStyle name="Input 83 3 5" xfId="34913" xr:uid="{4D2CE818-4D02-422A-8D0E-3270D65F1C2E}"/>
    <cellStyle name="Input 83 4" xfId="11087" xr:uid="{00000000-0005-0000-0000-00004F2B0000}"/>
    <cellStyle name="Input 83 4 2" xfId="11088" xr:uid="{00000000-0005-0000-0000-0000502B0000}"/>
    <cellStyle name="Input 83 4 2 2" xfId="34922" xr:uid="{6AC28DBC-7A65-4DD9-92F4-4D4273ABD4B6}"/>
    <cellStyle name="Input 83 4 3" xfId="34921" xr:uid="{54D58747-4099-43DB-AD3D-404565548450}"/>
    <cellStyle name="Input 83 5" xfId="11089" xr:uid="{00000000-0005-0000-0000-0000512B0000}"/>
    <cellStyle name="Input 83 5 2" xfId="34923" xr:uid="{5EF5BD60-3285-4737-A716-389F1BE3686B}"/>
    <cellStyle name="Input 83 6" xfId="34908" xr:uid="{71ABEB26-34AC-4811-8CD4-2CAD57827C5D}"/>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2 2 2" xfId="34927" xr:uid="{F006FD8B-C609-489E-A11A-3F09AB364BA3}"/>
    <cellStyle name="Input 91 2 2 3" xfId="34926" xr:uid="{0FD6637F-0947-4E25-B59C-F77DBAEE3227}"/>
    <cellStyle name="Input 91 2 3" xfId="11158" xr:uid="{00000000-0005-0000-0000-0000962B0000}"/>
    <cellStyle name="Input 91 2 3 2" xfId="34928" xr:uid="{D90E280B-B0D8-47DD-BA84-35C07684A23A}"/>
    <cellStyle name="Input 91 2 4" xfId="34925" xr:uid="{281AF7B1-F46B-4604-86CD-5E1113910331}"/>
    <cellStyle name="Input 91 3" xfId="11159" xr:uid="{00000000-0005-0000-0000-0000972B0000}"/>
    <cellStyle name="Input 91 3 2" xfId="11160" xr:uid="{00000000-0005-0000-0000-0000982B0000}"/>
    <cellStyle name="Input 91 3 2 2" xfId="34930" xr:uid="{FE55F52D-FE20-42D1-A3A4-DC97DB84B5DA}"/>
    <cellStyle name="Input 91 3 3" xfId="34929" xr:uid="{B10EDA52-986F-4E29-A1C7-9E9D046D21DD}"/>
    <cellStyle name="Input 91 4" xfId="11161" xr:uid="{00000000-0005-0000-0000-0000992B0000}"/>
    <cellStyle name="Input 91 4 2" xfId="34931" xr:uid="{A49285E4-9A87-44EE-AC61-3F168252F746}"/>
    <cellStyle name="Input 91 5" xfId="34924" xr:uid="{A9BBA15C-4617-4843-A8EB-BA27A10EAAC6}"/>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2 2 2" xfId="34935" xr:uid="{C92F0C65-9F9D-403C-86EF-B8734D0A29D5}"/>
    <cellStyle name="Input 92 2 2 3" xfId="34934" xr:uid="{177BA197-3849-4791-987B-8DC450CBB89E}"/>
    <cellStyle name="Input 92 2 3" xfId="11166" xr:uid="{00000000-0005-0000-0000-00009E2B0000}"/>
    <cellStyle name="Input 92 2 3 2" xfId="34936" xr:uid="{4458B216-BB27-4554-B480-09F636ECDFDD}"/>
    <cellStyle name="Input 92 2 4" xfId="34933" xr:uid="{24DCE854-AA4D-40CE-B4D7-B4E3ADCA3F1C}"/>
    <cellStyle name="Input 92 3" xfId="11167" xr:uid="{00000000-0005-0000-0000-00009F2B0000}"/>
    <cellStyle name="Input 92 3 2" xfId="11168" xr:uid="{00000000-0005-0000-0000-0000A02B0000}"/>
    <cellStyle name="Input 92 3 2 2" xfId="34938" xr:uid="{41FBC882-9579-4D64-B8C4-4E1C091BCA65}"/>
    <cellStyle name="Input 92 3 3" xfId="34937" xr:uid="{7905986D-41E7-46A1-BEC9-88FE90DA72D7}"/>
    <cellStyle name="Input 92 4" xfId="11169" xr:uid="{00000000-0005-0000-0000-0000A12B0000}"/>
    <cellStyle name="Input 92 4 2" xfId="34939" xr:uid="{6EA2835A-FDF9-41D1-9D10-97242140A468}"/>
    <cellStyle name="Input 92 5" xfId="34932" xr:uid="{34AE02A3-916D-4FDE-9608-328A6EF237D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2 2 2" xfId="34943" xr:uid="{84F88A04-D550-4A39-96ED-2B0FD44CFD82}"/>
    <cellStyle name="Input 93 2 2 3" xfId="34942" xr:uid="{C30ACC58-6B7B-46E6-95FB-164A528834A5}"/>
    <cellStyle name="Input 93 2 3" xfId="11174" xr:uid="{00000000-0005-0000-0000-0000A62B0000}"/>
    <cellStyle name="Input 93 2 3 2" xfId="34944" xr:uid="{BCA044FB-D5CD-4CC7-995D-E3B9F6AE93C9}"/>
    <cellStyle name="Input 93 2 4" xfId="34941" xr:uid="{BA6338C0-7A28-4375-8AF7-9E5481CA1CED}"/>
    <cellStyle name="Input 93 3" xfId="11175" xr:uid="{00000000-0005-0000-0000-0000A72B0000}"/>
    <cellStyle name="Input 93 3 2" xfId="11176" xr:uid="{00000000-0005-0000-0000-0000A82B0000}"/>
    <cellStyle name="Input 93 3 2 2" xfId="34946" xr:uid="{B5372988-2DF5-440C-9686-2A2F397E4BCD}"/>
    <cellStyle name="Input 93 3 3" xfId="34945" xr:uid="{E9826D34-175F-4D2D-B187-E416B28A791C}"/>
    <cellStyle name="Input 93 4" xfId="11177" xr:uid="{00000000-0005-0000-0000-0000A92B0000}"/>
    <cellStyle name="Input 93 4 2" xfId="34947" xr:uid="{07D8BCD0-6FEA-42AE-A99B-AE600E6C5F14}"/>
    <cellStyle name="Input 93 5" xfId="34940" xr:uid="{3AAEBE3B-7199-4CEC-8DB9-EC1F73876394}"/>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2 2 2" xfId="34951" xr:uid="{759678A5-E868-4398-89B2-C0F6B718E66D}"/>
    <cellStyle name="Input 94 2 2 3" xfId="34950" xr:uid="{901BE203-A096-428A-94D2-926F35E31D7B}"/>
    <cellStyle name="Input 94 2 3" xfId="11182" xr:uid="{00000000-0005-0000-0000-0000AE2B0000}"/>
    <cellStyle name="Input 94 2 3 2" xfId="34952" xr:uid="{9725832D-01D3-4540-B30C-2DE0F6BAA417}"/>
    <cellStyle name="Input 94 2 4" xfId="34949" xr:uid="{997BB790-0603-4A92-B69B-96C0B78CE2F5}"/>
    <cellStyle name="Input 94 3" xfId="11183" xr:uid="{00000000-0005-0000-0000-0000AF2B0000}"/>
    <cellStyle name="Input 94 3 2" xfId="11184" xr:uid="{00000000-0005-0000-0000-0000B02B0000}"/>
    <cellStyle name="Input 94 3 2 2" xfId="34954" xr:uid="{5AA2FF9E-39E1-4710-9545-2AAA288D590A}"/>
    <cellStyle name="Input 94 3 3" xfId="34953" xr:uid="{3671EC42-7278-4848-BD33-EDEFB3828896}"/>
    <cellStyle name="Input 94 4" xfId="11185" xr:uid="{00000000-0005-0000-0000-0000B12B0000}"/>
    <cellStyle name="Input 94 4 2" xfId="34955" xr:uid="{CF4B2112-18EC-486C-8280-6DC143FB7F67}"/>
    <cellStyle name="Input 94 5" xfId="34948" xr:uid="{681728B6-9B9B-4071-A375-85A1822CF9FE}"/>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2 2 2" xfId="34959" xr:uid="{517AFEBF-D4FD-4685-8A99-4F5C8582452C}"/>
    <cellStyle name="Input 95 2 2 3" xfId="34958" xr:uid="{97B5826A-A8EE-4164-B4AD-404AE77CE208}"/>
    <cellStyle name="Input 95 2 3" xfId="11190" xr:uid="{00000000-0005-0000-0000-0000B62B0000}"/>
    <cellStyle name="Input 95 2 3 2" xfId="34960" xr:uid="{BFEBDCEA-7C68-4205-898E-97C9A5ED0CDC}"/>
    <cellStyle name="Input 95 2 4" xfId="34957" xr:uid="{FA5C2F19-7DDE-4E89-8CF6-AC7735222C60}"/>
    <cellStyle name="Input 95 3" xfId="11191" xr:uid="{00000000-0005-0000-0000-0000B72B0000}"/>
    <cellStyle name="Input 95 3 2" xfId="11192" xr:uid="{00000000-0005-0000-0000-0000B82B0000}"/>
    <cellStyle name="Input 95 3 2 2" xfId="34962" xr:uid="{645EEA04-88DD-4182-970B-E1572A57019C}"/>
    <cellStyle name="Input 95 3 3" xfId="34961" xr:uid="{4C866B31-61D8-4BC6-87A2-7E81E6DFF1B7}"/>
    <cellStyle name="Input 95 4" xfId="11193" xr:uid="{00000000-0005-0000-0000-0000B92B0000}"/>
    <cellStyle name="Input 95 4 2" xfId="34963" xr:uid="{6A192411-4499-474B-B63F-249283D85B39}"/>
    <cellStyle name="Input 95 5" xfId="34956" xr:uid="{21104135-7CD6-4E3A-97B6-999A2A67E397}"/>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2 2 2" xfId="34967" xr:uid="{FBDC6545-48CC-4E78-876A-6B16735C834D}"/>
    <cellStyle name="Input 96 2 2 3" xfId="34966" xr:uid="{94B97E7D-B277-4B45-BF94-79425537C7DC}"/>
    <cellStyle name="Input 96 2 3" xfId="11198" xr:uid="{00000000-0005-0000-0000-0000BE2B0000}"/>
    <cellStyle name="Input 96 2 3 2" xfId="34968" xr:uid="{6588E9E3-F205-4AC9-BB89-FFF43FA75EC2}"/>
    <cellStyle name="Input 96 2 4" xfId="34965" xr:uid="{599A9B11-3287-4817-A0E6-7BB23613EBF3}"/>
    <cellStyle name="Input 96 3" xfId="11199" xr:uid="{00000000-0005-0000-0000-0000BF2B0000}"/>
    <cellStyle name="Input 96 3 2" xfId="11200" xr:uid="{00000000-0005-0000-0000-0000C02B0000}"/>
    <cellStyle name="Input 96 3 2 2" xfId="34970" xr:uid="{8C09235A-4C82-4E9E-A6FA-CF7A85676ECA}"/>
    <cellStyle name="Input 96 3 3" xfId="34969" xr:uid="{697557BB-8166-483E-B2E4-E788C7456F15}"/>
    <cellStyle name="Input 96 4" xfId="11201" xr:uid="{00000000-0005-0000-0000-0000C12B0000}"/>
    <cellStyle name="Input 96 4 2" xfId="34971" xr:uid="{C812F0AA-5677-4E5E-8E84-23A16783AAA3}"/>
    <cellStyle name="Input 96 5" xfId="34964" xr:uid="{F2B1AA8F-3BBA-443C-B251-52B46DBD5ABD}"/>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2 2 2" xfId="34975" xr:uid="{7AA54D8F-20DB-4D9F-BC58-D4FEA14B767F}"/>
    <cellStyle name="Input 97 2 2 3" xfId="34974" xr:uid="{043B6594-6732-437D-97E5-9106193F4A73}"/>
    <cellStyle name="Input 97 2 3" xfId="11206" xr:uid="{00000000-0005-0000-0000-0000C62B0000}"/>
    <cellStyle name="Input 97 2 3 2" xfId="34976" xr:uid="{441BE3F5-F9AD-4860-8E65-282D17185F65}"/>
    <cellStyle name="Input 97 2 4" xfId="34973" xr:uid="{BAD54384-7C0A-4449-8AED-9C4B4F2C4DDC}"/>
    <cellStyle name="Input 97 3" xfId="11207" xr:uid="{00000000-0005-0000-0000-0000C72B0000}"/>
    <cellStyle name="Input 97 3 2" xfId="11208" xr:uid="{00000000-0005-0000-0000-0000C82B0000}"/>
    <cellStyle name="Input 97 3 2 2" xfId="34978" xr:uid="{44FD48CB-0DDA-4276-B954-05B01B136EA1}"/>
    <cellStyle name="Input 97 3 3" xfId="34977" xr:uid="{DBD8D673-D37B-4D06-AB0B-420F6D082D87}"/>
    <cellStyle name="Input 97 4" xfId="11209" xr:uid="{00000000-0005-0000-0000-0000C92B0000}"/>
    <cellStyle name="Input 97 4 2" xfId="34979" xr:uid="{BBFB3099-3BDC-469B-824F-DE8331ED092B}"/>
    <cellStyle name="Input 97 5" xfId="34972" xr:uid="{89FF0D6E-61AC-4EE5-9E6C-C8F244EA28D2}"/>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2 2 2" xfId="34983" xr:uid="{CB4DF283-BB2A-4E49-B85C-FDA7A2549D22}"/>
    <cellStyle name="Input 98 2 2 3" xfId="34982" xr:uid="{FDADD102-2A1B-4AEC-9C93-798ED54CD7F6}"/>
    <cellStyle name="Input 98 2 3" xfId="11214" xr:uid="{00000000-0005-0000-0000-0000CE2B0000}"/>
    <cellStyle name="Input 98 2 3 2" xfId="34984" xr:uid="{A81B9633-42B8-48A1-99A3-5CFBD123AAB5}"/>
    <cellStyle name="Input 98 2 4" xfId="34981" xr:uid="{80418735-B588-43DB-BD0A-50652590846A}"/>
    <cellStyle name="Input 98 3" xfId="11215" xr:uid="{00000000-0005-0000-0000-0000CF2B0000}"/>
    <cellStyle name="Input 98 3 2" xfId="11216" xr:uid="{00000000-0005-0000-0000-0000D02B0000}"/>
    <cellStyle name="Input 98 3 2 2" xfId="34986" xr:uid="{15931D20-8C74-49AD-A4D3-FFDF298A7690}"/>
    <cellStyle name="Input 98 3 3" xfId="34985" xr:uid="{99EC9537-2A07-47FF-A681-00C7ABF0FA3C}"/>
    <cellStyle name="Input 98 4" xfId="11217" xr:uid="{00000000-0005-0000-0000-0000D12B0000}"/>
    <cellStyle name="Input 98 4 2" xfId="34987" xr:uid="{4C296BB0-BFC6-4CA2-AD3B-CE751076F880}"/>
    <cellStyle name="Input 98 5" xfId="34980" xr:uid="{A740B961-E8A7-4C76-97C8-F8A7FA1A388A}"/>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2 2 2" xfId="34991" xr:uid="{537457CA-736C-4809-BAFF-FFE9E2618AE5}"/>
    <cellStyle name="Input 99 2 2 3" xfId="34990" xr:uid="{963232AD-2F62-4E5F-9562-7857739CF76D}"/>
    <cellStyle name="Input 99 2 3" xfId="11222" xr:uid="{00000000-0005-0000-0000-0000D62B0000}"/>
    <cellStyle name="Input 99 2 3 2" xfId="34992" xr:uid="{7774A180-D3FB-4C08-BDAC-DE1087E75631}"/>
    <cellStyle name="Input 99 2 4" xfId="34989" xr:uid="{C87D2B69-397B-4E03-AC12-03718AC32F03}"/>
    <cellStyle name="Input 99 3" xfId="11223" xr:uid="{00000000-0005-0000-0000-0000D72B0000}"/>
    <cellStyle name="Input 99 3 2" xfId="11224" xr:uid="{00000000-0005-0000-0000-0000D82B0000}"/>
    <cellStyle name="Input 99 3 2 2" xfId="34994" xr:uid="{D7BB1B9A-A676-4B6B-8E8F-F69DBB91B236}"/>
    <cellStyle name="Input 99 3 3" xfId="34993" xr:uid="{53AFE6FF-465A-40A4-8B5C-967C3D07DD2C}"/>
    <cellStyle name="Input 99 4" xfId="11225" xr:uid="{00000000-0005-0000-0000-0000D92B0000}"/>
    <cellStyle name="Input 99 4 2" xfId="34995" xr:uid="{B18E96CB-1240-4AAB-BAC9-7250CB270E39}"/>
    <cellStyle name="Input 99 5" xfId="34988" xr:uid="{D565961F-59B0-478C-AE16-5EFD17D55E5D}"/>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5" xr:uid="{9CF0F532-4C20-4AEC-A36A-F12BEE6BBB47}"/>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CE7E799-8FEF-499D-8D1F-4DE80546C019}"/>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Cell 2" xfId="35000" xr:uid="{CEEE587D-48C3-4BC2-AE8A-972B253C4C96}"/>
    <cellStyle name="SAPDataTotalCell" xfId="15" xr:uid="{00000000-0005-0000-0000-00000F000000}"/>
    <cellStyle name="SAPDataTotalCell 2" xfId="35002" xr:uid="{82FD94CC-B044-47EF-993A-342800FC34A5}"/>
    <cellStyle name="SAPDimensionCell" xfId="16" xr:uid="{00000000-0005-0000-0000-000010000000}"/>
    <cellStyle name="SAPDimensionCell 2" xfId="34998" xr:uid="{57A3E20C-7E43-4B8E-82D6-B82407F6885B}"/>
    <cellStyle name="SAPDimensionCell 3" xfId="31686" xr:uid="{C3EC1B9D-46CE-4C49-B62A-AB4342255CA3}"/>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7 2" xfId="31687" xr:uid="{AD4166D9-2E3E-4F25-AA76-666E75924635}"/>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Cell 2" xfId="34999" xr:uid="{B1BF5EF9-937D-4792-B33D-618D465B151C}"/>
    <cellStyle name="SAPMemberTotalCell" xfId="44" xr:uid="{00000000-0005-0000-0000-00002C000000}"/>
    <cellStyle name="SAPMemberTotalCell 2" xfId="35001" xr:uid="{39F92077-FAF1-42BF-B918-A8C7A5BA1D76}"/>
    <cellStyle name="SAPMemberTotalCell 3" xfId="31688" xr:uid="{B63B3CFA-E2DA-472E-82FA-52A950A16817}"/>
    <cellStyle name="SAPReadonlyDataCell" xfId="45" xr:uid="{00000000-0005-0000-0000-00002D000000}"/>
    <cellStyle name="SAPReadonlyDataTotalCell" xfId="46" xr:uid="{00000000-0005-0000-0000-00002E000000}"/>
  </cellStyles>
  <dxfs count="5">
    <dxf>
      <fill>
        <patternFill>
          <bgColor indexed="42"/>
        </patternFill>
      </fill>
    </dxf>
    <dxf>
      <fill>
        <patternFill>
          <bgColor indexed="42"/>
        </patternFill>
      </fill>
    </dxf>
    <dxf>
      <font>
        <color auto="1"/>
      </font>
    </dxf>
    <dxf>
      <font>
        <color auto="1"/>
      </font>
    </dxf>
    <dxf>
      <font>
        <color rgb="FF9C0006"/>
      </font>
      <fill>
        <patternFill>
          <bgColor rgb="FFFFC7CE"/>
        </patternFill>
      </fill>
    </dxf>
  </dxfs>
  <tableStyles count="0" defaultTableStyle="TableStyleMedium2" defaultPivotStyle="PivotStyleLight16"/>
  <colors>
    <mruColors>
      <color rgb="FFFFE97D"/>
      <color rgb="FFFFE9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4GRC/2PreNOI_Run_MayRun/Input/lkpCommonUC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s.utility.pge.com/2014GRC/2PreNOI_Run_MayRun/Input/lkpCommonU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customProperty" Target="../customProperty27.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customProperty" Target="../customProperty29.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customProperty" Target="../customProperty31.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customProperty" Target="../customProperty33.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customProperty" Target="../customProperty3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ustomProperty" Target="../customProperty38.bin"/><Relationship Id="rId2" Type="http://schemas.openxmlformats.org/officeDocument/2006/relationships/customProperty" Target="../customProperty37.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ustomProperty" Target="../customProperty40.bin"/><Relationship Id="rId2" Type="http://schemas.openxmlformats.org/officeDocument/2006/relationships/customProperty" Target="../customProperty39.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42.bin"/><Relationship Id="rId2" Type="http://schemas.openxmlformats.org/officeDocument/2006/relationships/customProperty" Target="../customProperty4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ustomProperty" Target="../customProperty44.bin"/><Relationship Id="rId2" Type="http://schemas.openxmlformats.org/officeDocument/2006/relationships/customProperty" Target="../customProperty43.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ustomProperty" Target="../customProperty46.bin"/><Relationship Id="rId2" Type="http://schemas.openxmlformats.org/officeDocument/2006/relationships/customProperty" Target="../customProperty45.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ustomProperty" Target="../customProperty48.bin"/><Relationship Id="rId2" Type="http://schemas.openxmlformats.org/officeDocument/2006/relationships/customProperty" Target="../customProperty47.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ustomProperty" Target="../customProperty50.bin"/><Relationship Id="rId2" Type="http://schemas.openxmlformats.org/officeDocument/2006/relationships/customProperty" Target="../customProperty49.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ustomProperty" Target="../customProperty52.bin"/><Relationship Id="rId2" Type="http://schemas.openxmlformats.org/officeDocument/2006/relationships/customProperty" Target="../customProperty51.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ustomProperty" Target="../customProperty54.bin"/><Relationship Id="rId2" Type="http://schemas.openxmlformats.org/officeDocument/2006/relationships/customProperty" Target="../customProperty53.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ustomProperty" Target="../customProperty56.bin"/><Relationship Id="rId2" Type="http://schemas.openxmlformats.org/officeDocument/2006/relationships/customProperty" Target="../customProperty55.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ustomProperty" Target="../customProperty58.bin"/><Relationship Id="rId2" Type="http://schemas.openxmlformats.org/officeDocument/2006/relationships/customProperty" Target="../customProperty57.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ustomProperty" Target="../customProperty60.bin"/><Relationship Id="rId2" Type="http://schemas.openxmlformats.org/officeDocument/2006/relationships/customProperty" Target="../customProperty5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62.bin"/><Relationship Id="rId2" Type="http://schemas.openxmlformats.org/officeDocument/2006/relationships/customProperty" Target="../customProperty6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ustomProperty" Target="../customProperty64.bin"/><Relationship Id="rId2" Type="http://schemas.openxmlformats.org/officeDocument/2006/relationships/customProperty" Target="../customProperty63.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ustomProperty" Target="../customProperty66.bin"/><Relationship Id="rId2" Type="http://schemas.openxmlformats.org/officeDocument/2006/relationships/customProperty" Target="../customProperty65.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ustomProperty" Target="../customProperty68.bin"/><Relationship Id="rId2" Type="http://schemas.openxmlformats.org/officeDocument/2006/relationships/customProperty" Target="../customProperty67.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ustomProperty" Target="../customProperty70.bin"/><Relationship Id="rId2" Type="http://schemas.openxmlformats.org/officeDocument/2006/relationships/customProperty" Target="../customProperty69.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ustomProperty" Target="../customProperty72.bin"/><Relationship Id="rId2" Type="http://schemas.openxmlformats.org/officeDocument/2006/relationships/customProperty" Target="../customProperty71.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ustomProperty" Target="../customProperty74.bin"/><Relationship Id="rId2" Type="http://schemas.openxmlformats.org/officeDocument/2006/relationships/customProperty" Target="../customProperty73.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ustomProperty" Target="../customProperty76.bin"/><Relationship Id="rId2" Type="http://schemas.openxmlformats.org/officeDocument/2006/relationships/customProperty" Target="../customProperty75.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F17"/>
  <sheetViews>
    <sheetView view="pageBreakPreview" zoomScale="130" zoomScaleSheetLayoutView="130" workbookViewId="0">
      <selection activeCell="D58" sqref="D58"/>
    </sheetView>
  </sheetViews>
  <sheetFormatPr defaultRowHeight="15"/>
  <sheetData>
    <row r="5" spans="1:6" ht="20.25">
      <c r="A5" s="807"/>
      <c r="B5" s="807"/>
      <c r="C5" s="807"/>
      <c r="D5" s="807"/>
      <c r="E5" s="807"/>
      <c r="F5" s="807"/>
    </row>
    <row r="6" spans="1:6" ht="20.25">
      <c r="A6" s="807"/>
      <c r="B6" s="807"/>
      <c r="C6" s="807"/>
      <c r="D6" s="807"/>
      <c r="E6" s="807"/>
      <c r="F6" s="807"/>
    </row>
    <row r="7" spans="1:6" ht="20.25">
      <c r="A7" s="807"/>
      <c r="B7" s="807"/>
      <c r="C7" s="807"/>
      <c r="D7" s="807"/>
      <c r="E7" s="807"/>
      <c r="F7" s="807"/>
    </row>
    <row r="8" spans="1:6" ht="20.25">
      <c r="A8" s="61"/>
      <c r="B8" s="61"/>
      <c r="C8" s="61"/>
      <c r="D8" s="61"/>
      <c r="E8" s="61"/>
      <c r="F8" s="61"/>
    </row>
    <row r="9" spans="1:6">
      <c r="A9" s="60"/>
      <c r="B9" s="60"/>
      <c r="C9" s="60"/>
      <c r="D9" s="60"/>
      <c r="E9" s="60"/>
      <c r="F9" s="60"/>
    </row>
    <row r="10" spans="1:6" ht="18.75">
      <c r="A10" s="808" t="s">
        <v>0</v>
      </c>
      <c r="B10" s="808"/>
      <c r="C10" s="808"/>
      <c r="D10" s="808"/>
      <c r="E10" s="808"/>
      <c r="F10" s="808"/>
    </row>
    <row r="11" spans="1:6" ht="18.75">
      <c r="A11" s="808" t="s">
        <v>1</v>
      </c>
      <c r="B11" s="808"/>
      <c r="C11" s="808"/>
      <c r="D11" s="808"/>
      <c r="E11" s="808"/>
      <c r="F11" s="808"/>
    </row>
    <row r="12" spans="1:6" ht="18.75">
      <c r="A12" s="62"/>
      <c r="B12" s="62"/>
      <c r="C12" s="62"/>
      <c r="D12" s="62"/>
      <c r="E12" s="62"/>
      <c r="F12" s="62"/>
    </row>
    <row r="13" spans="1:6" ht="18.75">
      <c r="A13" s="808" t="s">
        <v>2</v>
      </c>
      <c r="B13" s="808"/>
      <c r="C13" s="808"/>
      <c r="D13" s="808"/>
      <c r="E13" s="808"/>
      <c r="F13" s="808"/>
    </row>
    <row r="14" spans="1:6" ht="18.75">
      <c r="A14" s="808" t="s">
        <v>3</v>
      </c>
      <c r="B14" s="808"/>
      <c r="C14" s="808"/>
      <c r="D14" s="808"/>
      <c r="E14" s="808"/>
      <c r="F14" s="808"/>
    </row>
    <row r="15" spans="1:6" ht="20.25">
      <c r="A15" s="807"/>
      <c r="B15" s="807"/>
      <c r="C15" s="807"/>
      <c r="D15" s="807"/>
      <c r="E15" s="807"/>
      <c r="F15" s="807"/>
    </row>
    <row r="16" spans="1:6">
      <c r="A16" s="60"/>
      <c r="B16" s="60"/>
      <c r="C16" s="60"/>
      <c r="D16" s="60"/>
      <c r="E16" s="60"/>
      <c r="F16" s="60"/>
    </row>
    <row r="17" spans="1:6">
      <c r="A17" s="60"/>
      <c r="B17" s="60"/>
      <c r="C17" s="60"/>
      <c r="D17" s="60"/>
      <c r="E17" s="60"/>
      <c r="F17" s="60"/>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orientation="portrait" r:id="rId1"/>
  <customProperties>
    <customPr name="_pios_id" r:id="rId2"/>
    <customPr name="EpmWorksheetKeyString_GU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0"/>
  <sheetViews>
    <sheetView view="pageBreakPreview" topLeftCell="A9" zoomScale="90" zoomScaleNormal="70" zoomScaleSheetLayoutView="90" zoomScalePageLayoutView="70" workbookViewId="0">
      <selection activeCell="C11" sqref="C11"/>
    </sheetView>
  </sheetViews>
  <sheetFormatPr defaultColWidth="9.140625" defaultRowHeight="15"/>
  <cols>
    <col min="1" max="1" width="4.85546875" style="95" bestFit="1" customWidth="1"/>
    <col min="2" max="2" width="50.140625" style="97" customWidth="1"/>
    <col min="3" max="3" width="17.85546875" style="99" customWidth="1"/>
    <col min="4" max="4" width="17.85546875" style="95" bestFit="1" customWidth="1"/>
    <col min="5" max="5" width="21.7109375" style="95" customWidth="1"/>
    <col min="6" max="6" width="24" style="95" bestFit="1" customWidth="1"/>
    <col min="7" max="7" width="44.42578125" style="95" customWidth="1"/>
    <col min="8" max="8" width="6.7109375" style="95" bestFit="1" customWidth="1"/>
    <col min="9" max="9" width="29.140625" style="95" bestFit="1" customWidth="1"/>
    <col min="10" max="10" width="17.85546875" style="95" bestFit="1" customWidth="1"/>
    <col min="11" max="11" width="13.42578125" style="95" customWidth="1"/>
    <col min="12" max="12" width="10" style="95" bestFit="1" customWidth="1"/>
    <col min="13" max="14" width="15.5703125" style="95" customWidth="1"/>
    <col min="15" max="15" width="13.42578125" style="95" customWidth="1"/>
    <col min="16" max="16384" width="9.140625" style="95"/>
  </cols>
  <sheetData>
    <row r="1" spans="1:10">
      <c r="B1" s="96" t="s">
        <v>20</v>
      </c>
      <c r="C1" s="97"/>
      <c r="D1" s="97"/>
      <c r="E1" s="97"/>
      <c r="F1" s="97"/>
      <c r="G1" s="6" t="str">
        <f>CONCATENATE("Prior Year: ",'1-BaseTRR'!$G$2)</f>
        <v>Prior Year: 2021</v>
      </c>
      <c r="H1" s="97"/>
      <c r="J1" s="98"/>
    </row>
    <row r="2" spans="1:10">
      <c r="B2" s="39" t="s">
        <v>131</v>
      </c>
      <c r="C2" s="97"/>
      <c r="D2" s="97"/>
      <c r="E2" s="97"/>
      <c r="F2" s="97"/>
      <c r="H2" s="97"/>
      <c r="J2" s="98"/>
    </row>
    <row r="3" spans="1:10">
      <c r="A3" s="3"/>
      <c r="E3" s="3"/>
      <c r="F3" s="97"/>
      <c r="G3" s="97"/>
      <c r="H3" s="97"/>
      <c r="J3" s="98"/>
    </row>
    <row r="4" spans="1:10">
      <c r="B4" s="45" t="s">
        <v>562</v>
      </c>
      <c r="C4" s="45"/>
      <c r="D4" s="45"/>
      <c r="E4" s="45"/>
      <c r="F4" s="45"/>
      <c r="G4" s="45"/>
      <c r="H4" s="5"/>
      <c r="I4" s="97"/>
      <c r="J4" s="100"/>
    </row>
    <row r="5" spans="1:10">
      <c r="A5" s="3" t="s">
        <v>100</v>
      </c>
      <c r="B5" s="3" t="s">
        <v>6</v>
      </c>
      <c r="F5" s="3" t="s">
        <v>134</v>
      </c>
      <c r="G5" s="3" t="s">
        <v>135</v>
      </c>
      <c r="H5" s="3" t="s">
        <v>100</v>
      </c>
      <c r="I5" s="97"/>
      <c r="J5" s="98"/>
    </row>
    <row r="6" spans="1:10">
      <c r="A6" s="101"/>
      <c r="B6" s="102" t="s">
        <v>563</v>
      </c>
      <c r="C6" s="103"/>
      <c r="D6" s="97"/>
      <c r="E6" s="101"/>
      <c r="F6" s="97"/>
      <c r="G6" s="104"/>
      <c r="H6" s="101"/>
      <c r="I6" s="97"/>
      <c r="J6" s="98"/>
    </row>
    <row r="7" spans="1:10">
      <c r="A7" s="101">
        <v>100</v>
      </c>
      <c r="B7" s="98" t="s">
        <v>564</v>
      </c>
      <c r="C7" s="103"/>
      <c r="D7" s="97"/>
      <c r="E7" s="101"/>
      <c r="F7" s="461">
        <v>36443675751.440002</v>
      </c>
      <c r="G7" s="97" t="s">
        <v>565</v>
      </c>
      <c r="H7" s="101">
        <f t="shared" ref="H7:H14" si="0">A7</f>
        <v>100</v>
      </c>
      <c r="I7" s="97"/>
      <c r="J7" s="98"/>
    </row>
    <row r="8" spans="1:10">
      <c r="A8" s="101">
        <f>A7+1</f>
        <v>101</v>
      </c>
      <c r="B8" s="98" t="s">
        <v>566</v>
      </c>
      <c r="C8" s="105"/>
      <c r="D8" s="106"/>
      <c r="E8" s="101"/>
      <c r="F8" s="461">
        <v>0</v>
      </c>
      <c r="G8" s="97" t="s">
        <v>567</v>
      </c>
      <c r="H8" s="101">
        <f t="shared" si="0"/>
        <v>101</v>
      </c>
      <c r="I8" s="97"/>
      <c r="J8" s="98"/>
    </row>
    <row r="9" spans="1:10">
      <c r="A9" s="101">
        <f t="shared" ref="A9:A14" si="1">A8+1</f>
        <v>102</v>
      </c>
      <c r="B9" s="98" t="s">
        <v>568</v>
      </c>
      <c r="C9" s="105"/>
      <c r="D9" s="106"/>
      <c r="E9" s="101"/>
      <c r="F9" s="461">
        <v>0</v>
      </c>
      <c r="G9" s="97" t="s">
        <v>569</v>
      </c>
      <c r="H9" s="101">
        <f t="shared" si="0"/>
        <v>102</v>
      </c>
      <c r="I9" s="97"/>
      <c r="J9" s="98"/>
    </row>
    <row r="10" spans="1:10">
      <c r="A10" s="101">
        <f t="shared" si="1"/>
        <v>103</v>
      </c>
      <c r="B10" s="98" t="s">
        <v>570</v>
      </c>
      <c r="C10" s="105"/>
      <c r="D10" s="106"/>
      <c r="E10" s="101"/>
      <c r="F10" s="461">
        <v>5486057.9100000001</v>
      </c>
      <c r="G10" s="97" t="s">
        <v>571</v>
      </c>
      <c r="H10" s="101">
        <f t="shared" si="0"/>
        <v>103</v>
      </c>
      <c r="I10" s="97"/>
      <c r="J10" s="98"/>
    </row>
    <row r="11" spans="1:10">
      <c r="A11" s="101">
        <f t="shared" si="1"/>
        <v>104</v>
      </c>
      <c r="B11" s="98" t="s">
        <v>572</v>
      </c>
      <c r="C11" s="105"/>
      <c r="D11" s="106"/>
      <c r="E11" s="101"/>
      <c r="F11" s="461">
        <v>26193407.199999999</v>
      </c>
      <c r="G11" s="97" t="s">
        <v>573</v>
      </c>
      <c r="H11" s="101">
        <f t="shared" si="0"/>
        <v>104</v>
      </c>
      <c r="I11" s="97"/>
      <c r="J11" s="98"/>
    </row>
    <row r="12" spans="1:10">
      <c r="A12" s="101">
        <f t="shared" si="1"/>
        <v>105</v>
      </c>
      <c r="B12" s="98" t="s">
        <v>574</v>
      </c>
      <c r="C12" s="105"/>
      <c r="D12" s="106"/>
      <c r="E12" s="101"/>
      <c r="F12" s="461">
        <v>150494395.88999999</v>
      </c>
      <c r="G12" s="97" t="s">
        <v>575</v>
      </c>
      <c r="H12" s="101">
        <f t="shared" si="0"/>
        <v>105</v>
      </c>
      <c r="I12" s="97"/>
      <c r="J12" s="98"/>
    </row>
    <row r="13" spans="1:10">
      <c r="A13" s="101">
        <f t="shared" si="1"/>
        <v>106</v>
      </c>
      <c r="B13" s="98" t="s">
        <v>576</v>
      </c>
      <c r="C13" s="105"/>
      <c r="D13" s="106"/>
      <c r="E13" s="101"/>
      <c r="F13" s="462">
        <v>49489664.189999998</v>
      </c>
      <c r="G13" s="97" t="s">
        <v>577</v>
      </c>
      <c r="H13" s="101">
        <f t="shared" si="0"/>
        <v>106</v>
      </c>
      <c r="I13" s="97"/>
      <c r="J13" s="98"/>
    </row>
    <row r="14" spans="1:10">
      <c r="A14" s="101">
        <f t="shared" si="1"/>
        <v>107</v>
      </c>
      <c r="B14" s="538" t="s">
        <v>578</v>
      </c>
      <c r="C14" s="105"/>
      <c r="D14" s="106"/>
      <c r="E14" s="101"/>
      <c r="F14" s="465">
        <f>F7-F8+F9+F10-F11-F12-F13</f>
        <v>36222984342.070007</v>
      </c>
      <c r="G14" s="97" t="str">
        <f>CONCATENATE("Lines ((",A7," + ",A9," + ",A10,") - (",A8," + ",A11," + ",A12," + ",A13," ))")</f>
        <v>Lines ((100 + 102 + 103) - (101 + 104 + 105 + 106 ))</v>
      </c>
      <c r="H14" s="101">
        <f t="shared" si="0"/>
        <v>107</v>
      </c>
      <c r="I14" s="108"/>
      <c r="J14" s="107"/>
    </row>
    <row r="15" spans="1:10">
      <c r="A15" s="101"/>
      <c r="B15" s="98"/>
      <c r="C15" s="105"/>
      <c r="D15" s="106"/>
      <c r="E15" s="101"/>
      <c r="F15" s="109"/>
      <c r="G15" s="97"/>
      <c r="H15" s="97"/>
      <c r="J15" s="98"/>
    </row>
    <row r="16" spans="1:10">
      <c r="A16" s="101"/>
      <c r="B16" s="102" t="s">
        <v>579</v>
      </c>
      <c r="C16" s="105"/>
      <c r="D16" s="106"/>
      <c r="E16" s="101"/>
      <c r="F16" s="109"/>
      <c r="G16" s="97"/>
      <c r="H16" s="97"/>
      <c r="J16" s="98"/>
    </row>
    <row r="17" spans="1:12">
      <c r="A17" s="101">
        <f>A14+1</f>
        <v>108</v>
      </c>
      <c r="B17" s="98" t="s">
        <v>580</v>
      </c>
      <c r="C17" s="105"/>
      <c r="D17" s="106"/>
      <c r="E17" s="101"/>
      <c r="F17" s="463">
        <v>1200006997</v>
      </c>
      <c r="G17" s="97" t="s">
        <v>581</v>
      </c>
      <c r="H17" s="101">
        <f t="shared" ref="H17:H24" si="2">A17</f>
        <v>108</v>
      </c>
      <c r="J17" s="98"/>
    </row>
    <row r="18" spans="1:12">
      <c r="A18" s="101">
        <f>A17+1</f>
        <v>109</v>
      </c>
      <c r="B18" s="98" t="s">
        <v>582</v>
      </c>
      <c r="C18" s="105"/>
      <c r="D18" s="106"/>
      <c r="E18" s="101"/>
      <c r="F18" s="461">
        <v>65454865.799999997</v>
      </c>
      <c r="G18" s="97" t="s">
        <v>583</v>
      </c>
      <c r="H18" s="101">
        <f t="shared" si="2"/>
        <v>109</v>
      </c>
      <c r="J18" s="98"/>
    </row>
    <row r="19" spans="1:12">
      <c r="A19" s="101">
        <f t="shared" ref="A19:A22" si="3">A18+1</f>
        <v>110</v>
      </c>
      <c r="B19" s="98" t="s">
        <v>584</v>
      </c>
      <c r="C19" s="105"/>
      <c r="D19" s="106"/>
      <c r="E19" s="101"/>
      <c r="F19" s="461">
        <v>13507902</v>
      </c>
      <c r="G19" s="97" t="s">
        <v>585</v>
      </c>
      <c r="H19" s="101">
        <f t="shared" si="2"/>
        <v>110</v>
      </c>
      <c r="J19" s="98"/>
    </row>
    <row r="20" spans="1:12">
      <c r="A20" s="101">
        <f t="shared" si="3"/>
        <v>111</v>
      </c>
      <c r="B20" s="98" t="s">
        <v>586</v>
      </c>
      <c r="C20" s="105"/>
      <c r="D20" s="106"/>
      <c r="E20" s="101"/>
      <c r="F20" s="461">
        <v>817992</v>
      </c>
      <c r="G20" s="97" t="s">
        <v>587</v>
      </c>
      <c r="H20" s="101">
        <f t="shared" si="2"/>
        <v>111</v>
      </c>
      <c r="J20" s="98"/>
    </row>
    <row r="21" spans="1:12">
      <c r="A21" s="101">
        <f t="shared" si="3"/>
        <v>112</v>
      </c>
      <c r="B21" s="98" t="s">
        <v>588</v>
      </c>
      <c r="C21" s="105"/>
      <c r="D21" s="106"/>
      <c r="E21" s="101"/>
      <c r="F21" s="462">
        <v>139701</v>
      </c>
      <c r="G21" s="97" t="s">
        <v>589</v>
      </c>
      <c r="H21" s="101">
        <f t="shared" si="2"/>
        <v>112</v>
      </c>
      <c r="J21" s="98"/>
    </row>
    <row r="22" spans="1:12">
      <c r="A22" s="101">
        <f t="shared" si="3"/>
        <v>113</v>
      </c>
      <c r="B22" s="538" t="s">
        <v>590</v>
      </c>
      <c r="C22" s="105"/>
      <c r="D22" s="106"/>
      <c r="E22" s="101"/>
      <c r="F22" s="539">
        <f>+F17+F18+F19-F20-F21</f>
        <v>1278012071.8</v>
      </c>
      <c r="G22" s="97" t="str">
        <f>CONCATENATE("Lines ((",A17," + ",A18," + ",A19,") - (",A20," + ",A21,"))")</f>
        <v>Lines ((108 + 109 + 110) - (111 + 112))</v>
      </c>
      <c r="H22" s="101">
        <f t="shared" si="2"/>
        <v>113</v>
      </c>
      <c r="J22" s="98"/>
    </row>
    <row r="23" spans="1:12">
      <c r="A23" s="101"/>
      <c r="B23" s="98"/>
      <c r="C23" s="105"/>
      <c r="D23" s="106"/>
      <c r="E23" s="101"/>
      <c r="F23" s="97"/>
      <c r="G23" s="97"/>
      <c r="H23" s="97"/>
      <c r="J23" s="98"/>
    </row>
    <row r="24" spans="1:12">
      <c r="A24" s="101">
        <f>A22+1</f>
        <v>114</v>
      </c>
      <c r="B24" s="541" t="s">
        <v>591</v>
      </c>
      <c r="C24" s="105"/>
      <c r="D24" s="106"/>
      <c r="E24" s="101"/>
      <c r="F24" s="540">
        <f>ROUND(F22/F14,4)</f>
        <v>3.5299999999999998E-2</v>
      </c>
      <c r="G24" s="97" t="str">
        <f>CONCATENATE("Line ",A22," / ","Line ",A14)</f>
        <v>Line 113 / Line 107</v>
      </c>
      <c r="H24" s="101">
        <f t="shared" si="2"/>
        <v>114</v>
      </c>
      <c r="J24" s="98"/>
    </row>
    <row r="25" spans="1:12">
      <c r="A25" s="101"/>
      <c r="B25" s="110"/>
      <c r="C25" s="105"/>
      <c r="D25" s="106"/>
      <c r="E25" s="101"/>
      <c r="F25" s="97"/>
      <c r="G25" s="97"/>
      <c r="H25" s="97"/>
      <c r="J25" s="98"/>
    </row>
    <row r="26" spans="1:12">
      <c r="A26" s="101"/>
      <c r="B26" s="110"/>
      <c r="C26" s="105"/>
      <c r="D26" s="106"/>
      <c r="E26" s="101"/>
      <c r="F26" s="97"/>
      <c r="G26" s="97"/>
      <c r="H26" s="97"/>
      <c r="J26" s="98"/>
    </row>
    <row r="27" spans="1:12">
      <c r="A27" s="101"/>
      <c r="B27" s="111"/>
      <c r="C27" s="105"/>
      <c r="D27" s="106"/>
      <c r="E27" s="101"/>
      <c r="F27" s="97"/>
      <c r="G27" s="97"/>
      <c r="H27" s="97"/>
      <c r="J27" s="98"/>
    </row>
    <row r="28" spans="1:12" ht="12.75" customHeight="1">
      <c r="A28" s="101"/>
      <c r="B28" s="8"/>
      <c r="C28" s="95"/>
      <c r="D28" s="106"/>
      <c r="E28" s="101"/>
      <c r="F28" s="97"/>
      <c r="G28" s="97"/>
      <c r="H28" s="97"/>
      <c r="J28" s="98"/>
    </row>
    <row r="29" spans="1:12">
      <c r="C29" s="112"/>
    </row>
    <row r="30" spans="1:12">
      <c r="C30" s="112"/>
      <c r="L30" s="98"/>
    </row>
  </sheetData>
  <sheetProtection formatCells="0" formatColumns="0" formatRows="0" insertColumns="0" insertRows="0" insertHyperlinks="0" deleteColumns="0" deleteRows="0" selectLockedCells="1" sort="0" autoFilter="0" pivotTables="0"/>
  <conditionalFormatting sqref="F5:G5">
    <cfRule type="duplicateValues" dxfId="4" priority="1"/>
  </conditionalFormatting>
  <printOptions horizontalCentered="1"/>
  <pageMargins left="1" right="1" top="1" bottom="1" header="0.5" footer="0.5"/>
  <pageSetup scale="61" fitToHeight="0" orientation="landscape" r:id="rId1"/>
  <headerFooter alignWithMargins="0">
    <oddHeader>&amp;C&amp;"-,Bold"&amp;12Pacific Gas and Electric Company
Formula Rate Model
Schedule 5-CostofCap-3</oddHeader>
  </headerFooter>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47"/>
  <sheetViews>
    <sheetView view="pageBreakPreview" zoomScale="110" zoomScaleNormal="85" zoomScaleSheetLayoutView="110" zoomScalePageLayoutView="70" workbookViewId="0">
      <selection activeCell="E8" sqref="E8"/>
    </sheetView>
  </sheetViews>
  <sheetFormatPr defaultColWidth="9.140625" defaultRowHeight="15"/>
  <cols>
    <col min="1" max="1" width="4.5703125" bestFit="1" customWidth="1"/>
    <col min="2" max="2" width="16" customWidth="1"/>
    <col min="3" max="3" width="16.140625" customWidth="1"/>
    <col min="4" max="4" width="15.85546875" customWidth="1"/>
    <col min="5" max="5" width="15.140625" customWidth="1"/>
    <col min="6" max="6" width="14.5703125" bestFit="1" customWidth="1"/>
    <col min="7" max="7" width="13.7109375" bestFit="1" customWidth="1"/>
    <col min="8" max="8" width="13.28515625" bestFit="1" customWidth="1"/>
    <col min="9" max="9" width="15.28515625" bestFit="1" customWidth="1"/>
    <col min="10" max="10" width="15" customWidth="1"/>
    <col min="11" max="11" width="4.5703125" bestFit="1" customWidth="1"/>
    <col min="13" max="13" width="12" bestFit="1" customWidth="1"/>
    <col min="14" max="14" width="10.5703125" bestFit="1" customWidth="1"/>
  </cols>
  <sheetData>
    <row r="1" spans="1:11">
      <c r="B1" s="2" t="s">
        <v>22</v>
      </c>
      <c r="J1" s="6" t="str">
        <f>CONCATENATE("Prior Year: ",'1-BaseTRR'!$G$2)</f>
        <v>Prior Year: 2021</v>
      </c>
    </row>
    <row r="2" spans="1:11">
      <c r="B2" s="113" t="s">
        <v>131</v>
      </c>
      <c r="C2" s="42"/>
      <c r="J2" s="6"/>
    </row>
    <row r="3" spans="1:11">
      <c r="A3" s="3"/>
      <c r="K3" s="3"/>
    </row>
    <row r="4" spans="1:11">
      <c r="B4" s="114" t="s">
        <v>592</v>
      </c>
      <c r="C4" s="47"/>
      <c r="D4" s="47"/>
      <c r="E4" s="47"/>
      <c r="F4" s="47"/>
      <c r="G4" s="47"/>
      <c r="H4" s="47"/>
      <c r="I4" s="47"/>
      <c r="J4" s="47"/>
    </row>
    <row r="5" spans="1:11">
      <c r="A5" s="3" t="s">
        <v>100</v>
      </c>
      <c r="D5" s="115" t="s">
        <v>6</v>
      </c>
      <c r="E5" s="115" t="s">
        <v>593</v>
      </c>
      <c r="F5" s="115" t="s">
        <v>594</v>
      </c>
      <c r="K5" s="3" t="str">
        <f>A5</f>
        <v>Line</v>
      </c>
    </row>
    <row r="6" spans="1:11">
      <c r="A6" s="4">
        <v>100</v>
      </c>
      <c r="B6" s="116"/>
      <c r="C6" s="116"/>
      <c r="D6" s="116" t="s">
        <v>595</v>
      </c>
      <c r="E6" s="24">
        <f>J30</f>
        <v>13916317.264999999</v>
      </c>
      <c r="F6" t="str">
        <f>"Line "&amp;A30&amp;", "&amp;J17&amp;""</f>
        <v>Line 208, Col 9</v>
      </c>
      <c r="K6" s="4">
        <f>A6</f>
        <v>100</v>
      </c>
    </row>
    <row r="7" spans="1:11">
      <c r="A7" s="4">
        <f>A6+1</f>
        <v>101</v>
      </c>
      <c r="B7" s="116"/>
      <c r="C7" s="116"/>
      <c r="D7" s="116" t="s">
        <v>596</v>
      </c>
      <c r="E7" s="24">
        <f>G42</f>
        <v>0</v>
      </c>
      <c r="F7" t="str">
        <f>"Line "&amp;A42&amp;", "&amp;G33&amp;""</f>
        <v>Line 305, Col 6</v>
      </c>
      <c r="K7" s="4">
        <f>A7</f>
        <v>101</v>
      </c>
    </row>
    <row r="8" spans="1:11">
      <c r="A8" s="4">
        <f>A7+1</f>
        <v>102</v>
      </c>
      <c r="B8" s="116"/>
      <c r="C8" s="116"/>
      <c r="D8" s="6" t="s">
        <v>597</v>
      </c>
      <c r="E8" s="352">
        <f>E6+E7</f>
        <v>13916317.264999999</v>
      </c>
      <c r="F8" t="str">
        <f>"Line "&amp;A6&amp;" + Line "&amp;A7&amp;""</f>
        <v>Line 100 + Line 101</v>
      </c>
      <c r="K8" s="4">
        <f>A8</f>
        <v>102</v>
      </c>
    </row>
    <row r="9" spans="1:11">
      <c r="A9" s="4"/>
      <c r="B9" s="116"/>
      <c r="C9" s="116"/>
      <c r="D9" s="116"/>
      <c r="E9" s="24"/>
      <c r="K9" s="4"/>
    </row>
    <row r="10" spans="1:11">
      <c r="A10" s="4">
        <f>A8+1</f>
        <v>103</v>
      </c>
      <c r="B10" s="116"/>
      <c r="C10" s="116"/>
      <c r="D10" s="116" t="s">
        <v>598</v>
      </c>
      <c r="E10" s="24">
        <f>F30</f>
        <v>257994550</v>
      </c>
      <c r="F10" t="str">
        <f>"Line "&amp;A30&amp;", "&amp;F17&amp;""</f>
        <v>Line 208, Col 5</v>
      </c>
      <c r="K10" s="4">
        <f>A10</f>
        <v>103</v>
      </c>
    </row>
    <row r="11" spans="1:11">
      <c r="A11" s="4">
        <f>A10+1</f>
        <v>104</v>
      </c>
      <c r="B11" s="116"/>
      <c r="C11" s="116"/>
      <c r="D11" s="116" t="s">
        <v>599</v>
      </c>
      <c r="E11" s="24">
        <f>G30</f>
        <v>-5940273.2340178555</v>
      </c>
      <c r="F11" t="str">
        <f>"Line "&amp;A30&amp;", "&amp;G17&amp;""</f>
        <v>Line 208, Col 6</v>
      </c>
      <c r="K11" s="4">
        <f>A11</f>
        <v>104</v>
      </c>
    </row>
    <row r="12" spans="1:11">
      <c r="A12" s="4">
        <f>A11+1</f>
        <v>105</v>
      </c>
      <c r="B12" s="116"/>
      <c r="C12" s="116"/>
      <c r="D12" s="6" t="s">
        <v>600</v>
      </c>
      <c r="E12" s="352">
        <f>E10+E11</f>
        <v>252054276.76598215</v>
      </c>
      <c r="F12" t="str">
        <f>"Line "&amp;A10&amp;" + Line "&amp;A11&amp;""</f>
        <v>Line 103 + Line 104</v>
      </c>
      <c r="K12" s="4">
        <f>A12</f>
        <v>105</v>
      </c>
    </row>
    <row r="13" spans="1:11">
      <c r="A13" s="4"/>
      <c r="B13" s="116"/>
      <c r="C13" s="116"/>
      <c r="D13" s="116"/>
      <c r="K13" s="4"/>
    </row>
    <row r="14" spans="1:11">
      <c r="A14" s="4">
        <f>A12+1</f>
        <v>106</v>
      </c>
      <c r="B14" s="116"/>
      <c r="C14" s="116"/>
      <c r="D14" s="6" t="s">
        <v>601</v>
      </c>
      <c r="E14" s="370">
        <f>E8/E12</f>
        <v>5.5211589517762859E-2</v>
      </c>
      <c r="F14" t="str">
        <f>"Line "&amp;A8&amp;" / Line "&amp;A12&amp;""</f>
        <v>Line 102 / Line 105</v>
      </c>
      <c r="K14" s="4">
        <f>A14</f>
        <v>106</v>
      </c>
    </row>
    <row r="15" spans="1:11">
      <c r="A15" s="4"/>
      <c r="K15" s="4"/>
    </row>
    <row r="16" spans="1:11">
      <c r="B16" s="50" t="s">
        <v>602</v>
      </c>
      <c r="C16" s="47"/>
      <c r="D16" s="47"/>
      <c r="E16" s="47"/>
      <c r="F16" s="47"/>
      <c r="G16" s="47"/>
      <c r="H16" s="47"/>
      <c r="I16" s="47"/>
      <c r="J16" s="47"/>
    </row>
    <row r="17" spans="1:14">
      <c r="A17" s="4"/>
      <c r="B17" s="118" t="s">
        <v>371</v>
      </c>
      <c r="C17" s="118" t="s">
        <v>372</v>
      </c>
      <c r="D17" s="118" t="s">
        <v>373</v>
      </c>
      <c r="E17" s="118" t="s">
        <v>374</v>
      </c>
      <c r="F17" s="118" t="s">
        <v>375</v>
      </c>
      <c r="G17" s="118" t="s">
        <v>376</v>
      </c>
      <c r="H17" s="118" t="s">
        <v>377</v>
      </c>
      <c r="I17" s="118" t="s">
        <v>378</v>
      </c>
      <c r="J17" s="118" t="s">
        <v>409</v>
      </c>
      <c r="K17" s="4"/>
    </row>
    <row r="18" spans="1:14">
      <c r="A18" s="4"/>
      <c r="B18" s="119" t="s">
        <v>603</v>
      </c>
      <c r="C18" s="119" t="s">
        <v>603</v>
      </c>
      <c r="D18" s="119" t="s">
        <v>604</v>
      </c>
      <c r="E18" s="119" t="s">
        <v>603</v>
      </c>
      <c r="F18" s="119" t="s">
        <v>605</v>
      </c>
      <c r="G18" s="119" t="s">
        <v>603</v>
      </c>
      <c r="H18" s="119" t="s">
        <v>606</v>
      </c>
      <c r="I18" s="120" t="s">
        <v>607</v>
      </c>
      <c r="J18" s="120" t="s">
        <v>608</v>
      </c>
      <c r="K18" s="4"/>
    </row>
    <row r="19" spans="1:14">
      <c r="A19" s="4"/>
      <c r="B19" s="119" t="s">
        <v>111</v>
      </c>
      <c r="C19" s="119" t="s">
        <v>111</v>
      </c>
      <c r="D19" s="119"/>
      <c r="E19" s="119" t="s">
        <v>111</v>
      </c>
      <c r="F19" s="119"/>
      <c r="G19" s="119" t="s">
        <v>111</v>
      </c>
      <c r="H19" s="119"/>
      <c r="I19" s="120"/>
      <c r="J19" s="119" t="s">
        <v>203</v>
      </c>
      <c r="K19" s="4"/>
    </row>
    <row r="20" spans="1:14">
      <c r="A20" s="4"/>
      <c r="G20" s="36"/>
      <c r="J20" s="4"/>
      <c r="K20" s="4"/>
    </row>
    <row r="21" spans="1:14" ht="45">
      <c r="A21" s="3" t="s">
        <v>100</v>
      </c>
      <c r="B21" s="121" t="s">
        <v>609</v>
      </c>
      <c r="C21" s="121" t="s">
        <v>610</v>
      </c>
      <c r="D21" s="121" t="s">
        <v>611</v>
      </c>
      <c r="E21" s="121" t="s">
        <v>612</v>
      </c>
      <c r="F21" s="121" t="s">
        <v>613</v>
      </c>
      <c r="G21" s="121" t="s">
        <v>614</v>
      </c>
      <c r="H21" s="121" t="s">
        <v>615</v>
      </c>
      <c r="I21" s="121" t="s">
        <v>616</v>
      </c>
      <c r="J21" s="121" t="s">
        <v>617</v>
      </c>
      <c r="K21" s="3" t="str">
        <f>A21</f>
        <v>Line</v>
      </c>
    </row>
    <row r="22" spans="1:14">
      <c r="A22" s="4">
        <v>200</v>
      </c>
      <c r="B22" s="122" t="s">
        <v>618</v>
      </c>
      <c r="C22" s="533">
        <v>1914</v>
      </c>
      <c r="D22" s="123">
        <v>0.06</v>
      </c>
      <c r="E22" s="124">
        <v>1.5</v>
      </c>
      <c r="F22" s="464">
        <v>105291525</v>
      </c>
      <c r="G22" s="351">
        <v>-7366504.2509265905</v>
      </c>
      <c r="H22" s="125">
        <v>4211661</v>
      </c>
      <c r="I22" s="24">
        <f>F22+G22</f>
        <v>97925020.749073416</v>
      </c>
      <c r="J22" s="24">
        <f>(H22*E22)</f>
        <v>6317491.5</v>
      </c>
      <c r="K22" s="4">
        <f t="shared" ref="K22:K30" si="0">A22</f>
        <v>200</v>
      </c>
      <c r="M22" s="31"/>
      <c r="N22" s="31"/>
    </row>
    <row r="23" spans="1:14">
      <c r="A23" s="4">
        <f>A22+1</f>
        <v>201</v>
      </c>
      <c r="B23" s="122" t="s">
        <v>619</v>
      </c>
      <c r="C23" s="534">
        <v>1929</v>
      </c>
      <c r="D23" s="123">
        <v>5.5E-2</v>
      </c>
      <c r="E23" s="124">
        <v>1.375</v>
      </c>
      <c r="F23" s="464">
        <v>29329075</v>
      </c>
      <c r="G23" s="351">
        <v>-173730</v>
      </c>
      <c r="H23" s="125">
        <v>1173163</v>
      </c>
      <c r="I23" s="24">
        <f t="shared" ref="I23:I29" si="1">F23+G23</f>
        <v>29155345</v>
      </c>
      <c r="J23" s="24">
        <f t="shared" ref="J23:J29" si="2">(H23*E23)</f>
        <v>1613099.125</v>
      </c>
      <c r="K23" s="4">
        <f t="shared" si="0"/>
        <v>201</v>
      </c>
      <c r="M23" s="31"/>
      <c r="N23" s="31"/>
    </row>
    <row r="24" spans="1:14">
      <c r="A24" s="4">
        <f t="shared" ref="A24:A30" si="3">A23+1</f>
        <v>202</v>
      </c>
      <c r="B24" s="122" t="s">
        <v>620</v>
      </c>
      <c r="C24" s="534">
        <v>15166</v>
      </c>
      <c r="D24" s="123">
        <v>0.05</v>
      </c>
      <c r="E24" s="124">
        <v>1.25</v>
      </c>
      <c r="F24" s="464">
        <v>10000000</v>
      </c>
      <c r="G24" s="351">
        <v>726283</v>
      </c>
      <c r="H24" s="125">
        <v>400000</v>
      </c>
      <c r="I24" s="24">
        <f t="shared" si="1"/>
        <v>10726283</v>
      </c>
      <c r="J24" s="24">
        <f t="shared" si="2"/>
        <v>500000</v>
      </c>
      <c r="K24" s="4">
        <f t="shared" si="0"/>
        <v>202</v>
      </c>
      <c r="M24" s="31"/>
      <c r="N24" s="31"/>
    </row>
    <row r="25" spans="1:14">
      <c r="A25" s="4">
        <f t="shared" si="3"/>
        <v>203</v>
      </c>
      <c r="B25" s="122" t="s">
        <v>621</v>
      </c>
      <c r="C25" s="534">
        <v>17712</v>
      </c>
      <c r="D25" s="123">
        <v>0.05</v>
      </c>
      <c r="E25" s="124">
        <v>1.25</v>
      </c>
      <c r="F25" s="464">
        <v>44454300</v>
      </c>
      <c r="G25" s="351">
        <v>-716366</v>
      </c>
      <c r="H25" s="125">
        <v>1778172</v>
      </c>
      <c r="I25" s="24">
        <f t="shared" si="1"/>
        <v>43737934</v>
      </c>
      <c r="J25" s="24">
        <f t="shared" si="2"/>
        <v>2222715</v>
      </c>
      <c r="K25" s="4">
        <f t="shared" si="0"/>
        <v>203</v>
      </c>
      <c r="M25" s="31"/>
      <c r="N25" s="31"/>
    </row>
    <row r="26" spans="1:14">
      <c r="A26" s="4">
        <f t="shared" si="3"/>
        <v>204</v>
      </c>
      <c r="B26" s="122" t="s">
        <v>622</v>
      </c>
      <c r="C26" s="534">
        <v>18022</v>
      </c>
      <c r="D26" s="123">
        <v>0.05</v>
      </c>
      <c r="E26" s="124">
        <v>1.25</v>
      </c>
      <c r="F26" s="464">
        <v>23358050</v>
      </c>
      <c r="G26" s="351">
        <v>542539</v>
      </c>
      <c r="H26" s="125">
        <v>934322</v>
      </c>
      <c r="I26" s="24">
        <f t="shared" si="1"/>
        <v>23900589</v>
      </c>
      <c r="J26" s="24">
        <f t="shared" si="2"/>
        <v>1167902.5</v>
      </c>
      <c r="K26" s="4">
        <f t="shared" si="0"/>
        <v>204</v>
      </c>
      <c r="M26" s="31"/>
      <c r="N26" s="31"/>
    </row>
    <row r="27" spans="1:14">
      <c r="A27" s="4">
        <f t="shared" si="3"/>
        <v>205</v>
      </c>
      <c r="B27" s="122" t="s">
        <v>623</v>
      </c>
      <c r="C27" s="534">
        <v>18288</v>
      </c>
      <c r="D27" s="123">
        <v>4.8000000000000001E-2</v>
      </c>
      <c r="E27" s="124">
        <v>1.2</v>
      </c>
      <c r="F27" s="464">
        <v>19825775</v>
      </c>
      <c r="G27" s="351">
        <v>1006320.34261801</v>
      </c>
      <c r="H27" s="125">
        <v>793031</v>
      </c>
      <c r="I27" s="24">
        <f t="shared" si="1"/>
        <v>20832095.342618011</v>
      </c>
      <c r="J27" s="24">
        <f t="shared" si="2"/>
        <v>951637.2</v>
      </c>
      <c r="K27" s="4">
        <f t="shared" si="0"/>
        <v>205</v>
      </c>
      <c r="M27" s="31"/>
      <c r="N27" s="31"/>
    </row>
    <row r="28" spans="1:14">
      <c r="A28" s="4">
        <f t="shared" si="3"/>
        <v>206</v>
      </c>
      <c r="B28" s="122" t="s">
        <v>624</v>
      </c>
      <c r="C28" s="534">
        <v>19897</v>
      </c>
      <c r="D28" s="123">
        <v>4.4999999999999998E-2</v>
      </c>
      <c r="E28" s="124">
        <v>1.125</v>
      </c>
      <c r="F28" s="464">
        <v>15278550</v>
      </c>
      <c r="G28" s="351">
        <v>70693.849467725595</v>
      </c>
      <c r="H28" s="125">
        <v>611142</v>
      </c>
      <c r="I28" s="24">
        <f t="shared" si="1"/>
        <v>15349243.849467726</v>
      </c>
      <c r="J28" s="24">
        <f t="shared" si="2"/>
        <v>687534.75</v>
      </c>
      <c r="K28" s="4">
        <f t="shared" si="0"/>
        <v>206</v>
      </c>
      <c r="M28" s="31"/>
      <c r="N28" s="31"/>
    </row>
    <row r="29" spans="1:14">
      <c r="A29" s="4">
        <f t="shared" si="3"/>
        <v>207</v>
      </c>
      <c r="B29" s="122" t="s">
        <v>625</v>
      </c>
      <c r="C29" s="534">
        <v>20387</v>
      </c>
      <c r="D29" s="123">
        <v>4.36E-2</v>
      </c>
      <c r="E29" s="124">
        <v>1.0900000000000001</v>
      </c>
      <c r="F29" s="464">
        <v>10457275</v>
      </c>
      <c r="G29" s="351">
        <v>-29509.175177000001</v>
      </c>
      <c r="H29" s="125">
        <v>418291</v>
      </c>
      <c r="I29" s="24">
        <f t="shared" si="1"/>
        <v>10427765.824823</v>
      </c>
      <c r="J29" s="24">
        <f t="shared" si="2"/>
        <v>455937.19000000006</v>
      </c>
      <c r="K29" s="4">
        <f t="shared" si="0"/>
        <v>207</v>
      </c>
      <c r="M29" s="31"/>
      <c r="N29" s="31"/>
    </row>
    <row r="30" spans="1:14">
      <c r="A30" s="4">
        <f t="shared" si="3"/>
        <v>208</v>
      </c>
      <c r="E30" s="126" t="s">
        <v>626</v>
      </c>
      <c r="F30" s="465">
        <f>SUM(F22:F29)</f>
        <v>257994550</v>
      </c>
      <c r="G30" s="465">
        <f>SUM(G22:G29)</f>
        <v>-5940273.2340178555</v>
      </c>
      <c r="H30" s="412">
        <f>SUM(H22:H29)</f>
        <v>10319782</v>
      </c>
      <c r="I30" s="465">
        <f>SUM(I22:I29)</f>
        <v>252054276.76598215</v>
      </c>
      <c r="J30" s="465">
        <f>SUM(J22:J29)</f>
        <v>13916317.264999999</v>
      </c>
      <c r="K30" s="4">
        <f t="shared" si="0"/>
        <v>208</v>
      </c>
      <c r="N30" s="19"/>
    </row>
    <row r="32" spans="1:14">
      <c r="B32" s="50" t="s">
        <v>627</v>
      </c>
      <c r="C32" s="47"/>
      <c r="D32" s="47"/>
      <c r="E32" s="47"/>
      <c r="F32" s="47"/>
      <c r="G32" s="47"/>
      <c r="H32" s="47"/>
      <c r="I32" s="47"/>
      <c r="J32" s="47"/>
    </row>
    <row r="33" spans="1:11">
      <c r="B33" s="118" t="s">
        <v>371</v>
      </c>
      <c r="C33" s="118" t="s">
        <v>372</v>
      </c>
      <c r="D33" s="118" t="s">
        <v>373</v>
      </c>
      <c r="E33" s="118" t="s">
        <v>374</v>
      </c>
      <c r="F33" s="118" t="s">
        <v>375</v>
      </c>
      <c r="G33" s="118" t="s">
        <v>376</v>
      </c>
    </row>
    <row r="34" spans="1:11">
      <c r="B34" s="127"/>
      <c r="C34" s="127"/>
      <c r="D34" s="127"/>
      <c r="E34" s="127"/>
      <c r="F34" s="127"/>
      <c r="G34" s="127"/>
      <c r="H34" s="128"/>
    </row>
    <row r="36" spans="1:11" ht="45">
      <c r="A36" s="3" t="s">
        <v>100</v>
      </c>
      <c r="B36" s="422" t="s">
        <v>181</v>
      </c>
      <c r="C36" s="121" t="s">
        <v>628</v>
      </c>
      <c r="D36" s="423" t="s">
        <v>629</v>
      </c>
      <c r="E36" s="423" t="s">
        <v>630</v>
      </c>
      <c r="F36" s="423" t="s">
        <v>631</v>
      </c>
      <c r="G36" s="423" t="s">
        <v>632</v>
      </c>
      <c r="H36" s="424" t="s">
        <v>633</v>
      </c>
      <c r="I36" s="37"/>
      <c r="K36" s="3" t="str">
        <f t="shared" ref="K36:K42" si="4">A36</f>
        <v>Line</v>
      </c>
    </row>
    <row r="37" spans="1:11">
      <c r="A37" s="4">
        <v>300</v>
      </c>
      <c r="B37" s="129"/>
      <c r="C37" s="130"/>
      <c r="D37" s="131"/>
      <c r="E37" s="131"/>
      <c r="F37" s="122"/>
      <c r="G37" s="131"/>
      <c r="H37" s="132"/>
      <c r="K37" s="4">
        <f t="shared" si="4"/>
        <v>300</v>
      </c>
    </row>
    <row r="38" spans="1:11">
      <c r="A38" s="4">
        <f>A37+1</f>
        <v>301</v>
      </c>
      <c r="B38" s="129"/>
      <c r="C38" s="130"/>
      <c r="D38" s="131"/>
      <c r="E38" s="131"/>
      <c r="F38" s="122"/>
      <c r="G38" s="131"/>
      <c r="H38" s="131"/>
      <c r="K38" s="4">
        <f t="shared" si="4"/>
        <v>301</v>
      </c>
    </row>
    <row r="39" spans="1:11">
      <c r="A39" s="4">
        <f t="shared" ref="A39:A42" si="5">A38+1</f>
        <v>302</v>
      </c>
      <c r="B39" s="129"/>
      <c r="C39" s="130"/>
      <c r="D39" s="131"/>
      <c r="E39" s="131"/>
      <c r="F39" s="122"/>
      <c r="G39" s="131"/>
      <c r="H39" s="131"/>
      <c r="K39" s="4">
        <f t="shared" si="4"/>
        <v>302</v>
      </c>
    </row>
    <row r="40" spans="1:11">
      <c r="A40" s="4">
        <f t="shared" si="5"/>
        <v>303</v>
      </c>
      <c r="B40" s="133"/>
      <c r="C40" s="130"/>
      <c r="D40" s="131"/>
      <c r="E40" s="131"/>
      <c r="F40" s="122"/>
      <c r="G40" s="131"/>
      <c r="H40" s="131"/>
      <c r="K40" s="4">
        <f t="shared" si="4"/>
        <v>303</v>
      </c>
    </row>
    <row r="41" spans="1:11">
      <c r="A41" s="4">
        <f t="shared" si="5"/>
        <v>304</v>
      </c>
      <c r="B41" s="134" t="s">
        <v>634</v>
      </c>
      <c r="C41" s="135"/>
      <c r="D41" s="135"/>
      <c r="E41" s="135"/>
      <c r="F41" s="135"/>
      <c r="G41" s="135"/>
      <c r="H41" s="135"/>
      <c r="I41" s="136"/>
      <c r="K41" s="4">
        <f t="shared" si="4"/>
        <v>304</v>
      </c>
    </row>
    <row r="42" spans="1:11">
      <c r="A42" s="4">
        <f t="shared" si="5"/>
        <v>305</v>
      </c>
      <c r="D42" s="126" t="s">
        <v>635</v>
      </c>
      <c r="E42" s="117">
        <f>SUM(E37:E41)*1000</f>
        <v>0</v>
      </c>
      <c r="F42" s="117"/>
      <c r="G42" s="117">
        <f>SUM(G37:G41)*1000</f>
        <v>0</v>
      </c>
      <c r="K42" s="4">
        <f t="shared" si="4"/>
        <v>305</v>
      </c>
    </row>
    <row r="44" spans="1:11">
      <c r="B44" s="7" t="s">
        <v>306</v>
      </c>
    </row>
    <row r="45" spans="1:11">
      <c r="B45" t="s">
        <v>636</v>
      </c>
    </row>
    <row r="46" spans="1:11">
      <c r="B46" t="s">
        <v>637</v>
      </c>
    </row>
    <row r="47" spans="1:11">
      <c r="B47" s="137" t="s">
        <v>638</v>
      </c>
    </row>
  </sheetData>
  <printOptions horizontalCentered="1"/>
  <pageMargins left="1" right="1" top="1" bottom="1" header="0.5" footer="0.5"/>
  <pageSetup scale="53" orientation="portrait" r:id="rId1"/>
  <headerFooter>
    <oddHeader>&amp;C&amp;"-,Bold"&amp;12Pacific Gas and Electric Company
Formula Rate Model
Schedule 5-CostofCap-4</oddHeader>
  </headerFooter>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0"/>
  <sheetViews>
    <sheetView view="pageBreakPreview" zoomScaleNormal="100" zoomScaleSheetLayoutView="100" zoomScalePageLayoutView="70" workbookViewId="0">
      <selection activeCell="G15" sqref="G15"/>
    </sheetView>
  </sheetViews>
  <sheetFormatPr defaultColWidth="9.140625" defaultRowHeight="15"/>
  <cols>
    <col min="1" max="1" width="5.42578125" customWidth="1"/>
    <col min="2" max="2" width="14.5703125" style="8" customWidth="1"/>
    <col min="3" max="3" width="50.7109375" style="8" bestFit="1" customWidth="1"/>
    <col min="4" max="4" width="18.42578125" style="8" customWidth="1"/>
    <col min="5" max="5" width="19.42578125" style="8" bestFit="1" customWidth="1"/>
    <col min="6" max="6" width="15.5703125" style="8" customWidth="1"/>
    <col min="7" max="7" width="20" style="8" customWidth="1"/>
    <col min="8" max="8" width="35.5703125" style="8" customWidth="1"/>
    <col min="9" max="9" width="20" customWidth="1"/>
    <col min="10" max="10" width="5.42578125" customWidth="1"/>
  </cols>
  <sheetData>
    <row r="1" spans="1:11">
      <c r="B1" s="138" t="s">
        <v>24</v>
      </c>
      <c r="E1" s="139"/>
      <c r="G1" s="36"/>
      <c r="H1" s="6"/>
      <c r="I1" s="6" t="str">
        <f>CONCATENATE("Prior Year: ",'1-BaseTRR'!$G$2)</f>
        <v>Prior Year: 2021</v>
      </c>
    </row>
    <row r="2" spans="1:11">
      <c r="B2" s="113" t="s">
        <v>131</v>
      </c>
      <c r="C2" s="113"/>
      <c r="G2" s="36"/>
      <c r="H2" s="36"/>
      <c r="I2" s="6"/>
    </row>
    <row r="4" spans="1:11">
      <c r="B4" s="114" t="s">
        <v>639</v>
      </c>
      <c r="C4" s="140"/>
      <c r="D4" s="140"/>
      <c r="E4" s="141"/>
      <c r="F4" s="141"/>
      <c r="G4" s="141"/>
      <c r="H4" s="141"/>
      <c r="I4" s="140"/>
    </row>
    <row r="5" spans="1:11">
      <c r="B5" t="s">
        <v>640</v>
      </c>
      <c r="C5"/>
      <c r="D5"/>
      <c r="E5"/>
      <c r="F5"/>
      <c r="G5"/>
      <c r="H5"/>
    </row>
    <row r="6" spans="1:11">
      <c r="B6" t="s">
        <v>641</v>
      </c>
      <c r="C6"/>
      <c r="D6"/>
      <c r="E6"/>
      <c r="F6"/>
      <c r="G6"/>
      <c r="H6"/>
    </row>
    <row r="7" spans="1:11">
      <c r="B7" t="s">
        <v>642</v>
      </c>
      <c r="C7"/>
      <c r="D7"/>
      <c r="E7"/>
      <c r="F7"/>
      <c r="G7"/>
      <c r="H7"/>
    </row>
    <row r="8" spans="1:11">
      <c r="B8"/>
      <c r="C8"/>
      <c r="D8"/>
      <c r="E8"/>
      <c r="F8"/>
      <c r="G8"/>
      <c r="H8"/>
    </row>
    <row r="9" spans="1:11">
      <c r="D9" s="118" t="s">
        <v>371</v>
      </c>
      <c r="E9" s="118" t="s">
        <v>372</v>
      </c>
      <c r="F9" s="118" t="s">
        <v>373</v>
      </c>
      <c r="G9" s="118" t="s">
        <v>374</v>
      </c>
      <c r="H9" s="118" t="s">
        <v>375</v>
      </c>
      <c r="I9" s="118" t="s">
        <v>376</v>
      </c>
    </row>
    <row r="10" spans="1:11">
      <c r="A10" s="142"/>
      <c r="B10" s="142"/>
      <c r="C10" s="142"/>
      <c r="D10" s="142"/>
      <c r="E10" s="142"/>
      <c r="F10" s="142" t="s">
        <v>111</v>
      </c>
      <c r="G10" s="142"/>
      <c r="H10" s="142"/>
      <c r="I10" s="142" t="s">
        <v>643</v>
      </c>
      <c r="J10" s="142"/>
    </row>
    <row r="11" spans="1:11">
      <c r="A11" s="142"/>
      <c r="B11" s="142"/>
      <c r="C11" s="142"/>
      <c r="D11" s="142"/>
      <c r="E11" s="142"/>
      <c r="F11" s="142"/>
      <c r="G11" s="142"/>
      <c r="H11" s="142"/>
      <c r="I11" s="142"/>
      <c r="J11" s="142"/>
    </row>
    <row r="12" spans="1:11">
      <c r="B12" s="138"/>
      <c r="C12" s="138"/>
      <c r="D12" s="127" t="s">
        <v>644</v>
      </c>
      <c r="E12" s="127"/>
      <c r="F12" s="127"/>
      <c r="G12" s="119" t="s">
        <v>645</v>
      </c>
      <c r="H12" s="119"/>
      <c r="I12" s="119" t="s">
        <v>646</v>
      </c>
    </row>
    <row r="13" spans="1:11">
      <c r="A13" s="115" t="s">
        <v>100</v>
      </c>
      <c r="B13" s="115" t="s">
        <v>647</v>
      </c>
      <c r="C13" s="115" t="s">
        <v>648</v>
      </c>
      <c r="D13" s="115" t="s">
        <v>138</v>
      </c>
      <c r="E13" s="115" t="s">
        <v>649</v>
      </c>
      <c r="F13" s="115" t="s">
        <v>650</v>
      </c>
      <c r="G13" s="115" t="s">
        <v>138</v>
      </c>
      <c r="H13" s="115" t="s">
        <v>651</v>
      </c>
      <c r="I13" s="115" t="s">
        <v>138</v>
      </c>
      <c r="J13" s="115" t="str">
        <f t="shared" ref="J13:J24" si="0">A13</f>
        <v>Line</v>
      </c>
    </row>
    <row r="14" spans="1:11">
      <c r="A14" s="127">
        <v>100</v>
      </c>
      <c r="B14" s="18">
        <v>350</v>
      </c>
      <c r="C14" s="143" t="s">
        <v>652</v>
      </c>
      <c r="D14" s="466">
        <v>306304672</v>
      </c>
      <c r="E14" s="144" t="s">
        <v>653</v>
      </c>
      <c r="F14" s="466"/>
      <c r="G14" s="468">
        <f>'7-PlantInService'!D24+'7-PlantInService'!E24</f>
        <v>291789312</v>
      </c>
      <c r="H14" s="145" t="s">
        <v>654</v>
      </c>
      <c r="I14" s="468">
        <f>+D14+F14-G14</f>
        <v>14515360</v>
      </c>
      <c r="J14" s="127">
        <f t="shared" si="0"/>
        <v>100</v>
      </c>
    </row>
    <row r="15" spans="1:11">
      <c r="A15" s="127">
        <f t="shared" ref="A15:A24" si="1">A14+1</f>
        <v>101</v>
      </c>
      <c r="B15" s="18">
        <v>352</v>
      </c>
      <c r="C15" s="143" t="s">
        <v>655</v>
      </c>
      <c r="D15" s="466">
        <v>480279516</v>
      </c>
      <c r="E15" s="144" t="s">
        <v>656</v>
      </c>
      <c r="F15" s="466"/>
      <c r="G15" s="468">
        <f>'7-PlantInService'!F24+'7-PlantInService'!G24</f>
        <v>471368032</v>
      </c>
      <c r="H15" s="145" t="s">
        <v>657</v>
      </c>
      <c r="I15" s="468">
        <f t="shared" ref="I15:I23" si="2">+D15+F15-G15</f>
        <v>8911484</v>
      </c>
      <c r="J15" s="127">
        <f t="shared" si="0"/>
        <v>101</v>
      </c>
      <c r="K15" s="146"/>
    </row>
    <row r="16" spans="1:11">
      <c r="A16" s="127">
        <f t="shared" si="1"/>
        <v>102</v>
      </c>
      <c r="B16" s="18">
        <v>353</v>
      </c>
      <c r="C16" s="143" t="s">
        <v>658</v>
      </c>
      <c r="D16" s="466">
        <v>7941731063</v>
      </c>
      <c r="E16" s="144" t="s">
        <v>659</v>
      </c>
      <c r="F16" s="466">
        <v>-491897.41999831999</v>
      </c>
      <c r="G16" s="468">
        <f>'7-PlantInService'!H24+'7-PlantInService'!I24</f>
        <v>7565320520</v>
      </c>
      <c r="H16" s="145" t="s">
        <v>660</v>
      </c>
      <c r="I16" s="468">
        <f t="shared" si="2"/>
        <v>375918645.58000183</v>
      </c>
      <c r="J16" s="127">
        <f t="shared" si="0"/>
        <v>102</v>
      </c>
      <c r="K16" s="8"/>
    </row>
    <row r="17" spans="1:12">
      <c r="A17" s="127">
        <f t="shared" si="1"/>
        <v>103</v>
      </c>
      <c r="B17" s="147">
        <v>354</v>
      </c>
      <c r="C17" s="148" t="s">
        <v>661</v>
      </c>
      <c r="D17" s="467">
        <v>1139403202</v>
      </c>
      <c r="E17" s="144" t="s">
        <v>662</v>
      </c>
      <c r="F17" s="467">
        <v>392131.50000083447</v>
      </c>
      <c r="G17" s="468">
        <f>'7-PlantInService'!J24</f>
        <v>1040283564</v>
      </c>
      <c r="H17" s="145" t="s">
        <v>663</v>
      </c>
      <c r="I17" s="468">
        <f t="shared" si="2"/>
        <v>99511769.500000954</v>
      </c>
      <c r="J17" s="127">
        <f t="shared" si="0"/>
        <v>103</v>
      </c>
    </row>
    <row r="18" spans="1:12">
      <c r="A18" s="127">
        <f t="shared" si="1"/>
        <v>104</v>
      </c>
      <c r="B18" s="18">
        <v>355</v>
      </c>
      <c r="C18" s="143" t="s">
        <v>664</v>
      </c>
      <c r="D18" s="467">
        <v>2265811316</v>
      </c>
      <c r="E18" s="144" t="s">
        <v>665</v>
      </c>
      <c r="F18" s="467">
        <v>-145143.87999773026</v>
      </c>
      <c r="G18" s="468">
        <f>'7-PlantInService'!K24</f>
        <v>2159592516</v>
      </c>
      <c r="H18" s="145" t="s">
        <v>666</v>
      </c>
      <c r="I18" s="468">
        <f t="shared" si="2"/>
        <v>106073656.12000227</v>
      </c>
      <c r="J18" s="127">
        <f t="shared" si="0"/>
        <v>104</v>
      </c>
    </row>
    <row r="19" spans="1:12">
      <c r="A19" s="127">
        <f t="shared" si="1"/>
        <v>105</v>
      </c>
      <c r="B19" s="18">
        <v>356</v>
      </c>
      <c r="C19" s="143" t="s">
        <v>667</v>
      </c>
      <c r="D19" s="467">
        <v>2484108453</v>
      </c>
      <c r="E19" s="144" t="s">
        <v>668</v>
      </c>
      <c r="F19" s="467">
        <v>-292996.98001146317</v>
      </c>
      <c r="G19" s="468">
        <f>'7-PlantInService'!L24</f>
        <v>2346203987</v>
      </c>
      <c r="H19" s="145" t="s">
        <v>669</v>
      </c>
      <c r="I19" s="468">
        <f t="shared" si="2"/>
        <v>137611469.01998854</v>
      </c>
      <c r="J19" s="127">
        <f t="shared" si="0"/>
        <v>105</v>
      </c>
    </row>
    <row r="20" spans="1:12">
      <c r="A20" s="127">
        <f t="shared" si="1"/>
        <v>106</v>
      </c>
      <c r="B20" s="18">
        <v>357</v>
      </c>
      <c r="C20" s="143" t="s">
        <v>670</v>
      </c>
      <c r="D20" s="467">
        <v>522810983</v>
      </c>
      <c r="E20" s="144" t="s">
        <v>671</v>
      </c>
      <c r="F20" s="467"/>
      <c r="G20" s="468">
        <f>'7-PlantInService'!M24</f>
        <v>518614161</v>
      </c>
      <c r="H20" s="145" t="s">
        <v>672</v>
      </c>
      <c r="I20" s="468">
        <f t="shared" si="2"/>
        <v>4196822</v>
      </c>
      <c r="J20" s="127">
        <f t="shared" si="0"/>
        <v>106</v>
      </c>
      <c r="K20" s="8"/>
    </row>
    <row r="21" spans="1:12">
      <c r="A21" s="127">
        <f t="shared" si="1"/>
        <v>107</v>
      </c>
      <c r="B21" s="18">
        <v>358</v>
      </c>
      <c r="C21" s="143" t="s">
        <v>673</v>
      </c>
      <c r="D21" s="467">
        <v>289024727</v>
      </c>
      <c r="E21" s="144" t="s">
        <v>674</v>
      </c>
      <c r="F21" s="467"/>
      <c r="G21" s="468">
        <f>'7-PlantInService'!N24</f>
        <v>281575116</v>
      </c>
      <c r="H21" s="145" t="s">
        <v>675</v>
      </c>
      <c r="I21" s="468">
        <f t="shared" si="2"/>
        <v>7449611</v>
      </c>
      <c r="J21" s="127">
        <f t="shared" si="0"/>
        <v>107</v>
      </c>
    </row>
    <row r="22" spans="1:12">
      <c r="A22" s="127">
        <f t="shared" si="1"/>
        <v>108</v>
      </c>
      <c r="B22" s="18">
        <v>359</v>
      </c>
      <c r="C22" s="143" t="s">
        <v>676</v>
      </c>
      <c r="D22" s="467">
        <v>173667104</v>
      </c>
      <c r="E22" s="144" t="s">
        <v>677</v>
      </c>
      <c r="F22" s="467"/>
      <c r="G22" s="468">
        <f>'7-PlantInService'!O24</f>
        <v>164958388</v>
      </c>
      <c r="H22" s="145" t="s">
        <v>678</v>
      </c>
      <c r="I22" s="468">
        <f t="shared" si="2"/>
        <v>8708716</v>
      </c>
      <c r="J22" s="127">
        <f t="shared" si="0"/>
        <v>108</v>
      </c>
    </row>
    <row r="23" spans="1:12">
      <c r="A23" s="127">
        <f t="shared" si="1"/>
        <v>109</v>
      </c>
      <c r="B23" s="18">
        <v>359.1</v>
      </c>
      <c r="C23" s="143" t="s">
        <v>679</v>
      </c>
      <c r="D23" s="467">
        <v>6276009</v>
      </c>
      <c r="E23" s="144" t="s">
        <v>680</v>
      </c>
      <c r="F23" s="467">
        <v>-6276009</v>
      </c>
      <c r="G23" s="468">
        <v>0</v>
      </c>
      <c r="H23" s="145" t="s">
        <v>203</v>
      </c>
      <c r="I23" s="468">
        <f t="shared" si="2"/>
        <v>0</v>
      </c>
      <c r="J23" s="127">
        <f t="shared" si="0"/>
        <v>109</v>
      </c>
    </row>
    <row r="24" spans="1:12">
      <c r="A24" s="127">
        <f t="shared" si="1"/>
        <v>110</v>
      </c>
      <c r="B24" s="414"/>
      <c r="C24" s="542" t="s">
        <v>681</v>
      </c>
      <c r="D24" s="543">
        <f>SUM(D14:D23)</f>
        <v>15609417045</v>
      </c>
      <c r="E24" s="544"/>
      <c r="F24" s="543">
        <f>SUM(F14:F23)</f>
        <v>-6813915.7800066788</v>
      </c>
      <c r="G24" s="543">
        <f>SUM(G14:G23)</f>
        <v>14839705596</v>
      </c>
      <c r="H24" s="544"/>
      <c r="I24" s="543">
        <f>SUM(I14:I23)</f>
        <v>762897533.21999359</v>
      </c>
      <c r="J24" s="127">
        <f t="shared" si="0"/>
        <v>110</v>
      </c>
    </row>
    <row r="25" spans="1:12">
      <c r="A25" s="136"/>
      <c r="B25" s="136"/>
      <c r="C25" s="136"/>
      <c r="D25" s="142"/>
      <c r="E25" s="136"/>
      <c r="F25" s="136"/>
      <c r="G25" s="142"/>
      <c r="H25" s="136"/>
      <c r="I25" s="136"/>
      <c r="J25" s="136"/>
      <c r="K25" s="136"/>
      <c r="L25" s="136"/>
    </row>
    <row r="26" spans="1:12">
      <c r="B26" s="7" t="s">
        <v>306</v>
      </c>
    </row>
    <row r="27" spans="1:12">
      <c r="B27" s="413" t="s">
        <v>682</v>
      </c>
      <c r="C27" s="113"/>
      <c r="D27" s="113"/>
      <c r="E27" s="113"/>
      <c r="F27" s="113"/>
      <c r="G27" s="113"/>
      <c r="H27" s="113"/>
    </row>
    <row r="28" spans="1:12" ht="15" customHeight="1">
      <c r="B28" s="413" t="s">
        <v>683</v>
      </c>
      <c r="C28" s="413"/>
      <c r="D28" s="413"/>
      <c r="E28" s="413"/>
      <c r="F28" s="413"/>
      <c r="G28" s="413"/>
      <c r="H28" s="413"/>
    </row>
    <row r="29" spans="1:12">
      <c r="B29" s="413" t="s">
        <v>684</v>
      </c>
      <c r="C29" s="413"/>
      <c r="D29" s="413"/>
      <c r="E29" s="413"/>
      <c r="F29" s="413"/>
      <c r="G29" s="413"/>
      <c r="H29" s="413"/>
    </row>
    <row r="30" spans="1:12" ht="15" customHeight="1">
      <c r="A30" s="9"/>
      <c r="B30"/>
      <c r="C30"/>
      <c r="D30"/>
      <c r="E30"/>
      <c r="F30"/>
      <c r="G30"/>
      <c r="H30"/>
    </row>
  </sheetData>
  <printOptions horizontalCentered="1"/>
  <pageMargins left="1" right="1" top="1" bottom="1" header="0.5" footer="0.5"/>
  <pageSetup scale="55" orientation="landscape" r:id="rId1"/>
  <headerFooter>
    <oddHeader>&amp;C&amp;"-,Bold"&amp;12Pacific Gas and Electric Company
Formula Rate Model
Schedule 6-PlantJurisdiction</oddHeader>
  </headerFooter>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37"/>
  <sheetViews>
    <sheetView view="pageBreakPreview" zoomScaleNormal="90" zoomScaleSheetLayoutView="100" zoomScalePageLayoutView="70" workbookViewId="0">
      <selection sqref="A1:P25"/>
    </sheetView>
  </sheetViews>
  <sheetFormatPr defaultColWidth="8.85546875" defaultRowHeight="15"/>
  <cols>
    <col min="1" max="1" width="6.85546875" style="21" bestFit="1" customWidth="1"/>
    <col min="2" max="2" width="14" customWidth="1"/>
    <col min="3" max="3" width="14.42578125" customWidth="1"/>
    <col min="4" max="4" width="21.5703125" bestFit="1" customWidth="1"/>
    <col min="5" max="5" width="17.5703125" customWidth="1"/>
    <col min="6" max="6" width="15.85546875" customWidth="1"/>
    <col min="7" max="8" width="17.85546875" customWidth="1"/>
    <col min="9" max="9" width="13.5703125" customWidth="1"/>
    <col min="10" max="10" width="15.42578125" customWidth="1"/>
    <col min="11" max="12" width="17.28515625" customWidth="1"/>
    <col min="13" max="15" width="15.42578125" customWidth="1"/>
    <col min="16" max="16" width="19" bestFit="1" customWidth="1"/>
    <col min="17" max="17" width="20.5703125" customWidth="1"/>
    <col min="18" max="18" width="6.28515625" style="21" customWidth="1"/>
  </cols>
  <sheetData>
    <row r="1" spans="1:18">
      <c r="B1" s="2" t="s">
        <v>26</v>
      </c>
      <c r="C1" s="2"/>
      <c r="F1" s="139"/>
      <c r="J1" s="8"/>
      <c r="O1" s="4"/>
      <c r="P1" s="6" t="str">
        <f>CONCATENATE("Prior Year: ",'1-BaseTRR'!$G$2)</f>
        <v>Prior Year: 2021</v>
      </c>
      <c r="Q1" s="4"/>
    </row>
    <row r="2" spans="1:18">
      <c r="B2" s="113" t="s">
        <v>131</v>
      </c>
      <c r="C2" s="42"/>
      <c r="J2" s="8"/>
      <c r="O2" s="6"/>
      <c r="P2" s="4"/>
      <c r="Q2" s="4"/>
    </row>
    <row r="3" spans="1:18">
      <c r="A3" s="115"/>
      <c r="B3" s="138"/>
      <c r="R3" s="115"/>
    </row>
    <row r="4" spans="1:18">
      <c r="B4" s="50" t="s">
        <v>685</v>
      </c>
      <c r="C4" s="50"/>
      <c r="D4" s="47"/>
      <c r="E4" s="47"/>
      <c r="F4" s="47"/>
      <c r="G4" s="47"/>
      <c r="H4" s="47"/>
      <c r="I4" s="47"/>
      <c r="J4" s="47"/>
      <c r="K4" s="47"/>
      <c r="L4" s="47"/>
      <c r="M4" s="47"/>
      <c r="N4" s="47"/>
      <c r="O4" s="47"/>
      <c r="P4" s="47"/>
      <c r="Q4" s="47"/>
    </row>
    <row r="5" spans="1:18">
      <c r="A5" s="4"/>
      <c r="B5" s="149" t="s">
        <v>686</v>
      </c>
      <c r="C5" s="8"/>
      <c r="I5" s="8"/>
      <c r="J5" s="21"/>
      <c r="K5" s="150"/>
    </row>
    <row r="6" spans="1:18">
      <c r="A6" s="4"/>
      <c r="B6" s="8"/>
      <c r="C6" s="8"/>
      <c r="I6" s="8"/>
      <c r="J6" s="21"/>
      <c r="K6" s="150"/>
    </row>
    <row r="7" spans="1:18">
      <c r="A7" s="4"/>
      <c r="D7" s="118" t="s">
        <v>371</v>
      </c>
      <c r="E7" s="118" t="s">
        <v>372</v>
      </c>
      <c r="F7" s="118" t="s">
        <v>373</v>
      </c>
      <c r="G7" s="118" t="s">
        <v>374</v>
      </c>
      <c r="H7" s="118" t="s">
        <v>375</v>
      </c>
      <c r="I7" s="118" t="s">
        <v>376</v>
      </c>
      <c r="J7" s="118" t="s">
        <v>377</v>
      </c>
      <c r="K7" s="118" t="s">
        <v>378</v>
      </c>
      <c r="L7" s="118" t="s">
        <v>409</v>
      </c>
      <c r="M7" s="118" t="s">
        <v>525</v>
      </c>
      <c r="N7" s="118" t="s">
        <v>526</v>
      </c>
      <c r="O7" s="118" t="s">
        <v>527</v>
      </c>
      <c r="P7" s="118" t="s">
        <v>528</v>
      </c>
      <c r="Q7" s="118"/>
    </row>
    <row r="8" spans="1:18" ht="30">
      <c r="B8" s="4"/>
      <c r="C8" s="4"/>
      <c r="D8" s="151" t="s">
        <v>687</v>
      </c>
      <c r="E8" s="151" t="s">
        <v>687</v>
      </c>
      <c r="F8" s="151" t="s">
        <v>687</v>
      </c>
      <c r="G8" s="151" t="s">
        <v>687</v>
      </c>
      <c r="H8" s="151" t="s">
        <v>687</v>
      </c>
      <c r="I8" s="151" t="s">
        <v>687</v>
      </c>
      <c r="J8" s="151" t="s">
        <v>687</v>
      </c>
      <c r="K8" s="151" t="s">
        <v>687</v>
      </c>
      <c r="L8" s="151" t="s">
        <v>687</v>
      </c>
      <c r="M8" s="151" t="s">
        <v>687</v>
      </c>
      <c r="N8" s="151" t="s">
        <v>687</v>
      </c>
      <c r="O8" s="151" t="s">
        <v>687</v>
      </c>
      <c r="P8" s="152" t="s">
        <v>688</v>
      </c>
      <c r="Q8" s="153"/>
    </row>
    <row r="9" spans="1:18">
      <c r="B9" s="4"/>
      <c r="C9" s="4"/>
      <c r="H9" s="154"/>
      <c r="N9" s="21"/>
      <c r="P9" s="21"/>
      <c r="Q9" s="21"/>
    </row>
    <row r="10" spans="1:18">
      <c r="C10" s="126" t="s">
        <v>689</v>
      </c>
      <c r="D10" s="119">
        <v>350.01</v>
      </c>
      <c r="E10" s="119">
        <v>350.02</v>
      </c>
      <c r="F10" s="119">
        <v>352.01</v>
      </c>
      <c r="G10" s="119">
        <v>352.02</v>
      </c>
      <c r="H10" s="119">
        <v>353.01</v>
      </c>
      <c r="I10" s="119">
        <v>353.02</v>
      </c>
      <c r="J10" s="119">
        <v>354</v>
      </c>
      <c r="K10" s="119">
        <v>355</v>
      </c>
      <c r="L10" s="119">
        <v>356</v>
      </c>
      <c r="M10" s="119">
        <v>357</v>
      </c>
      <c r="N10" s="119">
        <v>358</v>
      </c>
      <c r="O10" s="119">
        <v>359</v>
      </c>
    </row>
    <row r="11" spans="1:18">
      <c r="A11" s="115" t="s">
        <v>100</v>
      </c>
      <c r="B11" s="115" t="s">
        <v>384</v>
      </c>
      <c r="C11" s="115" t="s">
        <v>420</v>
      </c>
      <c r="D11" s="118" t="s">
        <v>690</v>
      </c>
      <c r="E11" s="118" t="s">
        <v>691</v>
      </c>
      <c r="F11" s="118" t="s">
        <v>692</v>
      </c>
      <c r="G11" s="118" t="s">
        <v>693</v>
      </c>
      <c r="H11" s="118" t="s">
        <v>694</v>
      </c>
      <c r="I11" s="118" t="s">
        <v>695</v>
      </c>
      <c r="J11" s="118" t="s">
        <v>696</v>
      </c>
      <c r="K11" s="118" t="s">
        <v>697</v>
      </c>
      <c r="L11" s="118" t="s">
        <v>698</v>
      </c>
      <c r="M11" s="118" t="s">
        <v>699</v>
      </c>
      <c r="N11" s="118" t="s">
        <v>700</v>
      </c>
      <c r="O11" s="118" t="s">
        <v>701</v>
      </c>
      <c r="P11" s="115" t="s">
        <v>465</v>
      </c>
      <c r="Q11" s="115" t="s">
        <v>135</v>
      </c>
      <c r="R11" s="115" t="str">
        <f>A11</f>
        <v>Line</v>
      </c>
    </row>
    <row r="12" spans="1:18">
      <c r="A12" s="127">
        <v>100</v>
      </c>
      <c r="B12" s="149" t="s">
        <v>428</v>
      </c>
      <c r="C12" s="155">
        <f>'1-BaseTRR'!$G$2-1</f>
        <v>2020</v>
      </c>
      <c r="D12" s="198">
        <f t="shared" ref="D12:O24" si="0">+D37+D62</f>
        <v>63231180</v>
      </c>
      <c r="E12" s="198">
        <f t="shared" si="0"/>
        <v>205845529</v>
      </c>
      <c r="F12" s="198">
        <f t="shared" si="0"/>
        <v>366119917</v>
      </c>
      <c r="G12" s="198">
        <f t="shared" si="0"/>
        <v>109131456</v>
      </c>
      <c r="H12" s="198">
        <f t="shared" si="0"/>
        <v>7204638732</v>
      </c>
      <c r="I12" s="198">
        <f t="shared" si="0"/>
        <v>35969891</v>
      </c>
      <c r="J12" s="198">
        <f t="shared" si="0"/>
        <v>941463911</v>
      </c>
      <c r="K12" s="198">
        <f t="shared" si="0"/>
        <v>1864869522</v>
      </c>
      <c r="L12" s="198">
        <f t="shared" si="0"/>
        <v>2062518476</v>
      </c>
      <c r="M12" s="198">
        <f t="shared" si="0"/>
        <v>512216183</v>
      </c>
      <c r="N12" s="198">
        <f t="shared" si="0"/>
        <v>281270291</v>
      </c>
      <c r="O12" s="198">
        <f t="shared" si="0"/>
        <v>125139860</v>
      </c>
      <c r="P12" s="24">
        <f>SUM(D12:O12)</f>
        <v>13772414948</v>
      </c>
      <c r="Q12" s="157" t="str">
        <f>"Line "&amp;A37&amp;" + Line "&amp;A62&amp;""</f>
        <v>Line 200 + Line 300</v>
      </c>
      <c r="R12" s="127">
        <f>A12</f>
        <v>100</v>
      </c>
    </row>
    <row r="13" spans="1:18">
      <c r="A13" s="127">
        <f>A12+1</f>
        <v>101</v>
      </c>
      <c r="B13" s="149" t="s">
        <v>430</v>
      </c>
      <c r="C13" s="155">
        <f>'1-BaseTRR'!$G$2</f>
        <v>2021</v>
      </c>
      <c r="D13" s="198">
        <f t="shared" si="0"/>
        <v>81082210</v>
      </c>
      <c r="E13" s="198">
        <f t="shared" si="0"/>
        <v>206091728</v>
      </c>
      <c r="F13" s="198">
        <f t="shared" si="0"/>
        <v>365924206</v>
      </c>
      <c r="G13" s="198">
        <f t="shared" si="0"/>
        <v>109197965</v>
      </c>
      <c r="H13" s="198">
        <f t="shared" si="0"/>
        <v>7206925588</v>
      </c>
      <c r="I13" s="198">
        <f t="shared" si="0"/>
        <v>35969921</v>
      </c>
      <c r="J13" s="198">
        <f t="shared" si="0"/>
        <v>948326282</v>
      </c>
      <c r="K13" s="198">
        <f t="shared" si="0"/>
        <v>1889644927</v>
      </c>
      <c r="L13" s="198">
        <f t="shared" si="0"/>
        <v>2089203871</v>
      </c>
      <c r="M13" s="198">
        <f t="shared" si="0"/>
        <v>511780794</v>
      </c>
      <c r="N13" s="198">
        <f t="shared" si="0"/>
        <v>281267655</v>
      </c>
      <c r="O13" s="198">
        <f t="shared" si="0"/>
        <v>140052847</v>
      </c>
      <c r="P13" s="24">
        <f t="shared" ref="P13:P24" si="1">SUM(D13:O13)</f>
        <v>13865467994</v>
      </c>
      <c r="Q13" s="157" t="str">
        <f t="shared" ref="Q13:Q24" si="2">"Line "&amp;A38&amp;" + Line "&amp;A63&amp;""</f>
        <v>Line 201 + Line 301</v>
      </c>
      <c r="R13" s="127">
        <f t="shared" ref="R13:R25" si="3">A13</f>
        <v>101</v>
      </c>
    </row>
    <row r="14" spans="1:18">
      <c r="A14" s="127">
        <f t="shared" ref="A14:A25" si="4">A13+1</f>
        <v>102</v>
      </c>
      <c r="B14" s="149" t="s">
        <v>431</v>
      </c>
      <c r="C14" s="155">
        <f>'1-BaseTRR'!$G$2</f>
        <v>2021</v>
      </c>
      <c r="D14" s="198">
        <f t="shared" si="0"/>
        <v>81091166</v>
      </c>
      <c r="E14" s="198">
        <f t="shared" si="0"/>
        <v>206086007</v>
      </c>
      <c r="F14" s="198">
        <f t="shared" si="0"/>
        <v>365470220</v>
      </c>
      <c r="G14" s="198">
        <f t="shared" si="0"/>
        <v>109213427</v>
      </c>
      <c r="H14" s="198">
        <f t="shared" si="0"/>
        <v>7247377643</v>
      </c>
      <c r="I14" s="198">
        <f t="shared" si="0"/>
        <v>35969919</v>
      </c>
      <c r="J14" s="198">
        <f t="shared" si="0"/>
        <v>955735508</v>
      </c>
      <c r="K14" s="198">
        <f t="shared" si="0"/>
        <v>1901396960</v>
      </c>
      <c r="L14" s="198">
        <f t="shared" si="0"/>
        <v>2108502343</v>
      </c>
      <c r="M14" s="198">
        <f t="shared" si="0"/>
        <v>511782793</v>
      </c>
      <c r="N14" s="198">
        <f t="shared" si="0"/>
        <v>281517440</v>
      </c>
      <c r="O14" s="198">
        <f t="shared" si="0"/>
        <v>140856671</v>
      </c>
      <c r="P14" s="24">
        <f t="shared" si="1"/>
        <v>13945000097</v>
      </c>
      <c r="Q14" s="157" t="str">
        <f t="shared" si="2"/>
        <v>Line 202 + Line 302</v>
      </c>
      <c r="R14" s="127">
        <f t="shared" si="3"/>
        <v>102</v>
      </c>
    </row>
    <row r="15" spans="1:18">
      <c r="A15" s="127">
        <f t="shared" si="4"/>
        <v>103</v>
      </c>
      <c r="B15" s="149" t="s">
        <v>432</v>
      </c>
      <c r="C15" s="155">
        <f>'1-BaseTRR'!$G$2</f>
        <v>2021</v>
      </c>
      <c r="D15" s="198">
        <f t="shared" si="0"/>
        <v>80990387</v>
      </c>
      <c r="E15" s="198">
        <f t="shared" si="0"/>
        <v>206165369</v>
      </c>
      <c r="F15" s="198">
        <f t="shared" si="0"/>
        <v>364180830</v>
      </c>
      <c r="G15" s="198">
        <f t="shared" si="0"/>
        <v>109229322</v>
      </c>
      <c r="H15" s="198">
        <f t="shared" si="0"/>
        <v>7302628652</v>
      </c>
      <c r="I15" s="198">
        <f t="shared" si="0"/>
        <v>35969924</v>
      </c>
      <c r="J15" s="198">
        <f t="shared" si="0"/>
        <v>960159717</v>
      </c>
      <c r="K15" s="198">
        <f t="shared" si="0"/>
        <v>1922473315</v>
      </c>
      <c r="L15" s="198">
        <f t="shared" si="0"/>
        <v>2136521607</v>
      </c>
      <c r="M15" s="198">
        <f t="shared" si="0"/>
        <v>511867942</v>
      </c>
      <c r="N15" s="198">
        <f t="shared" si="0"/>
        <v>281531345</v>
      </c>
      <c r="O15" s="198">
        <f t="shared" si="0"/>
        <v>156698169</v>
      </c>
      <c r="P15" s="24">
        <f t="shared" si="1"/>
        <v>14068416579</v>
      </c>
      <c r="Q15" s="157" t="str">
        <f t="shared" si="2"/>
        <v>Line 203 + Line 303</v>
      </c>
      <c r="R15" s="127">
        <f t="shared" si="3"/>
        <v>103</v>
      </c>
    </row>
    <row r="16" spans="1:18">
      <c r="A16" s="127">
        <f t="shared" si="4"/>
        <v>104</v>
      </c>
      <c r="B16" s="149" t="s">
        <v>433</v>
      </c>
      <c r="C16" s="155">
        <f>'1-BaseTRR'!$G$2</f>
        <v>2021</v>
      </c>
      <c r="D16" s="198">
        <f t="shared" si="0"/>
        <v>81010943</v>
      </c>
      <c r="E16" s="198">
        <f t="shared" si="0"/>
        <v>216063108</v>
      </c>
      <c r="F16" s="198">
        <f t="shared" si="0"/>
        <v>365085639</v>
      </c>
      <c r="G16" s="198">
        <f t="shared" si="0"/>
        <v>109289057</v>
      </c>
      <c r="H16" s="198">
        <f t="shared" si="0"/>
        <v>7324469479</v>
      </c>
      <c r="I16" s="198">
        <f t="shared" si="0"/>
        <v>35969937</v>
      </c>
      <c r="J16" s="198">
        <f t="shared" si="0"/>
        <v>959599915</v>
      </c>
      <c r="K16" s="198">
        <f t="shared" si="0"/>
        <v>1941811078</v>
      </c>
      <c r="L16" s="198">
        <f t="shared" si="0"/>
        <v>2152171275</v>
      </c>
      <c r="M16" s="198">
        <f t="shared" si="0"/>
        <v>512266724</v>
      </c>
      <c r="N16" s="198">
        <f t="shared" si="0"/>
        <v>281537479</v>
      </c>
      <c r="O16" s="198">
        <f t="shared" si="0"/>
        <v>157076936</v>
      </c>
      <c r="P16" s="24">
        <f t="shared" si="1"/>
        <v>14136351570</v>
      </c>
      <c r="Q16" s="157" t="str">
        <f t="shared" si="2"/>
        <v>Line 204 + Line 304</v>
      </c>
      <c r="R16" s="127">
        <f t="shared" si="3"/>
        <v>104</v>
      </c>
    </row>
    <row r="17" spans="1:19">
      <c r="A17" s="127">
        <f t="shared" si="4"/>
        <v>105</v>
      </c>
      <c r="B17" s="149" t="s">
        <v>395</v>
      </c>
      <c r="C17" s="155">
        <f>'1-BaseTRR'!$G$2</f>
        <v>2021</v>
      </c>
      <c r="D17" s="198">
        <f t="shared" si="0"/>
        <v>81195521</v>
      </c>
      <c r="E17" s="198">
        <f t="shared" si="0"/>
        <v>216318337</v>
      </c>
      <c r="F17" s="198">
        <f t="shared" si="0"/>
        <v>365641897</v>
      </c>
      <c r="G17" s="198">
        <f t="shared" si="0"/>
        <v>109489691</v>
      </c>
      <c r="H17" s="198">
        <f t="shared" si="0"/>
        <v>7369639929</v>
      </c>
      <c r="I17" s="198">
        <f t="shared" si="0"/>
        <v>35969927</v>
      </c>
      <c r="J17" s="198">
        <f t="shared" si="0"/>
        <v>1020088189</v>
      </c>
      <c r="K17" s="198">
        <f t="shared" si="0"/>
        <v>1958221339</v>
      </c>
      <c r="L17" s="198">
        <f t="shared" si="0"/>
        <v>2172650691</v>
      </c>
      <c r="M17" s="198">
        <f t="shared" si="0"/>
        <v>511940071</v>
      </c>
      <c r="N17" s="198">
        <f t="shared" si="0"/>
        <v>281503304</v>
      </c>
      <c r="O17" s="198">
        <f t="shared" si="0"/>
        <v>165548706</v>
      </c>
      <c r="P17" s="24">
        <f t="shared" si="1"/>
        <v>14288207602</v>
      </c>
      <c r="Q17" s="157" t="str">
        <f t="shared" si="2"/>
        <v>Line 205 + Line 305</v>
      </c>
      <c r="R17" s="127">
        <f t="shared" si="3"/>
        <v>105</v>
      </c>
    </row>
    <row r="18" spans="1:19">
      <c r="A18" s="127">
        <f t="shared" si="4"/>
        <v>106</v>
      </c>
      <c r="B18" s="149" t="s">
        <v>531</v>
      </c>
      <c r="C18" s="155">
        <f>'1-BaseTRR'!$G$2</f>
        <v>2021</v>
      </c>
      <c r="D18" s="198">
        <f t="shared" si="0"/>
        <v>81166230</v>
      </c>
      <c r="E18" s="198">
        <f t="shared" si="0"/>
        <v>216331270</v>
      </c>
      <c r="F18" s="198">
        <f t="shared" si="0"/>
        <v>366619347</v>
      </c>
      <c r="G18" s="198">
        <f t="shared" si="0"/>
        <v>111419926</v>
      </c>
      <c r="H18" s="198">
        <f t="shared" si="0"/>
        <v>7403344835</v>
      </c>
      <c r="I18" s="198">
        <f t="shared" si="0"/>
        <v>35969927</v>
      </c>
      <c r="J18" s="198">
        <f t="shared" si="0"/>
        <v>1033121722</v>
      </c>
      <c r="K18" s="198">
        <f t="shared" si="0"/>
        <v>1981926007</v>
      </c>
      <c r="L18" s="198">
        <f t="shared" si="0"/>
        <v>2201114342</v>
      </c>
      <c r="M18" s="198">
        <f t="shared" si="0"/>
        <v>518140626</v>
      </c>
      <c r="N18" s="198">
        <f t="shared" si="0"/>
        <v>281512903</v>
      </c>
      <c r="O18" s="198">
        <f t="shared" si="0"/>
        <v>157927297</v>
      </c>
      <c r="P18" s="24">
        <f t="shared" si="1"/>
        <v>14388594432</v>
      </c>
      <c r="Q18" s="157" t="str">
        <f t="shared" si="2"/>
        <v>Line 206 + Line 306</v>
      </c>
      <c r="R18" s="127">
        <f t="shared" si="3"/>
        <v>106</v>
      </c>
    </row>
    <row r="19" spans="1:19">
      <c r="A19" s="127">
        <f t="shared" si="4"/>
        <v>107</v>
      </c>
      <c r="B19" s="149" t="s">
        <v>435</v>
      </c>
      <c r="C19" s="155">
        <f>'1-BaseTRR'!$G$2</f>
        <v>2021</v>
      </c>
      <c r="D19" s="198">
        <f t="shared" si="0"/>
        <v>81407738</v>
      </c>
      <c r="E19" s="198">
        <f t="shared" si="0"/>
        <v>216533207</v>
      </c>
      <c r="F19" s="198">
        <f t="shared" si="0"/>
        <v>367975674</v>
      </c>
      <c r="G19" s="198">
        <f t="shared" si="0"/>
        <v>111212274</v>
      </c>
      <c r="H19" s="198">
        <f t="shared" si="0"/>
        <v>7411089444</v>
      </c>
      <c r="I19" s="198">
        <f t="shared" si="0"/>
        <v>35977423</v>
      </c>
      <c r="J19" s="198">
        <f t="shared" si="0"/>
        <v>1028087089</v>
      </c>
      <c r="K19" s="198">
        <f t="shared" si="0"/>
        <v>1992875662</v>
      </c>
      <c r="L19" s="198">
        <f t="shared" si="0"/>
        <v>2207639169</v>
      </c>
      <c r="M19" s="198">
        <f t="shared" si="0"/>
        <v>518157542</v>
      </c>
      <c r="N19" s="198">
        <f t="shared" si="0"/>
        <v>281545049</v>
      </c>
      <c r="O19" s="198">
        <f t="shared" si="0"/>
        <v>158268847</v>
      </c>
      <c r="P19" s="24">
        <f t="shared" si="1"/>
        <v>14410769118</v>
      </c>
      <c r="Q19" s="157" t="str">
        <f t="shared" si="2"/>
        <v>Line 207 + Line 307</v>
      </c>
      <c r="R19" s="127">
        <f t="shared" si="3"/>
        <v>107</v>
      </c>
    </row>
    <row r="20" spans="1:19">
      <c r="A20" s="127">
        <f t="shared" si="4"/>
        <v>108</v>
      </c>
      <c r="B20" s="149" t="s">
        <v>436</v>
      </c>
      <c r="C20" s="155">
        <f>'1-BaseTRR'!$G$2</f>
        <v>2021</v>
      </c>
      <c r="D20" s="198">
        <f t="shared" si="0"/>
        <v>81038869</v>
      </c>
      <c r="E20" s="198">
        <f t="shared" si="0"/>
        <v>216853280</v>
      </c>
      <c r="F20" s="198">
        <f t="shared" si="0"/>
        <v>371301372</v>
      </c>
      <c r="G20" s="198">
        <f t="shared" si="0"/>
        <v>111277950</v>
      </c>
      <c r="H20" s="198">
        <f t="shared" si="0"/>
        <v>7419544048</v>
      </c>
      <c r="I20" s="198">
        <f t="shared" si="0"/>
        <v>35992886</v>
      </c>
      <c r="J20" s="198">
        <f t="shared" si="0"/>
        <v>1025893976</v>
      </c>
      <c r="K20" s="198">
        <f t="shared" si="0"/>
        <v>2002945255</v>
      </c>
      <c r="L20" s="198">
        <f t="shared" si="0"/>
        <v>2221102850</v>
      </c>
      <c r="M20" s="198">
        <f t="shared" si="0"/>
        <v>519234160</v>
      </c>
      <c r="N20" s="198">
        <f t="shared" si="0"/>
        <v>282534481</v>
      </c>
      <c r="O20" s="198">
        <f t="shared" si="0"/>
        <v>159116314</v>
      </c>
      <c r="P20" s="24">
        <f t="shared" si="1"/>
        <v>14446835441</v>
      </c>
      <c r="Q20" s="157" t="str">
        <f t="shared" si="2"/>
        <v>Line 208 + Line 308</v>
      </c>
      <c r="R20" s="127">
        <f t="shared" si="3"/>
        <v>108</v>
      </c>
    </row>
    <row r="21" spans="1:19">
      <c r="A21" s="127">
        <f t="shared" si="4"/>
        <v>109</v>
      </c>
      <c r="B21" s="149" t="s">
        <v>437</v>
      </c>
      <c r="C21" s="155">
        <f>'1-BaseTRR'!$G$2</f>
        <v>2021</v>
      </c>
      <c r="D21" s="198">
        <f t="shared" si="0"/>
        <v>80558548</v>
      </c>
      <c r="E21" s="198">
        <f t="shared" si="0"/>
        <v>216902184</v>
      </c>
      <c r="F21" s="198">
        <f t="shared" si="0"/>
        <v>371342854</v>
      </c>
      <c r="G21" s="198">
        <f t="shared" si="0"/>
        <v>107652505</v>
      </c>
      <c r="H21" s="198">
        <f t="shared" si="0"/>
        <v>7451152743</v>
      </c>
      <c r="I21" s="198">
        <f t="shared" si="0"/>
        <v>34530963</v>
      </c>
      <c r="J21" s="198">
        <f t="shared" si="0"/>
        <v>1026697230</v>
      </c>
      <c r="K21" s="198">
        <f t="shared" si="0"/>
        <v>2032409326</v>
      </c>
      <c r="L21" s="198">
        <f t="shared" si="0"/>
        <v>2234517950</v>
      </c>
      <c r="M21" s="198">
        <f t="shared" si="0"/>
        <v>518187422</v>
      </c>
      <c r="N21" s="198">
        <f t="shared" si="0"/>
        <v>281559380</v>
      </c>
      <c r="O21" s="198">
        <f t="shared" si="0"/>
        <v>160346173</v>
      </c>
      <c r="P21" s="24">
        <f t="shared" si="1"/>
        <v>14515857278</v>
      </c>
      <c r="Q21" s="157" t="str">
        <f t="shared" si="2"/>
        <v>Line 209 + Line 309</v>
      </c>
      <c r="R21" s="127">
        <f t="shared" si="3"/>
        <v>109</v>
      </c>
    </row>
    <row r="22" spans="1:19">
      <c r="A22" s="127">
        <f t="shared" si="4"/>
        <v>110</v>
      </c>
      <c r="B22" s="149" t="s">
        <v>438</v>
      </c>
      <c r="C22" s="155">
        <f>'1-BaseTRR'!$G$2</f>
        <v>2021</v>
      </c>
      <c r="D22" s="198">
        <f t="shared" si="0"/>
        <v>81465910</v>
      </c>
      <c r="E22" s="198">
        <f t="shared" si="0"/>
        <v>217137771</v>
      </c>
      <c r="F22" s="198">
        <f t="shared" si="0"/>
        <v>371358245</v>
      </c>
      <c r="G22" s="198">
        <f>+G47+G72</f>
        <v>108285821</v>
      </c>
      <c r="H22" s="198">
        <f t="shared" si="0"/>
        <v>7462951303</v>
      </c>
      <c r="I22" s="198">
        <f t="shared" si="0"/>
        <v>34560958</v>
      </c>
      <c r="J22" s="198">
        <f t="shared" si="0"/>
        <v>1027423378</v>
      </c>
      <c r="K22" s="198">
        <f t="shared" si="0"/>
        <v>2056121519</v>
      </c>
      <c r="L22" s="198">
        <f t="shared" si="0"/>
        <v>2264699551</v>
      </c>
      <c r="M22" s="198">
        <f t="shared" si="0"/>
        <v>518207870</v>
      </c>
      <c r="N22" s="198">
        <f t="shared" si="0"/>
        <v>281563823</v>
      </c>
      <c r="O22" s="198">
        <f t="shared" si="0"/>
        <v>161084948</v>
      </c>
      <c r="P22" s="24">
        <f t="shared" si="1"/>
        <v>14584861097</v>
      </c>
      <c r="Q22" s="157" t="str">
        <f t="shared" si="2"/>
        <v>Line 210 + Line 310</v>
      </c>
      <c r="R22" s="127">
        <f t="shared" si="3"/>
        <v>110</v>
      </c>
    </row>
    <row r="23" spans="1:19">
      <c r="A23" s="127">
        <f t="shared" si="4"/>
        <v>111</v>
      </c>
      <c r="B23" s="149" t="s">
        <v>439</v>
      </c>
      <c r="C23" s="155">
        <f>'1-BaseTRR'!$G$2</f>
        <v>2021</v>
      </c>
      <c r="D23" s="198">
        <f t="shared" si="0"/>
        <v>81298190</v>
      </c>
      <c r="E23" s="198">
        <f t="shared" si="0"/>
        <v>217689642</v>
      </c>
      <c r="F23" s="198">
        <f t="shared" si="0"/>
        <v>371380938</v>
      </c>
      <c r="G23" s="198">
        <f t="shared" si="0"/>
        <v>108507540</v>
      </c>
      <c r="H23" s="198">
        <f t="shared" si="0"/>
        <v>7528974216</v>
      </c>
      <c r="I23" s="198">
        <f t="shared" si="0"/>
        <v>34569305</v>
      </c>
      <c r="J23" s="198">
        <f t="shared" si="0"/>
        <v>1029579528</v>
      </c>
      <c r="K23" s="198">
        <f t="shared" si="0"/>
        <v>2076394581</v>
      </c>
      <c r="L23" s="198">
        <f t="shared" si="0"/>
        <v>2295546590</v>
      </c>
      <c r="M23" s="198">
        <f t="shared" si="0"/>
        <v>518612446</v>
      </c>
      <c r="N23" s="198">
        <f t="shared" si="0"/>
        <v>281572447</v>
      </c>
      <c r="O23" s="198">
        <f t="shared" si="0"/>
        <v>162616168</v>
      </c>
      <c r="P23" s="24">
        <f t="shared" si="1"/>
        <v>14706741591</v>
      </c>
      <c r="Q23" s="157" t="str">
        <f t="shared" si="2"/>
        <v>Line 211 + Line 311</v>
      </c>
      <c r="R23" s="127">
        <f t="shared" si="3"/>
        <v>111</v>
      </c>
      <c r="S23" s="157"/>
    </row>
    <row r="24" spans="1:19">
      <c r="A24" s="127">
        <f t="shared" si="4"/>
        <v>112</v>
      </c>
      <c r="B24" s="158" t="s">
        <v>428</v>
      </c>
      <c r="C24" s="159">
        <f>'1-BaseTRR'!$G$2</f>
        <v>2021</v>
      </c>
      <c r="D24" s="469">
        <f t="shared" si="0"/>
        <v>82791681</v>
      </c>
      <c r="E24" s="469">
        <f t="shared" si="0"/>
        <v>208997631</v>
      </c>
      <c r="F24" s="469">
        <f t="shared" si="0"/>
        <v>362688526</v>
      </c>
      <c r="G24" s="469">
        <f t="shared" si="0"/>
        <v>108679506</v>
      </c>
      <c r="H24" s="469">
        <f t="shared" si="0"/>
        <v>7529329070</v>
      </c>
      <c r="I24" s="469">
        <f t="shared" si="0"/>
        <v>35991450</v>
      </c>
      <c r="J24" s="469">
        <f t="shared" si="0"/>
        <v>1040283564</v>
      </c>
      <c r="K24" s="469">
        <f t="shared" si="0"/>
        <v>2159592516</v>
      </c>
      <c r="L24" s="469">
        <f t="shared" si="0"/>
        <v>2346203987</v>
      </c>
      <c r="M24" s="469">
        <f t="shared" si="0"/>
        <v>518614161</v>
      </c>
      <c r="N24" s="469">
        <f t="shared" si="0"/>
        <v>281575116</v>
      </c>
      <c r="O24" s="469">
        <f t="shared" si="0"/>
        <v>164958388</v>
      </c>
      <c r="P24" s="469">
        <f t="shared" si="1"/>
        <v>14839705596</v>
      </c>
      <c r="Q24" s="157" t="str">
        <f t="shared" si="2"/>
        <v>Line 212 + Line 312</v>
      </c>
      <c r="R24" s="127">
        <f t="shared" si="3"/>
        <v>112</v>
      </c>
      <c r="S24" s="157"/>
    </row>
    <row r="25" spans="1:19">
      <c r="A25" s="127">
        <f t="shared" si="4"/>
        <v>113</v>
      </c>
      <c r="B25" s="545" t="s">
        <v>702</v>
      </c>
      <c r="C25" s="168"/>
      <c r="D25" s="199">
        <f>SUM(D12:D24)/13</f>
        <v>79871428.692307696</v>
      </c>
      <c r="E25" s="199">
        <f>SUM(E12:E24)/13</f>
        <v>212847312.53846154</v>
      </c>
      <c r="F25" s="199">
        <f>SUM(F12:F24)/13</f>
        <v>367314589.61538464</v>
      </c>
      <c r="G25" s="199">
        <f>SUM(G12:G24)/13</f>
        <v>109429726.15384616</v>
      </c>
      <c r="H25" s="199">
        <f t="shared" ref="H25:P25" si="5">SUM(H12:H24)/13</f>
        <v>7374005052.4615383</v>
      </c>
      <c r="I25" s="199">
        <f t="shared" si="5"/>
        <v>35647110.07692308</v>
      </c>
      <c r="J25" s="199">
        <f t="shared" si="5"/>
        <v>999727693</v>
      </c>
      <c r="K25" s="199">
        <f t="shared" si="5"/>
        <v>1983129385.1538463</v>
      </c>
      <c r="L25" s="199">
        <f t="shared" si="5"/>
        <v>2191722515.5384617</v>
      </c>
      <c r="M25" s="199">
        <f t="shared" si="5"/>
        <v>515462210.30769229</v>
      </c>
      <c r="N25" s="199">
        <f t="shared" si="5"/>
        <v>281576208.69230771</v>
      </c>
      <c r="O25" s="199">
        <f t="shared" si="5"/>
        <v>154591640.30769232</v>
      </c>
      <c r="P25" s="199">
        <f t="shared" si="5"/>
        <v>14305324872.538462</v>
      </c>
      <c r="Q25" s="157"/>
      <c r="R25" s="127">
        <f t="shared" si="3"/>
        <v>113</v>
      </c>
      <c r="S25" s="157"/>
    </row>
    <row r="26" spans="1:19">
      <c r="A26" s="18"/>
      <c r="B26" s="8"/>
      <c r="C26" s="8"/>
      <c r="D26" s="8"/>
      <c r="E26" s="8"/>
      <c r="F26" s="8"/>
      <c r="G26" s="8"/>
      <c r="H26" s="8"/>
      <c r="I26" s="8"/>
      <c r="J26" s="8"/>
      <c r="K26" s="8"/>
      <c r="L26" s="8"/>
      <c r="M26" s="8"/>
      <c r="R26" s="127"/>
    </row>
    <row r="27" spans="1:19">
      <c r="A27" s="18"/>
      <c r="B27" s="8"/>
      <c r="C27" s="8"/>
      <c r="D27" s="8"/>
      <c r="E27" s="8"/>
      <c r="F27" s="8"/>
      <c r="G27" s="8"/>
      <c r="H27" s="8"/>
      <c r="I27" s="8"/>
      <c r="J27" s="8"/>
      <c r="K27" s="8"/>
      <c r="L27" s="8"/>
      <c r="M27" s="8"/>
      <c r="R27" s="127"/>
    </row>
    <row r="28" spans="1:19">
      <c r="B28" s="50" t="s">
        <v>703</v>
      </c>
      <c r="C28" s="50"/>
      <c r="D28" s="140"/>
      <c r="E28" s="47"/>
      <c r="F28" s="47"/>
      <c r="G28" s="140"/>
      <c r="H28" s="140"/>
      <c r="I28" s="140"/>
      <c r="J28" s="140"/>
      <c r="K28" s="140"/>
      <c r="L28" s="140"/>
      <c r="M28" s="140"/>
      <c r="N28" s="47"/>
      <c r="O28" s="47"/>
      <c r="P28" s="47"/>
      <c r="Q28" s="47"/>
    </row>
    <row r="29" spans="1:19">
      <c r="B29" s="149" t="s">
        <v>704</v>
      </c>
      <c r="C29" s="2"/>
      <c r="D29" s="8"/>
      <c r="G29" s="8"/>
      <c r="H29" s="8"/>
      <c r="I29" s="8"/>
      <c r="J29" s="8"/>
      <c r="K29" s="8"/>
      <c r="L29" s="8"/>
      <c r="M29" s="8"/>
    </row>
    <row r="30" spans="1:19">
      <c r="B30" t="s">
        <v>705</v>
      </c>
      <c r="C30" s="2"/>
      <c r="D30" s="8"/>
      <c r="G30" s="8"/>
      <c r="H30" s="8"/>
      <c r="I30" s="8"/>
      <c r="J30" s="8"/>
      <c r="K30" s="8"/>
      <c r="L30" s="8"/>
      <c r="M30" s="8"/>
    </row>
    <row r="31" spans="1:19">
      <c r="C31" s="2"/>
      <c r="D31" s="8"/>
      <c r="G31" s="8"/>
      <c r="H31" s="8"/>
      <c r="I31" s="8"/>
      <c r="J31" s="8"/>
      <c r="K31" s="8"/>
      <c r="L31" s="8"/>
      <c r="M31" s="8"/>
    </row>
    <row r="32" spans="1:19">
      <c r="A32" s="4"/>
      <c r="D32" s="118" t="s">
        <v>371</v>
      </c>
      <c r="E32" s="118" t="s">
        <v>372</v>
      </c>
      <c r="F32" s="118" t="s">
        <v>373</v>
      </c>
      <c r="G32" s="118" t="s">
        <v>374</v>
      </c>
      <c r="H32" s="118" t="s">
        <v>375</v>
      </c>
      <c r="I32" s="118" t="s">
        <v>376</v>
      </c>
      <c r="J32" s="118" t="s">
        <v>377</v>
      </c>
      <c r="K32" s="118" t="s">
        <v>378</v>
      </c>
      <c r="L32" s="118" t="s">
        <v>409</v>
      </c>
      <c r="M32" s="118" t="s">
        <v>525</v>
      </c>
      <c r="N32" s="118" t="s">
        <v>526</v>
      </c>
      <c r="O32" s="118" t="s">
        <v>527</v>
      </c>
      <c r="P32" s="118" t="s">
        <v>528</v>
      </c>
      <c r="Q32" s="118"/>
    </row>
    <row r="33" spans="1:18">
      <c r="B33" s="4"/>
      <c r="C33" s="4"/>
      <c r="D33" s="161"/>
      <c r="E33" s="161"/>
      <c r="F33" s="161"/>
      <c r="G33" s="161"/>
      <c r="H33" s="161"/>
      <c r="I33" s="161"/>
      <c r="J33" s="161"/>
      <c r="K33" s="161"/>
      <c r="L33" s="161"/>
      <c r="M33" s="161"/>
      <c r="N33" s="161"/>
      <c r="O33" s="161"/>
      <c r="P33" s="152" t="s">
        <v>688</v>
      </c>
      <c r="Q33" s="21"/>
    </row>
    <row r="34" spans="1:18">
      <c r="B34" s="4"/>
      <c r="C34" s="4"/>
      <c r="P34" s="21"/>
      <c r="Q34" s="21"/>
    </row>
    <row r="35" spans="1:18">
      <c r="A35" s="127"/>
      <c r="B35" s="127"/>
      <c r="C35" s="126" t="s">
        <v>689</v>
      </c>
      <c r="D35" s="119">
        <v>350.01</v>
      </c>
      <c r="E35" s="119">
        <v>350.02</v>
      </c>
      <c r="F35" s="119">
        <v>352.01</v>
      </c>
      <c r="G35" s="119">
        <v>352.02</v>
      </c>
      <c r="H35" s="119">
        <v>353.01</v>
      </c>
      <c r="I35" s="119">
        <v>353.02</v>
      </c>
      <c r="J35" s="119">
        <v>354</v>
      </c>
      <c r="K35" s="119">
        <v>355</v>
      </c>
      <c r="L35" s="119">
        <v>356</v>
      </c>
      <c r="M35" s="119">
        <v>357</v>
      </c>
      <c r="N35" s="119">
        <v>358</v>
      </c>
      <c r="O35" s="119">
        <v>359</v>
      </c>
    </row>
    <row r="36" spans="1:18">
      <c r="A36" s="115" t="s">
        <v>100</v>
      </c>
      <c r="B36" s="115" t="s">
        <v>384</v>
      </c>
      <c r="C36" s="115" t="s">
        <v>420</v>
      </c>
      <c r="D36" s="118" t="s">
        <v>690</v>
      </c>
      <c r="E36" s="118" t="s">
        <v>691</v>
      </c>
      <c r="F36" s="118" t="s">
        <v>692</v>
      </c>
      <c r="G36" s="118" t="s">
        <v>693</v>
      </c>
      <c r="H36" s="118" t="s">
        <v>694</v>
      </c>
      <c r="I36" s="118" t="s">
        <v>695</v>
      </c>
      <c r="J36" s="118" t="s">
        <v>696</v>
      </c>
      <c r="K36" s="118" t="s">
        <v>697</v>
      </c>
      <c r="L36" s="118" t="s">
        <v>698</v>
      </c>
      <c r="M36" s="118" t="s">
        <v>699</v>
      </c>
      <c r="N36" s="118" t="s">
        <v>700</v>
      </c>
      <c r="O36" s="118" t="s">
        <v>701</v>
      </c>
      <c r="P36" s="115" t="s">
        <v>465</v>
      </c>
      <c r="Q36" s="115"/>
      <c r="R36" s="115" t="str">
        <f>A36</f>
        <v>Line</v>
      </c>
    </row>
    <row r="37" spans="1:18">
      <c r="A37" s="127">
        <v>200</v>
      </c>
      <c r="B37" s="149" t="s">
        <v>428</v>
      </c>
      <c r="C37" s="155">
        <f>'1-BaseTRR'!$G$2-1</f>
        <v>2020</v>
      </c>
      <c r="D37" s="470">
        <v>45183262</v>
      </c>
      <c r="E37" s="470">
        <v>100461806</v>
      </c>
      <c r="F37" s="470">
        <v>177010988</v>
      </c>
      <c r="G37" s="470">
        <v>43880754</v>
      </c>
      <c r="H37" s="470">
        <v>3533671154</v>
      </c>
      <c r="I37" s="470">
        <v>9119741</v>
      </c>
      <c r="J37" s="470">
        <v>517511887</v>
      </c>
      <c r="K37" s="470">
        <v>299366891</v>
      </c>
      <c r="L37" s="470">
        <v>749772189</v>
      </c>
      <c r="M37" s="470">
        <v>342595756</v>
      </c>
      <c r="N37" s="470">
        <v>110131458</v>
      </c>
      <c r="O37" s="470">
        <v>40170760</v>
      </c>
      <c r="P37" s="24">
        <f>SUM(D37:O37)</f>
        <v>5968876646</v>
      </c>
      <c r="Q37" s="157"/>
      <c r="R37" s="127">
        <f t="shared" ref="R37:R50" si="6">A37</f>
        <v>200</v>
      </c>
    </row>
    <row r="38" spans="1:18">
      <c r="A38" s="127">
        <f>A37+1</f>
        <v>201</v>
      </c>
      <c r="B38" s="149" t="s">
        <v>430</v>
      </c>
      <c r="C38" s="155">
        <f>'1-BaseTRR'!$G$2</f>
        <v>2021</v>
      </c>
      <c r="D38" s="470">
        <v>52505153</v>
      </c>
      <c r="E38" s="470">
        <v>99307494</v>
      </c>
      <c r="F38" s="470">
        <v>146693384</v>
      </c>
      <c r="G38" s="470">
        <v>31313928</v>
      </c>
      <c r="H38" s="470">
        <v>2537187520</v>
      </c>
      <c r="I38" s="470">
        <v>4820623</v>
      </c>
      <c r="J38" s="470">
        <v>516607801</v>
      </c>
      <c r="K38" s="470">
        <v>196906971</v>
      </c>
      <c r="L38" s="470">
        <v>811894439</v>
      </c>
      <c r="M38" s="470">
        <v>345067656</v>
      </c>
      <c r="N38" s="470">
        <v>116784473</v>
      </c>
      <c r="O38" s="470">
        <v>41055258</v>
      </c>
      <c r="P38" s="24">
        <f t="shared" ref="P38:P49" si="7">SUM(D38:O38)</f>
        <v>4900144700</v>
      </c>
      <c r="Q38" s="157"/>
      <c r="R38" s="127">
        <f t="shared" si="6"/>
        <v>201</v>
      </c>
    </row>
    <row r="39" spans="1:18">
      <c r="A39" s="127">
        <f t="shared" ref="A39:A50" si="8">A38+1</f>
        <v>202</v>
      </c>
      <c r="B39" s="149" t="s">
        <v>431</v>
      </c>
      <c r="C39" s="155">
        <f>'1-BaseTRR'!$G$2</f>
        <v>2021</v>
      </c>
      <c r="D39" s="470">
        <v>52512889</v>
      </c>
      <c r="E39" s="470">
        <v>99324486</v>
      </c>
      <c r="F39" s="470">
        <v>146485112</v>
      </c>
      <c r="G39" s="470">
        <v>31313928</v>
      </c>
      <c r="H39" s="470">
        <v>2574287988</v>
      </c>
      <c r="I39" s="470">
        <v>4820623</v>
      </c>
      <c r="J39" s="470">
        <v>516061317</v>
      </c>
      <c r="K39" s="470">
        <v>187277843</v>
      </c>
      <c r="L39" s="470">
        <v>814066496</v>
      </c>
      <c r="M39" s="470">
        <v>345068501</v>
      </c>
      <c r="N39" s="470">
        <v>116786120</v>
      </c>
      <c r="O39" s="470">
        <v>53832540</v>
      </c>
      <c r="P39" s="24">
        <f t="shared" si="7"/>
        <v>4941837843</v>
      </c>
      <c r="Q39" s="157"/>
      <c r="R39" s="127">
        <f t="shared" si="6"/>
        <v>202</v>
      </c>
    </row>
    <row r="40" spans="1:18">
      <c r="A40" s="127">
        <f t="shared" si="8"/>
        <v>203</v>
      </c>
      <c r="B40" s="149" t="s">
        <v>432</v>
      </c>
      <c r="C40" s="155">
        <f>'1-BaseTRR'!$G$2</f>
        <v>2021</v>
      </c>
      <c r="D40" s="470">
        <v>52447253</v>
      </c>
      <c r="E40" s="470">
        <v>99360931</v>
      </c>
      <c r="F40" s="470">
        <v>145635728</v>
      </c>
      <c r="G40" s="470">
        <v>31316638</v>
      </c>
      <c r="H40" s="470">
        <v>2595984951</v>
      </c>
      <c r="I40" s="470">
        <v>4820623</v>
      </c>
      <c r="J40" s="470">
        <v>518852966</v>
      </c>
      <c r="K40" s="470">
        <v>184672287</v>
      </c>
      <c r="L40" s="470">
        <v>815424089</v>
      </c>
      <c r="M40" s="470">
        <v>345117715</v>
      </c>
      <c r="N40" s="470">
        <v>117087051</v>
      </c>
      <c r="O40" s="470">
        <v>59378531</v>
      </c>
      <c r="P40" s="24">
        <f t="shared" si="7"/>
        <v>4970098763</v>
      </c>
      <c r="Q40" s="157"/>
      <c r="R40" s="127">
        <f t="shared" si="6"/>
        <v>203</v>
      </c>
    </row>
    <row r="41" spans="1:18">
      <c r="A41" s="127">
        <f t="shared" si="8"/>
        <v>204</v>
      </c>
      <c r="B41" s="149" t="s">
        <v>433</v>
      </c>
      <c r="C41" s="155">
        <f>'1-BaseTRR'!$G$2</f>
        <v>2021</v>
      </c>
      <c r="D41" s="470">
        <v>52458365</v>
      </c>
      <c r="E41" s="470">
        <v>99412426</v>
      </c>
      <c r="F41" s="470">
        <v>145633951</v>
      </c>
      <c r="G41" s="470">
        <v>31329504</v>
      </c>
      <c r="H41" s="470">
        <v>2619681672</v>
      </c>
      <c r="I41" s="470">
        <v>4820623</v>
      </c>
      <c r="J41" s="470">
        <v>519406572</v>
      </c>
      <c r="K41" s="470">
        <v>179320396</v>
      </c>
      <c r="L41" s="470">
        <v>819949931</v>
      </c>
      <c r="M41" s="470">
        <v>345510105</v>
      </c>
      <c r="N41" s="470">
        <v>117098136</v>
      </c>
      <c r="O41" s="470">
        <v>59314515</v>
      </c>
      <c r="P41" s="24">
        <f t="shared" si="7"/>
        <v>4993936196</v>
      </c>
      <c r="Q41" s="157"/>
      <c r="R41" s="127">
        <f t="shared" si="6"/>
        <v>204</v>
      </c>
    </row>
    <row r="42" spans="1:18">
      <c r="A42" s="127">
        <f t="shared" si="8"/>
        <v>205</v>
      </c>
      <c r="B42" s="149" t="s">
        <v>395</v>
      </c>
      <c r="C42" s="155">
        <f>'1-BaseTRR'!$G$2</f>
        <v>2021</v>
      </c>
      <c r="D42" s="470">
        <v>52464574</v>
      </c>
      <c r="E42" s="470">
        <v>99455654</v>
      </c>
      <c r="F42" s="470">
        <v>145633950</v>
      </c>
      <c r="G42" s="470">
        <v>31339473</v>
      </c>
      <c r="H42" s="470">
        <v>2658509204</v>
      </c>
      <c r="I42" s="470">
        <v>4820623</v>
      </c>
      <c r="J42" s="470">
        <v>524787561</v>
      </c>
      <c r="K42" s="470">
        <v>173278207</v>
      </c>
      <c r="L42" s="470">
        <v>831721459</v>
      </c>
      <c r="M42" s="470">
        <v>345119390</v>
      </c>
      <c r="N42" s="470">
        <v>117102802</v>
      </c>
      <c r="O42" s="470">
        <v>59452016</v>
      </c>
      <c r="P42" s="24">
        <f t="shared" si="7"/>
        <v>5043684913</v>
      </c>
      <c r="Q42" s="157"/>
      <c r="R42" s="127">
        <f t="shared" si="6"/>
        <v>205</v>
      </c>
    </row>
    <row r="43" spans="1:18">
      <c r="A43" s="127">
        <f t="shared" si="8"/>
        <v>206</v>
      </c>
      <c r="B43" s="149" t="s">
        <v>531</v>
      </c>
      <c r="C43" s="155">
        <f>'1-BaseTRR'!$G$2</f>
        <v>2021</v>
      </c>
      <c r="D43" s="470">
        <v>52487661</v>
      </c>
      <c r="E43" s="470">
        <v>99534795</v>
      </c>
      <c r="F43" s="470">
        <v>145634310</v>
      </c>
      <c r="G43" s="470">
        <v>33256779</v>
      </c>
      <c r="H43" s="470">
        <v>2701676115</v>
      </c>
      <c r="I43" s="470">
        <v>4820623</v>
      </c>
      <c r="J43" s="470">
        <v>527935467</v>
      </c>
      <c r="K43" s="470">
        <v>170753974</v>
      </c>
      <c r="L43" s="470">
        <v>836008799</v>
      </c>
      <c r="M43" s="470">
        <v>351296170</v>
      </c>
      <c r="N43" s="470">
        <v>117106602</v>
      </c>
      <c r="O43" s="470">
        <v>56876145</v>
      </c>
      <c r="P43" s="24">
        <f t="shared" si="7"/>
        <v>5097387440</v>
      </c>
      <c r="Q43" s="157"/>
      <c r="R43" s="127">
        <f t="shared" si="6"/>
        <v>206</v>
      </c>
    </row>
    <row r="44" spans="1:18">
      <c r="A44" s="127">
        <f t="shared" si="8"/>
        <v>207</v>
      </c>
      <c r="B44" s="149" t="s">
        <v>435</v>
      </c>
      <c r="C44" s="155">
        <f>'1-BaseTRR'!$G$2</f>
        <v>2021</v>
      </c>
      <c r="D44" s="470">
        <v>52501724</v>
      </c>
      <c r="E44" s="470">
        <v>99591395</v>
      </c>
      <c r="F44" s="470">
        <v>145634107</v>
      </c>
      <c r="G44" s="470">
        <v>33284274</v>
      </c>
      <c r="H44" s="470">
        <v>2708593313</v>
      </c>
      <c r="I44" s="470">
        <v>4820683</v>
      </c>
      <c r="J44" s="470">
        <v>533220144</v>
      </c>
      <c r="K44" s="470">
        <v>166048971</v>
      </c>
      <c r="L44" s="470">
        <v>842338830</v>
      </c>
      <c r="M44" s="470">
        <v>351301746</v>
      </c>
      <c r="N44" s="470">
        <v>117138375</v>
      </c>
      <c r="O44" s="470">
        <v>58283948</v>
      </c>
      <c r="P44" s="24">
        <f t="shared" si="7"/>
        <v>5112757510</v>
      </c>
      <c r="Q44" s="157"/>
      <c r="R44" s="127">
        <f t="shared" si="6"/>
        <v>207</v>
      </c>
    </row>
    <row r="45" spans="1:18">
      <c r="A45" s="127">
        <f t="shared" si="8"/>
        <v>208</v>
      </c>
      <c r="B45" s="149" t="s">
        <v>436</v>
      </c>
      <c r="C45" s="155">
        <f>'1-BaseTRR'!$G$2</f>
        <v>2021</v>
      </c>
      <c r="D45" s="470">
        <v>52457892</v>
      </c>
      <c r="E45" s="470">
        <v>99658660</v>
      </c>
      <c r="F45" s="470">
        <v>145641291</v>
      </c>
      <c r="G45" s="470">
        <v>33310905</v>
      </c>
      <c r="H45" s="470">
        <v>2713137977</v>
      </c>
      <c r="I45" s="470">
        <v>4822361</v>
      </c>
      <c r="J45" s="470">
        <v>533274854</v>
      </c>
      <c r="K45" s="470">
        <v>164805409</v>
      </c>
      <c r="L45" s="470">
        <v>842904525</v>
      </c>
      <c r="M45" s="470">
        <v>351553889</v>
      </c>
      <c r="N45" s="470">
        <v>117327822</v>
      </c>
      <c r="O45" s="470">
        <v>59953172</v>
      </c>
      <c r="P45" s="24">
        <f t="shared" si="7"/>
        <v>5118848757</v>
      </c>
      <c r="Q45" s="157"/>
      <c r="R45" s="127">
        <f t="shared" si="6"/>
        <v>208</v>
      </c>
    </row>
    <row r="46" spans="1:18">
      <c r="A46" s="127">
        <f t="shared" si="8"/>
        <v>209</v>
      </c>
      <c r="B46" s="149" t="s">
        <v>437</v>
      </c>
      <c r="C46" s="155">
        <f>'1-BaseTRR'!$G$2</f>
        <v>2021</v>
      </c>
      <c r="D46" s="470">
        <v>52690164</v>
      </c>
      <c r="E46" s="470">
        <v>99669832</v>
      </c>
      <c r="F46" s="470">
        <v>145640425</v>
      </c>
      <c r="G46" s="470">
        <v>32033449</v>
      </c>
      <c r="H46" s="470">
        <v>2724410328</v>
      </c>
      <c r="I46" s="470">
        <v>4306264</v>
      </c>
      <c r="J46" s="470">
        <v>533444039</v>
      </c>
      <c r="K46" s="470">
        <v>164921138</v>
      </c>
      <c r="L46" s="470">
        <v>848613683</v>
      </c>
      <c r="M46" s="470">
        <v>351340642</v>
      </c>
      <c r="N46" s="470">
        <v>117151765</v>
      </c>
      <c r="O46" s="470">
        <v>60348495</v>
      </c>
      <c r="P46" s="24">
        <f t="shared" si="7"/>
        <v>5134570224</v>
      </c>
      <c r="Q46" s="157"/>
      <c r="R46" s="127">
        <f t="shared" si="6"/>
        <v>209</v>
      </c>
    </row>
    <row r="47" spans="1:18">
      <c r="A47" s="127">
        <f t="shared" si="8"/>
        <v>210</v>
      </c>
      <c r="B47" s="149" t="s">
        <v>438</v>
      </c>
      <c r="C47" s="155">
        <f>'1-BaseTRR'!$G$2</f>
        <v>2021</v>
      </c>
      <c r="D47" s="470">
        <v>53371870</v>
      </c>
      <c r="E47" s="470">
        <v>99734482</v>
      </c>
      <c r="F47" s="470">
        <v>145640425</v>
      </c>
      <c r="G47" s="470">
        <v>32164327</v>
      </c>
      <c r="H47" s="470">
        <v>2729455019</v>
      </c>
      <c r="I47" s="470">
        <v>4316846</v>
      </c>
      <c r="J47" s="470">
        <v>533650295</v>
      </c>
      <c r="K47" s="470">
        <v>165081365</v>
      </c>
      <c r="L47" s="470">
        <v>854114778</v>
      </c>
      <c r="M47" s="470">
        <v>351345215</v>
      </c>
      <c r="N47" s="470">
        <v>117153416</v>
      </c>
      <c r="O47" s="470">
        <v>60789016</v>
      </c>
      <c r="P47" s="24">
        <f t="shared" si="7"/>
        <v>5146817054</v>
      </c>
      <c r="Q47" s="157"/>
      <c r="R47" s="127">
        <f t="shared" si="6"/>
        <v>210</v>
      </c>
    </row>
    <row r="48" spans="1:18">
      <c r="A48" s="127">
        <f t="shared" si="8"/>
        <v>211</v>
      </c>
      <c r="B48" s="149" t="s">
        <v>439</v>
      </c>
      <c r="C48" s="155">
        <f>'1-BaseTRR'!$G$2</f>
        <v>2021</v>
      </c>
      <c r="D48" s="470">
        <v>53088678</v>
      </c>
      <c r="E48" s="470">
        <v>100171709</v>
      </c>
      <c r="F48" s="470">
        <v>145640425</v>
      </c>
      <c r="G48" s="470">
        <v>32188963</v>
      </c>
      <c r="H48" s="470">
        <v>2796253125</v>
      </c>
      <c r="I48" s="470">
        <v>4319791</v>
      </c>
      <c r="J48" s="470">
        <v>533794458</v>
      </c>
      <c r="K48" s="470">
        <v>162499688</v>
      </c>
      <c r="L48" s="470">
        <v>869067785</v>
      </c>
      <c r="M48" s="470">
        <v>351747063</v>
      </c>
      <c r="N48" s="470">
        <v>117156502</v>
      </c>
      <c r="O48" s="470">
        <v>61352560</v>
      </c>
      <c r="P48" s="24">
        <f t="shared" si="7"/>
        <v>5227280747</v>
      </c>
      <c r="Q48" s="157"/>
      <c r="R48" s="127">
        <f t="shared" si="6"/>
        <v>211</v>
      </c>
    </row>
    <row r="49" spans="1:18">
      <c r="A49" s="127">
        <f t="shared" si="8"/>
        <v>212</v>
      </c>
      <c r="B49" s="158" t="s">
        <v>428</v>
      </c>
      <c r="C49" s="159">
        <f>'1-BaseTRR'!$G$2</f>
        <v>2021</v>
      </c>
      <c r="D49" s="471">
        <v>53064227</v>
      </c>
      <c r="E49" s="471">
        <v>100274774</v>
      </c>
      <c r="F49" s="471">
        <v>151151509</v>
      </c>
      <c r="G49" s="471">
        <v>34486743</v>
      </c>
      <c r="H49" s="471">
        <v>2811121350</v>
      </c>
      <c r="I49" s="471">
        <v>4821603</v>
      </c>
      <c r="J49" s="471">
        <v>536643388</v>
      </c>
      <c r="K49" s="471">
        <v>142382009</v>
      </c>
      <c r="L49" s="471">
        <v>863683216</v>
      </c>
      <c r="M49" s="471">
        <v>351675577</v>
      </c>
      <c r="N49" s="471">
        <v>116938830</v>
      </c>
      <c r="O49" s="471">
        <v>70037974</v>
      </c>
      <c r="P49" s="472">
        <f t="shared" si="7"/>
        <v>5236281200</v>
      </c>
      <c r="Q49" s="157"/>
      <c r="R49" s="127">
        <f t="shared" si="6"/>
        <v>212</v>
      </c>
    </row>
    <row r="50" spans="1:18">
      <c r="A50" s="127">
        <f t="shared" si="8"/>
        <v>213</v>
      </c>
      <c r="B50" s="545" t="s">
        <v>702</v>
      </c>
      <c r="C50" s="168"/>
      <c r="D50" s="199">
        <f>SUM(D37:D49)/13</f>
        <v>52094900.92307692</v>
      </c>
      <c r="E50" s="199">
        <f>SUM(E37:E49)/13</f>
        <v>99689111.076923072</v>
      </c>
      <c r="F50" s="199">
        <f>SUM(F37:F49)/13</f>
        <v>148621200.38461539</v>
      </c>
      <c r="G50" s="199">
        <f>SUM(G37:G49)/13</f>
        <v>33170743.46153846</v>
      </c>
      <c r="H50" s="199">
        <f t="shared" ref="H50" si="9">SUM(H37:H49)/13</f>
        <v>2746459208.9230771</v>
      </c>
      <c r="I50" s="199">
        <f t="shared" ref="I50" si="10">SUM(I37:I49)/13</f>
        <v>5034694.384615385</v>
      </c>
      <c r="J50" s="199">
        <f t="shared" ref="J50" si="11">SUM(J37:J49)/13</f>
        <v>526553134.53846157</v>
      </c>
      <c r="K50" s="199">
        <f t="shared" ref="K50" si="12">SUM(K37:K49)/13</f>
        <v>181331934.53846154</v>
      </c>
      <c r="L50" s="199">
        <f t="shared" ref="L50" si="13">SUM(L37:L49)/13</f>
        <v>830735401.46153843</v>
      </c>
      <c r="M50" s="199">
        <f t="shared" ref="M50" si="14">SUM(M37:M49)/13</f>
        <v>348364571.15384614</v>
      </c>
      <c r="N50" s="199">
        <f t="shared" ref="N50" si="15">SUM(N37:N49)/13</f>
        <v>116535642.46153846</v>
      </c>
      <c r="O50" s="199">
        <f t="shared" ref="O50" si="16">SUM(O37:O49)/13</f>
        <v>56988071.538461536</v>
      </c>
      <c r="P50" s="352">
        <f t="shared" ref="P50" si="17">SUM(P37:P49)/13</f>
        <v>5145578614.8461542</v>
      </c>
      <c r="Q50" s="157"/>
      <c r="R50" s="127">
        <f t="shared" si="6"/>
        <v>213</v>
      </c>
    </row>
    <row r="51" spans="1:18">
      <c r="A51" s="18"/>
      <c r="B51" s="8"/>
      <c r="C51" s="8"/>
      <c r="D51" s="8"/>
      <c r="E51" s="8"/>
      <c r="F51" s="8"/>
      <c r="G51" s="8"/>
      <c r="H51" s="8"/>
      <c r="I51" s="8"/>
      <c r="J51" s="8"/>
      <c r="K51" s="8"/>
      <c r="L51" s="8"/>
      <c r="M51" s="8"/>
      <c r="R51" s="127"/>
    </row>
    <row r="52" spans="1:18">
      <c r="A52" s="18"/>
      <c r="B52" s="8"/>
      <c r="C52" s="8"/>
      <c r="D52" s="8"/>
      <c r="E52" s="8"/>
      <c r="F52" s="8"/>
      <c r="G52" s="8"/>
      <c r="H52" s="8"/>
      <c r="I52" s="8"/>
      <c r="J52" s="8"/>
      <c r="K52" s="8"/>
      <c r="L52" s="8"/>
      <c r="M52" s="8"/>
      <c r="R52" s="127"/>
    </row>
    <row r="53" spans="1:18">
      <c r="B53" s="50" t="s">
        <v>706</v>
      </c>
      <c r="C53" s="50"/>
      <c r="D53" s="140"/>
      <c r="E53" s="140"/>
      <c r="F53" s="47"/>
      <c r="G53" s="140"/>
      <c r="H53" s="140"/>
      <c r="I53" s="140"/>
      <c r="J53" s="140"/>
      <c r="K53" s="140"/>
      <c r="L53" s="140"/>
      <c r="M53" s="140"/>
      <c r="N53" s="47"/>
      <c r="O53" s="47"/>
      <c r="P53" s="47"/>
      <c r="Q53" s="47"/>
    </row>
    <row r="54" spans="1:18">
      <c r="B54" s="149" t="s">
        <v>707</v>
      </c>
      <c r="C54" s="2"/>
      <c r="D54" s="8"/>
      <c r="E54" s="8"/>
      <c r="G54" s="8"/>
      <c r="H54" s="8"/>
      <c r="I54" s="8"/>
      <c r="J54" s="8"/>
      <c r="K54" s="8"/>
      <c r="L54" s="8"/>
      <c r="M54" s="8"/>
    </row>
    <row r="55" spans="1:18">
      <c r="B55" t="s">
        <v>708</v>
      </c>
      <c r="C55" s="2"/>
      <c r="D55" s="8"/>
      <c r="E55" s="8"/>
      <c r="G55" s="8"/>
      <c r="H55" s="8"/>
      <c r="I55" s="8"/>
      <c r="J55" s="8"/>
      <c r="K55" s="8"/>
      <c r="L55" s="8"/>
      <c r="M55" s="8"/>
    </row>
    <row r="56" spans="1:18">
      <c r="B56" s="149"/>
      <c r="C56" s="2"/>
      <c r="D56" s="8"/>
      <c r="E56" s="8"/>
      <c r="G56" s="8"/>
      <c r="H56" s="8"/>
      <c r="I56" s="8"/>
      <c r="J56" s="8"/>
      <c r="K56" s="8"/>
      <c r="L56" s="8"/>
      <c r="M56" s="8"/>
    </row>
    <row r="57" spans="1:18">
      <c r="A57" s="4"/>
      <c r="D57" s="118" t="s">
        <v>371</v>
      </c>
      <c r="E57" s="118" t="s">
        <v>372</v>
      </c>
      <c r="F57" s="118" t="s">
        <v>373</v>
      </c>
      <c r="G57" s="118" t="s">
        <v>374</v>
      </c>
      <c r="H57" s="118" t="s">
        <v>375</v>
      </c>
      <c r="I57" s="118" t="s">
        <v>376</v>
      </c>
      <c r="J57" s="118" t="s">
        <v>377</v>
      </c>
      <c r="K57" s="118" t="s">
        <v>378</v>
      </c>
      <c r="L57" s="118" t="s">
        <v>409</v>
      </c>
      <c r="M57" s="118" t="s">
        <v>525</v>
      </c>
      <c r="N57" s="118" t="s">
        <v>526</v>
      </c>
      <c r="O57" s="118" t="s">
        <v>527</v>
      </c>
      <c r="P57" s="118" t="s">
        <v>528</v>
      </c>
      <c r="Q57" s="118"/>
      <c r="R57" s="127"/>
    </row>
    <row r="58" spans="1:18">
      <c r="B58" s="4"/>
      <c r="C58" s="4"/>
      <c r="D58" s="161"/>
      <c r="E58" s="161"/>
      <c r="F58" s="161"/>
      <c r="G58" s="161"/>
      <c r="H58" s="161"/>
      <c r="I58" s="161"/>
      <c r="J58" s="161"/>
      <c r="K58" s="161"/>
      <c r="L58" s="161"/>
      <c r="M58" s="161"/>
      <c r="N58" s="161"/>
      <c r="O58" s="161"/>
      <c r="P58" s="152" t="s">
        <v>688</v>
      </c>
      <c r="Q58" s="21"/>
      <c r="R58" s="127"/>
    </row>
    <row r="59" spans="1:18">
      <c r="B59" s="4"/>
      <c r="C59" s="4"/>
      <c r="N59" s="21"/>
      <c r="P59" s="21"/>
      <c r="Q59" s="21"/>
      <c r="R59" s="127"/>
    </row>
    <row r="60" spans="1:18">
      <c r="A60" s="127"/>
      <c r="B60" s="127"/>
      <c r="C60" s="126" t="s">
        <v>689</v>
      </c>
      <c r="D60" s="119">
        <v>350.01</v>
      </c>
      <c r="E60" s="119">
        <v>350.02</v>
      </c>
      <c r="F60" s="119">
        <v>352.01</v>
      </c>
      <c r="G60" s="119">
        <v>352.02</v>
      </c>
      <c r="H60" s="119">
        <v>353.01</v>
      </c>
      <c r="I60" s="119">
        <v>353.02</v>
      </c>
      <c r="J60" s="119">
        <v>354</v>
      </c>
      <c r="K60" s="119">
        <v>355</v>
      </c>
      <c r="L60" s="119">
        <v>356</v>
      </c>
      <c r="M60" s="119">
        <v>357</v>
      </c>
      <c r="N60" s="119">
        <v>358</v>
      </c>
      <c r="O60" s="119">
        <v>359</v>
      </c>
      <c r="R60" s="127"/>
    </row>
    <row r="61" spans="1:18">
      <c r="A61" s="115" t="s">
        <v>100</v>
      </c>
      <c r="B61" s="115" t="s">
        <v>384</v>
      </c>
      <c r="C61" s="115" t="s">
        <v>420</v>
      </c>
      <c r="D61" s="118" t="s">
        <v>690</v>
      </c>
      <c r="E61" s="118" t="s">
        <v>691</v>
      </c>
      <c r="F61" s="118" t="s">
        <v>692</v>
      </c>
      <c r="G61" s="118" t="s">
        <v>693</v>
      </c>
      <c r="H61" s="118" t="s">
        <v>694</v>
      </c>
      <c r="I61" s="118" t="s">
        <v>695</v>
      </c>
      <c r="J61" s="118" t="s">
        <v>696</v>
      </c>
      <c r="K61" s="118" t="s">
        <v>697</v>
      </c>
      <c r="L61" s="118" t="s">
        <v>698</v>
      </c>
      <c r="M61" s="118" t="s">
        <v>699</v>
      </c>
      <c r="N61" s="118" t="s">
        <v>700</v>
      </c>
      <c r="O61" s="118" t="s">
        <v>701</v>
      </c>
      <c r="P61" s="115" t="s">
        <v>465</v>
      </c>
      <c r="Q61" s="115"/>
      <c r="R61" s="115" t="str">
        <f>A61</f>
        <v>Line</v>
      </c>
    </row>
    <row r="62" spans="1:18">
      <c r="A62" s="127">
        <v>300</v>
      </c>
      <c r="B62" s="149" t="s">
        <v>428</v>
      </c>
      <c r="C62" s="155">
        <f>'1-BaseTRR'!$G$2-1</f>
        <v>2020</v>
      </c>
      <c r="D62" s="470">
        <v>18047918</v>
      </c>
      <c r="E62" s="470">
        <v>105383723</v>
      </c>
      <c r="F62" s="470">
        <v>189108929</v>
      </c>
      <c r="G62" s="470">
        <v>65250702</v>
      </c>
      <c r="H62" s="470">
        <v>3670967578</v>
      </c>
      <c r="I62" s="470">
        <v>26850150</v>
      </c>
      <c r="J62" s="470">
        <v>423952024</v>
      </c>
      <c r="K62" s="470">
        <v>1565502631</v>
      </c>
      <c r="L62" s="470">
        <v>1312746287</v>
      </c>
      <c r="M62" s="470">
        <v>169620427</v>
      </c>
      <c r="N62" s="470">
        <v>171138833</v>
      </c>
      <c r="O62" s="470">
        <v>84969100</v>
      </c>
      <c r="P62" s="24">
        <f>SUM(D62:O62)</f>
        <v>7803538302</v>
      </c>
      <c r="Q62" s="157"/>
      <c r="R62" s="127">
        <f t="shared" ref="R62:R75" si="18">A62</f>
        <v>300</v>
      </c>
    </row>
    <row r="63" spans="1:18">
      <c r="A63" s="127">
        <f>A62+1</f>
        <v>301</v>
      </c>
      <c r="B63" s="149" t="s">
        <v>430</v>
      </c>
      <c r="C63" s="155">
        <f>'1-BaseTRR'!$G$2</f>
        <v>2021</v>
      </c>
      <c r="D63" s="470">
        <v>28577057</v>
      </c>
      <c r="E63" s="470">
        <v>106784234</v>
      </c>
      <c r="F63" s="470">
        <v>219230822</v>
      </c>
      <c r="G63" s="470">
        <v>77884037</v>
      </c>
      <c r="H63" s="470">
        <v>4669738068</v>
      </c>
      <c r="I63" s="470">
        <v>31149298</v>
      </c>
      <c r="J63" s="470">
        <v>431718481</v>
      </c>
      <c r="K63" s="470">
        <v>1692737956</v>
      </c>
      <c r="L63" s="470">
        <v>1277309432</v>
      </c>
      <c r="M63" s="470">
        <v>166713138</v>
      </c>
      <c r="N63" s="470">
        <v>164483182</v>
      </c>
      <c r="O63" s="470">
        <v>98997589</v>
      </c>
      <c r="P63" s="24">
        <f t="shared" ref="P63:P74" si="19">SUM(D63:O63)</f>
        <v>8965323294</v>
      </c>
      <c r="Q63" s="157"/>
      <c r="R63" s="127">
        <f t="shared" si="18"/>
        <v>301</v>
      </c>
    </row>
    <row r="64" spans="1:18">
      <c r="A64" s="127">
        <f t="shared" ref="A64:A75" si="20">A63+1</f>
        <v>302</v>
      </c>
      <c r="B64" s="149" t="s">
        <v>431</v>
      </c>
      <c r="C64" s="155">
        <f>'1-BaseTRR'!$G$2</f>
        <v>2021</v>
      </c>
      <c r="D64" s="470">
        <v>28578277</v>
      </c>
      <c r="E64" s="470">
        <v>106761521</v>
      </c>
      <c r="F64" s="470">
        <v>218985108</v>
      </c>
      <c r="G64" s="470">
        <v>77899499</v>
      </c>
      <c r="H64" s="470">
        <v>4673089655</v>
      </c>
      <c r="I64" s="470">
        <v>31149296</v>
      </c>
      <c r="J64" s="470">
        <v>439674191</v>
      </c>
      <c r="K64" s="470">
        <v>1714119117</v>
      </c>
      <c r="L64" s="470">
        <v>1294435847</v>
      </c>
      <c r="M64" s="470">
        <v>166714292</v>
      </c>
      <c r="N64" s="470">
        <v>164731320</v>
      </c>
      <c r="O64" s="470">
        <v>87024131</v>
      </c>
      <c r="P64" s="24">
        <f t="shared" si="19"/>
        <v>9003162254</v>
      </c>
      <c r="Q64" s="157"/>
      <c r="R64" s="127">
        <f t="shared" si="18"/>
        <v>302</v>
      </c>
    </row>
    <row r="65" spans="1:18">
      <c r="A65" s="127">
        <f t="shared" si="20"/>
        <v>303</v>
      </c>
      <c r="B65" s="149" t="s">
        <v>432</v>
      </c>
      <c r="C65" s="155">
        <f>'1-BaseTRR'!$G$2</f>
        <v>2021</v>
      </c>
      <c r="D65" s="470">
        <v>28543134</v>
      </c>
      <c r="E65" s="470">
        <v>106804438</v>
      </c>
      <c r="F65" s="470">
        <v>218545102</v>
      </c>
      <c r="G65" s="470">
        <v>77912684</v>
      </c>
      <c r="H65" s="470">
        <v>4706643701</v>
      </c>
      <c r="I65" s="470">
        <v>31149301</v>
      </c>
      <c r="J65" s="470">
        <v>441306751</v>
      </c>
      <c r="K65" s="470">
        <v>1737801028</v>
      </c>
      <c r="L65" s="470">
        <v>1321097518</v>
      </c>
      <c r="M65" s="470">
        <v>166750227</v>
      </c>
      <c r="N65" s="470">
        <v>164444294</v>
      </c>
      <c r="O65" s="470">
        <v>97319638</v>
      </c>
      <c r="P65" s="24">
        <f t="shared" si="19"/>
        <v>9098317816</v>
      </c>
      <c r="Q65" s="157"/>
      <c r="R65" s="127">
        <f t="shared" si="18"/>
        <v>303</v>
      </c>
    </row>
    <row r="66" spans="1:18">
      <c r="A66" s="127">
        <f t="shared" si="20"/>
        <v>304</v>
      </c>
      <c r="B66" s="149" t="s">
        <v>433</v>
      </c>
      <c r="C66" s="155">
        <f>'1-BaseTRR'!$G$2</f>
        <v>2021</v>
      </c>
      <c r="D66" s="470">
        <v>28552578</v>
      </c>
      <c r="E66" s="470">
        <v>116650682</v>
      </c>
      <c r="F66" s="470">
        <v>219451688</v>
      </c>
      <c r="G66" s="470">
        <v>77959553</v>
      </c>
      <c r="H66" s="470">
        <v>4704787807</v>
      </c>
      <c r="I66" s="470">
        <v>31149314</v>
      </c>
      <c r="J66" s="470">
        <v>440193343</v>
      </c>
      <c r="K66" s="470">
        <v>1762490682</v>
      </c>
      <c r="L66" s="470">
        <v>1332221344</v>
      </c>
      <c r="M66" s="470">
        <v>166756619</v>
      </c>
      <c r="N66" s="470">
        <v>164439343</v>
      </c>
      <c r="O66" s="470">
        <v>97762421</v>
      </c>
      <c r="P66" s="24">
        <f t="shared" si="19"/>
        <v>9142415374</v>
      </c>
      <c r="Q66" s="157"/>
      <c r="R66" s="127">
        <f t="shared" si="18"/>
        <v>304</v>
      </c>
    </row>
    <row r="67" spans="1:18">
      <c r="A67" s="127">
        <f t="shared" si="20"/>
        <v>305</v>
      </c>
      <c r="B67" s="149" t="s">
        <v>395</v>
      </c>
      <c r="C67" s="155">
        <f>'1-BaseTRR'!$G$2</f>
        <v>2021</v>
      </c>
      <c r="D67" s="470">
        <v>28730947</v>
      </c>
      <c r="E67" s="470">
        <v>116862683</v>
      </c>
      <c r="F67" s="470">
        <v>220007947</v>
      </c>
      <c r="G67" s="470">
        <v>78150218</v>
      </c>
      <c r="H67" s="470">
        <v>4711130725</v>
      </c>
      <c r="I67" s="470">
        <v>31149304</v>
      </c>
      <c r="J67" s="470">
        <v>495300628</v>
      </c>
      <c r="K67" s="470">
        <v>1784943132</v>
      </c>
      <c r="L67" s="470">
        <v>1340929232</v>
      </c>
      <c r="M67" s="470">
        <v>166820681</v>
      </c>
      <c r="N67" s="470">
        <v>164400502</v>
      </c>
      <c r="O67" s="470">
        <v>106096690</v>
      </c>
      <c r="P67" s="24">
        <f t="shared" si="19"/>
        <v>9244522689</v>
      </c>
      <c r="Q67" s="157"/>
      <c r="R67" s="127">
        <f t="shared" si="18"/>
        <v>305</v>
      </c>
    </row>
    <row r="68" spans="1:18">
      <c r="A68" s="127">
        <f t="shared" si="20"/>
        <v>306</v>
      </c>
      <c r="B68" s="149" t="s">
        <v>531</v>
      </c>
      <c r="C68" s="155">
        <f>'1-BaseTRR'!$G$2</f>
        <v>2021</v>
      </c>
      <c r="D68" s="470">
        <v>28678569</v>
      </c>
      <c r="E68" s="470">
        <v>116796475</v>
      </c>
      <c r="F68" s="470">
        <v>220985037</v>
      </c>
      <c r="G68" s="470">
        <v>78163147</v>
      </c>
      <c r="H68" s="470">
        <v>4701668720</v>
      </c>
      <c r="I68" s="470">
        <v>31149304</v>
      </c>
      <c r="J68" s="470">
        <v>505186255</v>
      </c>
      <c r="K68" s="470">
        <v>1811172033</v>
      </c>
      <c r="L68" s="470">
        <v>1365105543</v>
      </c>
      <c r="M68" s="470">
        <v>166844456</v>
      </c>
      <c r="N68" s="470">
        <v>164406301</v>
      </c>
      <c r="O68" s="470">
        <v>101051152</v>
      </c>
      <c r="P68" s="24">
        <f t="shared" si="19"/>
        <v>9291206992</v>
      </c>
      <c r="Q68" s="157"/>
      <c r="R68" s="127">
        <f t="shared" si="18"/>
        <v>306</v>
      </c>
    </row>
    <row r="69" spans="1:18">
      <c r="A69" s="127">
        <f t="shared" si="20"/>
        <v>307</v>
      </c>
      <c r="B69" s="149" t="s">
        <v>435</v>
      </c>
      <c r="C69" s="155">
        <f>'1-BaseTRR'!$G$2</f>
        <v>2021</v>
      </c>
      <c r="D69" s="470">
        <v>28906014</v>
      </c>
      <c r="E69" s="470">
        <v>116941812</v>
      </c>
      <c r="F69" s="470">
        <v>222341567</v>
      </c>
      <c r="G69" s="470">
        <v>77928000</v>
      </c>
      <c r="H69" s="470">
        <v>4702496131</v>
      </c>
      <c r="I69" s="470">
        <v>31156740</v>
      </c>
      <c r="J69" s="470">
        <v>494866945</v>
      </c>
      <c r="K69" s="470">
        <v>1826826691</v>
      </c>
      <c r="L69" s="470">
        <v>1365300339</v>
      </c>
      <c r="M69" s="470">
        <v>166855796</v>
      </c>
      <c r="N69" s="470">
        <v>164406674</v>
      </c>
      <c r="O69" s="470">
        <v>99984899</v>
      </c>
      <c r="P69" s="24">
        <f t="shared" si="19"/>
        <v>9298011608</v>
      </c>
      <c r="Q69" s="157"/>
      <c r="R69" s="127">
        <f t="shared" si="18"/>
        <v>307</v>
      </c>
    </row>
    <row r="70" spans="1:18">
      <c r="A70" s="127">
        <f t="shared" si="20"/>
        <v>308</v>
      </c>
      <c r="B70" s="149" t="s">
        <v>436</v>
      </c>
      <c r="C70" s="155">
        <f>'1-BaseTRR'!$G$2</f>
        <v>2021</v>
      </c>
      <c r="D70" s="470">
        <v>28580977</v>
      </c>
      <c r="E70" s="470">
        <v>117194620</v>
      </c>
      <c r="F70" s="470">
        <v>225660081</v>
      </c>
      <c r="G70" s="470">
        <v>77967045</v>
      </c>
      <c r="H70" s="470">
        <v>4706406071</v>
      </c>
      <c r="I70" s="470">
        <v>31170525</v>
      </c>
      <c r="J70" s="470">
        <v>492619122</v>
      </c>
      <c r="K70" s="470">
        <v>1838139846</v>
      </c>
      <c r="L70" s="470">
        <v>1378198325</v>
      </c>
      <c r="M70" s="470">
        <v>167680271</v>
      </c>
      <c r="N70" s="470">
        <v>165206659</v>
      </c>
      <c r="O70" s="470">
        <v>99163142</v>
      </c>
      <c r="P70" s="24">
        <f t="shared" si="19"/>
        <v>9327986684</v>
      </c>
      <c r="Q70" s="157"/>
      <c r="R70" s="127">
        <f t="shared" si="18"/>
        <v>308</v>
      </c>
    </row>
    <row r="71" spans="1:18">
      <c r="A71" s="127">
        <f t="shared" si="20"/>
        <v>309</v>
      </c>
      <c r="B71" s="149" t="s">
        <v>437</v>
      </c>
      <c r="C71" s="155">
        <f>'1-BaseTRR'!$G$2</f>
        <v>2021</v>
      </c>
      <c r="D71" s="470">
        <v>27868384</v>
      </c>
      <c r="E71" s="470">
        <v>117232352</v>
      </c>
      <c r="F71" s="470">
        <v>225702429</v>
      </c>
      <c r="G71" s="470">
        <v>75619056</v>
      </c>
      <c r="H71" s="470">
        <v>4726742415</v>
      </c>
      <c r="I71" s="470">
        <v>30224699</v>
      </c>
      <c r="J71" s="470">
        <v>493253191</v>
      </c>
      <c r="K71" s="470">
        <v>1867488188</v>
      </c>
      <c r="L71" s="470">
        <v>1385904267</v>
      </c>
      <c r="M71" s="470">
        <v>166846780</v>
      </c>
      <c r="N71" s="470">
        <v>164407615</v>
      </c>
      <c r="O71" s="470">
        <v>99997678</v>
      </c>
      <c r="P71" s="24">
        <f t="shared" si="19"/>
        <v>9381287054</v>
      </c>
      <c r="Q71" s="157"/>
      <c r="R71" s="127">
        <f t="shared" si="18"/>
        <v>309</v>
      </c>
    </row>
    <row r="72" spans="1:18">
      <c r="A72" s="127">
        <f t="shared" si="20"/>
        <v>310</v>
      </c>
      <c r="B72" s="149" t="s">
        <v>438</v>
      </c>
      <c r="C72" s="155">
        <f>'1-BaseTRR'!$G$2</f>
        <v>2021</v>
      </c>
      <c r="D72" s="470">
        <v>28094040</v>
      </c>
      <c r="E72" s="470">
        <v>117403289</v>
      </c>
      <c r="F72" s="470">
        <v>225717820</v>
      </c>
      <c r="G72" s="470">
        <v>76121494</v>
      </c>
      <c r="H72" s="470">
        <v>4733496284</v>
      </c>
      <c r="I72" s="470">
        <v>30244112</v>
      </c>
      <c r="J72" s="470">
        <v>493773083</v>
      </c>
      <c r="K72" s="470">
        <v>1891040154</v>
      </c>
      <c r="L72" s="470">
        <v>1410584773</v>
      </c>
      <c r="M72" s="470">
        <v>166862655</v>
      </c>
      <c r="N72" s="470">
        <v>164410407</v>
      </c>
      <c r="O72" s="470">
        <v>100295932</v>
      </c>
      <c r="P72" s="24">
        <f t="shared" si="19"/>
        <v>9438044043</v>
      </c>
      <c r="Q72" s="157"/>
      <c r="R72" s="127">
        <f t="shared" si="18"/>
        <v>310</v>
      </c>
    </row>
    <row r="73" spans="1:18">
      <c r="A73" s="127">
        <f t="shared" si="20"/>
        <v>311</v>
      </c>
      <c r="B73" s="149" t="s">
        <v>439</v>
      </c>
      <c r="C73" s="155">
        <f>'1-BaseTRR'!$G$2</f>
        <v>2021</v>
      </c>
      <c r="D73" s="470">
        <v>28209512</v>
      </c>
      <c r="E73" s="470">
        <v>117517933</v>
      </c>
      <c r="F73" s="470">
        <v>225740513</v>
      </c>
      <c r="G73" s="470">
        <v>76318577</v>
      </c>
      <c r="H73" s="470">
        <v>4732721091</v>
      </c>
      <c r="I73" s="470">
        <v>30249514</v>
      </c>
      <c r="J73" s="470">
        <v>495785070</v>
      </c>
      <c r="K73" s="470">
        <v>1913894893</v>
      </c>
      <c r="L73" s="470">
        <v>1426478805</v>
      </c>
      <c r="M73" s="470">
        <v>166865383</v>
      </c>
      <c r="N73" s="470">
        <v>164415945</v>
      </c>
      <c r="O73" s="470">
        <v>101263608</v>
      </c>
      <c r="P73" s="24">
        <f t="shared" si="19"/>
        <v>9479460844</v>
      </c>
      <c r="Q73" s="157"/>
      <c r="R73" s="127">
        <f t="shared" si="18"/>
        <v>311</v>
      </c>
    </row>
    <row r="74" spans="1:18">
      <c r="A74" s="127">
        <f t="shared" si="20"/>
        <v>312</v>
      </c>
      <c r="B74" s="158" t="s">
        <v>428</v>
      </c>
      <c r="C74" s="159">
        <f>'1-BaseTRR'!$G$2</f>
        <v>2021</v>
      </c>
      <c r="D74" s="471">
        <v>29727454</v>
      </c>
      <c r="E74" s="471">
        <v>108722857</v>
      </c>
      <c r="F74" s="471">
        <v>211537017</v>
      </c>
      <c r="G74" s="471">
        <v>74192763</v>
      </c>
      <c r="H74" s="471">
        <v>4718207720</v>
      </c>
      <c r="I74" s="471">
        <v>31169847</v>
      </c>
      <c r="J74" s="471">
        <v>503640176</v>
      </c>
      <c r="K74" s="471">
        <v>2017210507</v>
      </c>
      <c r="L74" s="471">
        <v>1482520771</v>
      </c>
      <c r="M74" s="471">
        <v>166938584</v>
      </c>
      <c r="N74" s="471">
        <v>164636286</v>
      </c>
      <c r="O74" s="471">
        <v>94920414</v>
      </c>
      <c r="P74" s="472">
        <f t="shared" si="19"/>
        <v>9603424396</v>
      </c>
      <c r="Q74" s="157"/>
      <c r="R74" s="127">
        <f t="shared" si="18"/>
        <v>312</v>
      </c>
    </row>
    <row r="75" spans="1:18">
      <c r="A75" s="127">
        <f t="shared" si="20"/>
        <v>313</v>
      </c>
      <c r="B75" s="545" t="s">
        <v>702</v>
      </c>
      <c r="C75" s="168"/>
      <c r="D75" s="199">
        <f>SUM(D62:D74)/13</f>
        <v>27776527.769230768</v>
      </c>
      <c r="E75" s="199">
        <f>SUM(E62:E74)/13</f>
        <v>113158201.46153846</v>
      </c>
      <c r="F75" s="199">
        <f>SUM(F62:F74)/13</f>
        <v>218693389.23076922</v>
      </c>
      <c r="G75" s="199">
        <f>SUM(G62:G74)/13</f>
        <v>76258982.692307696</v>
      </c>
      <c r="H75" s="199">
        <f t="shared" ref="H75" si="21">SUM(H62:H74)/13</f>
        <v>4627545843.5384617</v>
      </c>
      <c r="I75" s="199">
        <f t="shared" ref="I75" si="22">SUM(I62:I74)/13</f>
        <v>30612415.692307692</v>
      </c>
      <c r="J75" s="199">
        <f t="shared" ref="J75" si="23">SUM(J62:J74)/13</f>
        <v>473174558.46153843</v>
      </c>
      <c r="K75" s="199">
        <f t="shared" ref="K75" si="24">SUM(K62:K74)/13</f>
        <v>1801797450.6153846</v>
      </c>
      <c r="L75" s="199">
        <f t="shared" ref="L75" si="25">SUM(L62:L74)/13</f>
        <v>1360987114.0769231</v>
      </c>
      <c r="M75" s="199">
        <f t="shared" ref="M75" si="26">SUM(M62:M74)/13</f>
        <v>167097639.15384614</v>
      </c>
      <c r="N75" s="199">
        <f t="shared" ref="N75" si="27">SUM(N62:N74)/13</f>
        <v>165040566.23076922</v>
      </c>
      <c r="O75" s="199">
        <f t="shared" ref="O75" si="28">SUM(O62:O74)/13</f>
        <v>97603568.769230768</v>
      </c>
      <c r="P75" s="352">
        <f t="shared" ref="P75" si="29">SUM(P62:P74)/13</f>
        <v>9159746257.6923084</v>
      </c>
      <c r="Q75" s="157"/>
      <c r="R75" s="127">
        <f t="shared" si="18"/>
        <v>313</v>
      </c>
    </row>
    <row r="76" spans="1:18">
      <c r="A76" s="127"/>
      <c r="B76" s="160"/>
      <c r="C76" s="160"/>
      <c r="D76" s="11"/>
      <c r="E76" s="11"/>
      <c r="F76" s="11"/>
      <c r="G76" s="11"/>
      <c r="H76" s="11"/>
      <c r="I76" s="11"/>
      <c r="J76" s="11"/>
      <c r="K76" s="11"/>
      <c r="L76" s="11"/>
      <c r="M76" s="11"/>
      <c r="N76" s="11"/>
      <c r="R76" s="127"/>
    </row>
    <row r="77" spans="1:18">
      <c r="A77" s="127"/>
      <c r="B77" s="160"/>
      <c r="C77" s="160"/>
      <c r="D77" s="11"/>
      <c r="E77" s="11"/>
      <c r="F77" s="11"/>
      <c r="G77" s="11"/>
      <c r="H77" s="11"/>
      <c r="I77" s="11"/>
      <c r="J77" s="11"/>
      <c r="K77" s="11"/>
      <c r="L77" s="11"/>
      <c r="M77" s="11"/>
      <c r="N77" s="11"/>
      <c r="R77" s="127"/>
    </row>
    <row r="78" spans="1:18">
      <c r="B78" s="50" t="s">
        <v>709</v>
      </c>
      <c r="C78" s="50"/>
      <c r="D78" s="140"/>
      <c r="E78" s="140"/>
      <c r="F78" s="140"/>
      <c r="G78" s="47"/>
      <c r="H78" s="140"/>
      <c r="I78" s="140"/>
      <c r="J78" s="140"/>
      <c r="K78" s="140"/>
      <c r="L78" s="140"/>
      <c r="M78" s="140"/>
      <c r="N78" s="47"/>
      <c r="O78" s="47"/>
      <c r="P78" s="47"/>
      <c r="Q78" s="47"/>
    </row>
    <row r="79" spans="1:18">
      <c r="B79" s="149" t="s">
        <v>710</v>
      </c>
      <c r="C79" s="149"/>
      <c r="D79" s="149"/>
      <c r="E79" s="149"/>
      <c r="F79" s="149"/>
      <c r="G79" s="149"/>
      <c r="H79" s="149"/>
      <c r="I79" s="149"/>
      <c r="J79" s="149"/>
      <c r="K79" s="149"/>
      <c r="L79" s="149"/>
      <c r="M79" s="149"/>
      <c r="N79" s="149"/>
      <c r="O79" s="149"/>
      <c r="P79" s="149"/>
      <c r="Q79" s="149"/>
    </row>
    <row r="80" spans="1:18">
      <c r="B80" s="149"/>
      <c r="C80" s="149"/>
      <c r="D80" s="149"/>
      <c r="E80" s="149"/>
      <c r="F80" s="149"/>
      <c r="G80" s="149"/>
      <c r="H80" s="149"/>
      <c r="I80" s="149"/>
      <c r="J80" s="149"/>
      <c r="K80" s="149"/>
      <c r="L80" s="149"/>
      <c r="M80" s="149"/>
      <c r="N80" s="149"/>
      <c r="O80" s="149"/>
      <c r="P80" s="149"/>
      <c r="Q80" s="149"/>
    </row>
    <row r="81" spans="1:18">
      <c r="A81" s="4"/>
      <c r="D81" s="118" t="s">
        <v>371</v>
      </c>
      <c r="E81" s="118" t="s">
        <v>372</v>
      </c>
      <c r="F81" s="118" t="s">
        <v>373</v>
      </c>
      <c r="G81" s="118"/>
      <c r="H81" s="118"/>
      <c r="I81" s="118"/>
      <c r="J81" s="118"/>
      <c r="K81" s="118"/>
      <c r="L81" s="118"/>
      <c r="M81" s="118"/>
      <c r="N81" s="118"/>
      <c r="R81" s="127"/>
    </row>
    <row r="82" spans="1:18">
      <c r="B82" s="127"/>
      <c r="C82" s="127"/>
      <c r="D82" s="136" t="s">
        <v>711</v>
      </c>
      <c r="E82" s="152" t="s">
        <v>111</v>
      </c>
      <c r="F82" s="152" t="s">
        <v>111</v>
      </c>
      <c r="R82" s="127"/>
    </row>
    <row r="83" spans="1:18">
      <c r="B83" s="127"/>
      <c r="C83" s="127"/>
      <c r="D83" s="136"/>
      <c r="E83" s="118"/>
      <c r="R83" s="127"/>
    </row>
    <row r="84" spans="1:18">
      <c r="B84" s="127"/>
      <c r="C84" s="127"/>
      <c r="D84" s="119" t="s">
        <v>712</v>
      </c>
      <c r="E84" s="119" t="s">
        <v>713</v>
      </c>
      <c r="F84" s="119" t="s">
        <v>713</v>
      </c>
      <c r="R84" s="127"/>
    </row>
    <row r="85" spans="1:18">
      <c r="A85" s="115" t="s">
        <v>100</v>
      </c>
      <c r="B85" s="115" t="s">
        <v>384</v>
      </c>
      <c r="C85" s="115" t="s">
        <v>420</v>
      </c>
      <c r="D85" s="162" t="s">
        <v>714</v>
      </c>
      <c r="E85" s="162" t="s">
        <v>715</v>
      </c>
      <c r="F85" s="162" t="s">
        <v>716</v>
      </c>
      <c r="G85" s="118"/>
      <c r="H85" s="118"/>
      <c r="I85" s="118"/>
      <c r="J85" s="118"/>
      <c r="K85" s="118"/>
      <c r="L85" s="118"/>
      <c r="M85" s="118"/>
      <c r="N85" s="115"/>
      <c r="R85" s="115" t="str">
        <f>A85</f>
        <v>Line</v>
      </c>
    </row>
    <row r="86" spans="1:18">
      <c r="A86" s="127">
        <v>400</v>
      </c>
      <c r="B86" s="149" t="s">
        <v>428</v>
      </c>
      <c r="C86" s="155">
        <f>'1-BaseTRR'!$G$2-1</f>
        <v>2020</v>
      </c>
      <c r="D86" s="198">
        <f>+E86+F86</f>
        <v>933668339.15999973</v>
      </c>
      <c r="E86" s="470">
        <v>391924988.71774495</v>
      </c>
      <c r="F86" s="470">
        <v>541743350.44225478</v>
      </c>
      <c r="G86" s="163" t="s">
        <v>717</v>
      </c>
      <c r="H86" s="163"/>
      <c r="I86" s="163"/>
      <c r="J86" s="163"/>
      <c r="K86" s="163"/>
      <c r="L86" s="163"/>
      <c r="M86" s="163"/>
      <c r="N86" s="11"/>
      <c r="R86" s="127">
        <f>A86</f>
        <v>400</v>
      </c>
    </row>
    <row r="87" spans="1:18">
      <c r="A87" s="127">
        <f>+A86+1</f>
        <v>401</v>
      </c>
      <c r="B87" s="158" t="s">
        <v>428</v>
      </c>
      <c r="C87" s="159">
        <f>'1-BaseTRR'!$G$2</f>
        <v>2021</v>
      </c>
      <c r="D87" s="469">
        <f>+E87+F87</f>
        <v>985786308.14000034</v>
      </c>
      <c r="E87" s="471">
        <v>344220571.70387566</v>
      </c>
      <c r="F87" s="471">
        <v>641565736.43612468</v>
      </c>
      <c r="G87" s="163" t="s">
        <v>718</v>
      </c>
      <c r="H87" s="164"/>
      <c r="I87" s="164"/>
      <c r="J87" s="164"/>
      <c r="K87" s="164"/>
      <c r="L87" s="164"/>
      <c r="M87" s="164"/>
      <c r="N87" s="164"/>
      <c r="R87" s="127">
        <f>A87</f>
        <v>401</v>
      </c>
    </row>
    <row r="88" spans="1:18">
      <c r="A88" s="127">
        <f t="shared" ref="A88" si="30">A87+1</f>
        <v>402</v>
      </c>
      <c r="B88" s="168" t="s">
        <v>719</v>
      </c>
      <c r="C88" s="168"/>
      <c r="D88" s="487">
        <f>AVERAGE(D86:D87)</f>
        <v>959727323.6500001</v>
      </c>
      <c r="E88" s="487">
        <f t="shared" ref="E88:F88" si="31">AVERAGE(E86:E87)</f>
        <v>368072780.2108103</v>
      </c>
      <c r="F88" s="487">
        <f t="shared" si="31"/>
        <v>591654543.43918967</v>
      </c>
      <c r="G88" s="11" t="s">
        <v>720</v>
      </c>
      <c r="H88" s="11"/>
      <c r="I88" s="11"/>
      <c r="J88" s="11"/>
      <c r="K88" s="11"/>
      <c r="L88" s="11"/>
      <c r="M88" s="11"/>
      <c r="N88" s="11"/>
      <c r="R88" s="127">
        <f>A88</f>
        <v>402</v>
      </c>
    </row>
    <row r="89" spans="1:18">
      <c r="A89" s="127"/>
      <c r="B89" s="160"/>
      <c r="C89" s="160"/>
      <c r="D89" s="11"/>
      <c r="E89" s="11"/>
      <c r="F89" s="11"/>
      <c r="G89" s="11"/>
      <c r="H89" s="11"/>
      <c r="I89" s="11"/>
      <c r="J89" s="11"/>
      <c r="K89" s="11"/>
      <c r="L89" s="11"/>
      <c r="M89" s="11"/>
      <c r="N89" s="11"/>
      <c r="R89" s="127"/>
    </row>
    <row r="90" spans="1:18">
      <c r="A90" s="127"/>
      <c r="B90" s="160"/>
      <c r="C90" s="160"/>
      <c r="D90" s="11"/>
      <c r="E90" s="11"/>
      <c r="F90" s="11"/>
      <c r="G90" s="11"/>
      <c r="H90" s="11"/>
      <c r="I90" s="11"/>
      <c r="J90" s="11"/>
      <c r="K90" s="11"/>
      <c r="L90" s="11"/>
      <c r="M90" s="11"/>
      <c r="N90" s="11"/>
      <c r="R90" s="127"/>
    </row>
    <row r="91" spans="1:18">
      <c r="B91" s="50" t="s">
        <v>721</v>
      </c>
      <c r="C91" s="50"/>
      <c r="D91" s="140"/>
      <c r="E91" s="140"/>
      <c r="F91" s="140"/>
      <c r="G91" s="140"/>
      <c r="H91" s="140"/>
      <c r="I91" s="47"/>
      <c r="J91" s="140"/>
      <c r="K91" s="140"/>
      <c r="L91" s="140"/>
      <c r="M91" s="140"/>
      <c r="N91" s="47"/>
      <c r="O91" s="47"/>
      <c r="P91" s="47"/>
      <c r="Q91" s="47"/>
    </row>
    <row r="92" spans="1:18">
      <c r="A92" s="18"/>
      <c r="B92" s="149" t="s">
        <v>722</v>
      </c>
      <c r="C92" s="149"/>
      <c r="D92" s="149"/>
      <c r="E92" s="149"/>
      <c r="F92" s="149"/>
      <c r="G92" s="149"/>
      <c r="H92" s="149"/>
      <c r="I92" s="149"/>
      <c r="J92" s="149"/>
      <c r="K92" s="149"/>
      <c r="L92" s="149"/>
      <c r="M92" s="149"/>
      <c r="N92" s="149"/>
      <c r="O92" s="149"/>
      <c r="P92" s="149"/>
      <c r="Q92" s="149"/>
      <c r="R92" s="127"/>
    </row>
    <row r="93" spans="1:18">
      <c r="A93" s="18"/>
      <c r="B93" s="8"/>
      <c r="C93" s="8"/>
      <c r="D93" s="8"/>
      <c r="E93" s="8"/>
      <c r="F93" s="8"/>
      <c r="G93" s="8"/>
      <c r="H93" s="8"/>
      <c r="I93" s="8"/>
      <c r="J93" s="8"/>
      <c r="K93" s="8"/>
      <c r="L93" s="8"/>
      <c r="M93" s="8"/>
      <c r="R93" s="127"/>
    </row>
    <row r="94" spans="1:18">
      <c r="A94" s="4"/>
      <c r="D94" s="118" t="s">
        <v>371</v>
      </c>
      <c r="E94" s="118" t="s">
        <v>372</v>
      </c>
      <c r="F94" s="118" t="s">
        <v>373</v>
      </c>
      <c r="G94" s="118" t="s">
        <v>374</v>
      </c>
      <c r="H94" s="118" t="s">
        <v>375</v>
      </c>
      <c r="I94" s="118"/>
      <c r="J94" s="118"/>
      <c r="K94" s="118"/>
      <c r="L94" s="118"/>
      <c r="M94" s="118"/>
      <c r="N94" s="118"/>
      <c r="R94" s="127"/>
    </row>
    <row r="95" spans="1:18" ht="30">
      <c r="B95" s="127"/>
      <c r="C95" s="127"/>
      <c r="D95" s="152" t="s">
        <v>203</v>
      </c>
      <c r="E95" s="152" t="s">
        <v>723</v>
      </c>
      <c r="F95" s="165" t="s">
        <v>724</v>
      </c>
      <c r="G95" s="152" t="s">
        <v>725</v>
      </c>
      <c r="H95" s="152" t="s">
        <v>726</v>
      </c>
      <c r="R95" s="127"/>
    </row>
    <row r="96" spans="1:18">
      <c r="B96" s="127"/>
      <c r="C96" s="127"/>
      <c r="D96" s="118"/>
      <c r="F96" s="136"/>
      <c r="G96" s="153"/>
      <c r="H96" s="153"/>
      <c r="R96" s="127"/>
    </row>
    <row r="97" spans="1:18">
      <c r="B97" s="127"/>
      <c r="C97" s="127"/>
      <c r="D97" s="119"/>
      <c r="E97" s="4" t="s">
        <v>727</v>
      </c>
      <c r="F97" s="4" t="s">
        <v>727</v>
      </c>
      <c r="G97" s="4"/>
      <c r="H97" s="166"/>
      <c r="R97" s="127"/>
    </row>
    <row r="98" spans="1:18">
      <c r="B98" s="127"/>
      <c r="C98" s="127"/>
      <c r="D98" s="119" t="s">
        <v>728</v>
      </c>
      <c r="E98" s="4" t="s">
        <v>385</v>
      </c>
      <c r="F98" s="4" t="s">
        <v>385</v>
      </c>
      <c r="G98" s="166" t="s">
        <v>715</v>
      </c>
      <c r="H98" s="166" t="s">
        <v>716</v>
      </c>
      <c r="R98" s="127"/>
    </row>
    <row r="99" spans="1:18">
      <c r="A99" s="115" t="s">
        <v>100</v>
      </c>
      <c r="B99" s="115" t="s">
        <v>384</v>
      </c>
      <c r="C99" s="115" t="s">
        <v>420</v>
      </c>
      <c r="D99" s="167" t="s">
        <v>729</v>
      </c>
      <c r="E99" s="167" t="s">
        <v>730</v>
      </c>
      <c r="F99" s="162" t="s">
        <v>731</v>
      </c>
      <c r="G99" s="162" t="s">
        <v>731</v>
      </c>
      <c r="H99" s="162" t="s">
        <v>731</v>
      </c>
      <c r="I99" s="118"/>
      <c r="J99" s="118"/>
      <c r="K99" s="118"/>
      <c r="L99" s="118"/>
      <c r="M99" s="118"/>
      <c r="N99" s="115"/>
      <c r="R99" s="115" t="str">
        <f>A99</f>
        <v>Line</v>
      </c>
    </row>
    <row r="100" spans="1:18">
      <c r="A100" s="127">
        <v>500</v>
      </c>
      <c r="B100" s="149" t="s">
        <v>428</v>
      </c>
      <c r="C100" s="155">
        <f>'1-BaseTRR'!$G$2-1</f>
        <v>2020</v>
      </c>
      <c r="D100" s="470">
        <v>3477057482.269999</v>
      </c>
      <c r="E100" s="22">
        <f>'24-Allocators'!$C$24</f>
        <v>0.10327848903946341</v>
      </c>
      <c r="F100" s="458">
        <f>+E100*D100</f>
        <v>359105243.07220632</v>
      </c>
      <c r="G100" s="473">
        <f>+F100*'24-Allocators'!$C$43</f>
        <v>126712489.06900647</v>
      </c>
      <c r="H100" s="473">
        <f>+F100*'24-Allocators'!$C$44</f>
        <v>232392754.00319985</v>
      </c>
      <c r="I100" s="163" t="s">
        <v>732</v>
      </c>
      <c r="J100" s="163"/>
      <c r="K100" s="163"/>
      <c r="L100" s="163"/>
      <c r="M100" s="163"/>
      <c r="N100" s="11"/>
      <c r="R100" s="127">
        <f t="shared" ref="R100:R102" si="32">A100</f>
        <v>500</v>
      </c>
    </row>
    <row r="101" spans="1:18">
      <c r="A101" s="127">
        <f>+A100+1</f>
        <v>501</v>
      </c>
      <c r="B101" s="158" t="s">
        <v>428</v>
      </c>
      <c r="C101" s="159">
        <f>'1-BaseTRR'!$G$2</f>
        <v>2021</v>
      </c>
      <c r="D101" s="474">
        <v>3180271854.7399998</v>
      </c>
      <c r="E101" s="32">
        <f>'24-Allocators'!$C$24</f>
        <v>0.10327848903946341</v>
      </c>
      <c r="F101" s="469">
        <f>+E101*D101</f>
        <v>328453671.89227903</v>
      </c>
      <c r="G101" s="469">
        <f>+F101*'24-Allocators'!$C$43</f>
        <v>115896894.05051921</v>
      </c>
      <c r="H101" s="469">
        <f>+F101*'24-Allocators'!$C$44</f>
        <v>212556777.84175983</v>
      </c>
      <c r="I101" s="163" t="s">
        <v>733</v>
      </c>
      <c r="J101" s="164"/>
      <c r="K101" s="164"/>
      <c r="L101" s="164"/>
      <c r="M101" s="164"/>
      <c r="N101" s="164"/>
      <c r="R101" s="127">
        <f t="shared" si="32"/>
        <v>501</v>
      </c>
    </row>
    <row r="102" spans="1:18">
      <c r="A102" s="127">
        <f t="shared" ref="A102" si="33">A101+1</f>
        <v>502</v>
      </c>
      <c r="B102" s="168" t="s">
        <v>719</v>
      </c>
      <c r="C102" s="168"/>
      <c r="D102" s="487">
        <f>AVERAGE(D100:D101)</f>
        <v>3328664668.5049992</v>
      </c>
      <c r="E102" s="2"/>
      <c r="F102" s="487">
        <f>AVERAGE(F100:F101)</f>
        <v>343779457.4822427</v>
      </c>
      <c r="G102" s="487">
        <f t="shared" ref="G102:H102" si="34">AVERAGE(G100:G101)</f>
        <v>121304691.55976284</v>
      </c>
      <c r="H102" s="487">
        <f t="shared" si="34"/>
        <v>222474765.92247984</v>
      </c>
      <c r="I102" s="11" t="s">
        <v>734</v>
      </c>
      <c r="J102" s="11"/>
      <c r="K102" s="11"/>
      <c r="L102" s="11"/>
      <c r="M102" s="11"/>
      <c r="N102" s="11"/>
      <c r="R102" s="127">
        <f t="shared" si="32"/>
        <v>502</v>
      </c>
    </row>
    <row r="103" spans="1:18">
      <c r="A103" s="127"/>
      <c r="B103" s="149"/>
      <c r="C103" s="149"/>
      <c r="D103" s="11"/>
      <c r="E103" s="11"/>
      <c r="F103" s="11"/>
      <c r="G103" s="11"/>
      <c r="H103" s="11"/>
      <c r="I103" s="11"/>
      <c r="J103" s="11"/>
      <c r="K103" s="11"/>
      <c r="L103" s="11"/>
      <c r="M103" s="11"/>
      <c r="N103" s="11"/>
      <c r="R103" s="127"/>
    </row>
    <row r="104" spans="1:18">
      <c r="A104" s="127"/>
      <c r="B104" s="149"/>
      <c r="C104" s="149"/>
      <c r="D104" s="11"/>
      <c r="E104" s="11"/>
      <c r="F104" s="11"/>
      <c r="G104" s="11"/>
      <c r="H104" s="11"/>
      <c r="I104" s="11"/>
      <c r="J104" s="11"/>
      <c r="K104" s="11"/>
      <c r="L104" s="11"/>
      <c r="M104" s="11"/>
      <c r="N104" s="11"/>
      <c r="R104" s="127"/>
    </row>
    <row r="105" spans="1:18">
      <c r="B105" s="50" t="s">
        <v>735</v>
      </c>
      <c r="C105" s="50"/>
      <c r="D105" s="140"/>
      <c r="E105" s="140"/>
      <c r="F105" s="140"/>
      <c r="G105" s="140"/>
      <c r="H105" s="140"/>
      <c r="I105" s="47"/>
      <c r="J105" s="52"/>
      <c r="K105" s="52"/>
      <c r="L105" s="52"/>
      <c r="M105" s="52"/>
      <c r="N105" s="52"/>
      <c r="O105" s="47"/>
      <c r="P105" s="47"/>
      <c r="Q105" s="47"/>
    </row>
    <row r="106" spans="1:18">
      <c r="A106" s="18"/>
      <c r="B106" s="149" t="s">
        <v>736</v>
      </c>
      <c r="C106" s="149"/>
      <c r="D106" s="149"/>
      <c r="E106" s="149"/>
      <c r="F106" s="149"/>
      <c r="G106" s="149"/>
      <c r="H106" s="149"/>
      <c r="I106" s="149"/>
      <c r="J106" s="149"/>
      <c r="K106" s="149"/>
      <c r="L106" s="149"/>
      <c r="M106" s="149"/>
      <c r="N106" s="149"/>
      <c r="O106" s="149"/>
      <c r="P106" s="149"/>
      <c r="Q106" s="149"/>
      <c r="R106" s="127"/>
    </row>
    <row r="107" spans="1:18">
      <c r="A107" s="18"/>
      <c r="B107" s="149"/>
      <c r="C107" s="149"/>
      <c r="D107" s="149"/>
      <c r="E107" s="149"/>
      <c r="F107" s="149"/>
      <c r="G107" s="149"/>
      <c r="H107" s="149"/>
      <c r="I107" s="149"/>
      <c r="J107" s="149"/>
      <c r="K107" s="149"/>
      <c r="L107" s="149"/>
      <c r="M107" s="149"/>
      <c r="N107" s="149"/>
      <c r="O107" s="149"/>
      <c r="P107" s="149"/>
      <c r="Q107" s="149"/>
      <c r="R107" s="127"/>
    </row>
    <row r="108" spans="1:18">
      <c r="A108" s="4"/>
      <c r="D108" s="118" t="s">
        <v>371</v>
      </c>
      <c r="E108" s="118" t="s">
        <v>372</v>
      </c>
      <c r="F108" s="118" t="s">
        <v>373</v>
      </c>
      <c r="G108" s="118" t="s">
        <v>374</v>
      </c>
      <c r="H108" s="118" t="s">
        <v>375</v>
      </c>
      <c r="I108" s="11"/>
      <c r="J108" s="11"/>
      <c r="K108" s="11"/>
      <c r="L108" s="11"/>
      <c r="M108" s="11"/>
      <c r="N108" s="11"/>
      <c r="R108" s="127"/>
    </row>
    <row r="109" spans="1:18" ht="30">
      <c r="B109" s="127"/>
      <c r="C109" s="127"/>
      <c r="D109" s="152" t="s">
        <v>251</v>
      </c>
      <c r="E109" s="152" t="s">
        <v>737</v>
      </c>
      <c r="F109" s="165" t="s">
        <v>724</v>
      </c>
      <c r="G109" s="152" t="s">
        <v>725</v>
      </c>
      <c r="H109" s="152" t="s">
        <v>726</v>
      </c>
      <c r="I109" s="11"/>
      <c r="J109" s="11"/>
      <c r="K109" s="11"/>
      <c r="L109" s="11"/>
      <c r="M109" s="11"/>
      <c r="N109" s="11"/>
      <c r="R109" s="127"/>
    </row>
    <row r="110" spans="1:18">
      <c r="B110" s="127"/>
      <c r="C110" s="127"/>
      <c r="D110" s="118"/>
      <c r="F110" s="136"/>
      <c r="G110" s="153"/>
      <c r="H110" s="153"/>
      <c r="I110" s="11"/>
      <c r="J110" s="11"/>
      <c r="K110" s="11"/>
      <c r="L110" s="11"/>
      <c r="M110" s="11"/>
      <c r="N110" s="11"/>
      <c r="R110" s="127"/>
    </row>
    <row r="111" spans="1:18">
      <c r="B111" s="127"/>
      <c r="C111" s="127"/>
      <c r="D111" s="118"/>
      <c r="E111" s="4" t="s">
        <v>727</v>
      </c>
      <c r="F111" s="4" t="s">
        <v>727</v>
      </c>
      <c r="G111" s="4"/>
      <c r="H111" s="166"/>
      <c r="I111" s="11"/>
      <c r="J111" s="11"/>
      <c r="K111" s="11"/>
      <c r="L111" s="11"/>
      <c r="M111" s="11"/>
      <c r="N111" s="11"/>
      <c r="R111" s="127"/>
    </row>
    <row r="112" spans="1:18">
      <c r="B112" s="127"/>
      <c r="C112" s="127"/>
      <c r="D112" s="119" t="s">
        <v>738</v>
      </c>
      <c r="E112" s="4" t="s">
        <v>385</v>
      </c>
      <c r="F112" s="4" t="s">
        <v>385</v>
      </c>
      <c r="G112" s="166" t="s">
        <v>715</v>
      </c>
      <c r="H112" s="166" t="s">
        <v>716</v>
      </c>
      <c r="I112" s="11"/>
      <c r="J112" s="11"/>
      <c r="K112" s="11"/>
      <c r="L112" s="11"/>
      <c r="M112" s="11"/>
      <c r="N112" s="11"/>
      <c r="R112" s="127"/>
    </row>
    <row r="113" spans="1:18">
      <c r="A113" s="115" t="s">
        <v>100</v>
      </c>
      <c r="B113" s="115" t="s">
        <v>384</v>
      </c>
      <c r="C113" s="115" t="s">
        <v>420</v>
      </c>
      <c r="D113" s="167" t="s">
        <v>729</v>
      </c>
      <c r="E113" s="167" t="s">
        <v>730</v>
      </c>
      <c r="F113" s="162" t="s">
        <v>731</v>
      </c>
      <c r="G113" s="162" t="s">
        <v>731</v>
      </c>
      <c r="H113" s="162" t="s">
        <v>731</v>
      </c>
      <c r="I113" s="11"/>
      <c r="J113" s="11"/>
      <c r="K113" s="11"/>
      <c r="L113" s="11"/>
      <c r="M113" s="11"/>
      <c r="N113" s="11"/>
      <c r="R113" s="115" t="str">
        <f>A113</f>
        <v>Line</v>
      </c>
    </row>
    <row r="114" spans="1:18">
      <c r="A114" s="127">
        <v>600</v>
      </c>
      <c r="B114" s="149" t="s">
        <v>428</v>
      </c>
      <c r="C114" s="155">
        <f>'1-BaseTRR'!$G$2-1</f>
        <v>2020</v>
      </c>
      <c r="D114" s="470">
        <v>208887972.34</v>
      </c>
      <c r="E114" s="22">
        <f>'24-Allocators'!$C$23</f>
        <v>0.14690087374748809</v>
      </c>
      <c r="F114" s="198">
        <f>+D114*E114</f>
        <v>30685825.652087126</v>
      </c>
      <c r="G114" s="473">
        <f>+F114*'24-Allocators'!$C$43</f>
        <v>10827681.919229738</v>
      </c>
      <c r="H114" s="473">
        <f>+F114*'24-Allocators'!$C$44</f>
        <v>19858143.732857391</v>
      </c>
      <c r="I114" s="163" t="s">
        <v>739</v>
      </c>
      <c r="J114" s="11"/>
      <c r="K114" s="11"/>
      <c r="L114" s="11"/>
      <c r="M114" s="11"/>
      <c r="N114" s="11"/>
      <c r="R114" s="127">
        <f t="shared" ref="R114:R116" si="35">A114</f>
        <v>600</v>
      </c>
    </row>
    <row r="115" spans="1:18">
      <c r="A115" s="127">
        <f>+A114+1</f>
        <v>601</v>
      </c>
      <c r="B115" s="158" t="s">
        <v>428</v>
      </c>
      <c r="C115" s="159">
        <f>'1-BaseTRR'!$G$2</f>
        <v>2021</v>
      </c>
      <c r="D115" s="474">
        <v>228511816.55000007</v>
      </c>
      <c r="E115" s="32">
        <f>'24-Allocators'!$C$23</f>
        <v>0.14690087374748809</v>
      </c>
      <c r="F115" s="469">
        <f>+D115*E115</f>
        <v>33568585.512820721</v>
      </c>
      <c r="G115" s="469">
        <f>+F115*'24-Allocators'!$C$43</f>
        <v>11844881.4293698</v>
      </c>
      <c r="H115" s="469">
        <f>+F115*'24-Allocators'!$C$44</f>
        <v>21723704.083450921</v>
      </c>
      <c r="I115" s="163" t="s">
        <v>740</v>
      </c>
      <c r="J115" s="11"/>
      <c r="K115" s="11"/>
      <c r="L115" s="11"/>
      <c r="M115" s="11"/>
      <c r="N115" s="11"/>
      <c r="R115" s="127">
        <f t="shared" si="35"/>
        <v>601</v>
      </c>
    </row>
    <row r="116" spans="1:18">
      <c r="A116" s="127">
        <f t="shared" ref="A116" si="36">A115+1</f>
        <v>602</v>
      </c>
      <c r="B116" s="168" t="s">
        <v>719</v>
      </c>
      <c r="C116" s="168"/>
      <c r="D116" s="487">
        <f>AVERAGE(D114:D115)</f>
        <v>218699894.44500005</v>
      </c>
      <c r="E116" s="2"/>
      <c r="F116" s="487">
        <f>AVERAGE(F114:F115)</f>
        <v>32127205.582453921</v>
      </c>
      <c r="G116" s="487">
        <f t="shared" ref="G116:H116" si="37">AVERAGE(G114:G115)</f>
        <v>11336281.674299769</v>
      </c>
      <c r="H116" s="487">
        <f t="shared" si="37"/>
        <v>20790923.908154156</v>
      </c>
      <c r="I116" s="11" t="s">
        <v>741</v>
      </c>
      <c r="J116" s="11"/>
      <c r="K116" s="11"/>
      <c r="L116" s="11"/>
      <c r="M116" s="11"/>
      <c r="N116" s="11"/>
      <c r="R116" s="127">
        <f t="shared" si="35"/>
        <v>602</v>
      </c>
    </row>
    <row r="117" spans="1:18">
      <c r="A117" s="127"/>
      <c r="B117" s="149"/>
      <c r="C117" s="149"/>
      <c r="D117" s="11"/>
      <c r="E117" s="11"/>
      <c r="F117" s="11"/>
      <c r="G117" s="11"/>
      <c r="H117" s="11"/>
      <c r="I117" s="11"/>
      <c r="J117" s="11"/>
      <c r="K117" s="11"/>
      <c r="L117" s="11"/>
      <c r="M117" s="11"/>
      <c r="N117" s="11"/>
      <c r="R117" s="127"/>
    </row>
    <row r="118" spans="1:18">
      <c r="A118" s="127"/>
      <c r="B118" s="149"/>
      <c r="C118" s="149"/>
      <c r="D118" s="11"/>
      <c r="E118" s="11"/>
      <c r="F118" s="11"/>
      <c r="G118" s="11"/>
      <c r="H118" s="11"/>
      <c r="I118" s="11"/>
      <c r="J118" s="11"/>
      <c r="K118" s="11"/>
      <c r="L118" s="11"/>
      <c r="M118" s="11"/>
      <c r="N118" s="11"/>
      <c r="R118" s="127"/>
    </row>
    <row r="119" spans="1:18">
      <c r="B119" s="50" t="s">
        <v>742</v>
      </c>
      <c r="C119" s="50"/>
      <c r="D119" s="140"/>
      <c r="E119" s="140"/>
      <c r="F119" s="140"/>
      <c r="G119" s="140"/>
      <c r="H119" s="140"/>
      <c r="I119" s="47"/>
      <c r="J119" s="47"/>
      <c r="K119" s="140"/>
      <c r="L119" s="140"/>
      <c r="M119" s="140"/>
      <c r="N119" s="47"/>
      <c r="O119" s="47"/>
      <c r="P119" s="47"/>
      <c r="Q119" s="47"/>
    </row>
    <row r="120" spans="1:18">
      <c r="A120" s="18"/>
      <c r="B120" s="149" t="s">
        <v>743</v>
      </c>
      <c r="C120" s="149"/>
      <c r="D120" s="149"/>
      <c r="E120" s="149"/>
      <c r="F120" s="149"/>
      <c r="G120" s="149"/>
      <c r="H120" s="149"/>
      <c r="I120" s="149"/>
      <c r="J120" s="149"/>
      <c r="K120" s="149"/>
      <c r="L120" s="149"/>
      <c r="M120" s="149"/>
      <c r="N120" s="149"/>
      <c r="O120" s="149"/>
      <c r="P120" s="149"/>
      <c r="Q120" s="149"/>
      <c r="R120" s="127"/>
    </row>
    <row r="121" spans="1:18">
      <c r="A121" s="18"/>
      <c r="C121" s="8"/>
      <c r="D121" s="8"/>
      <c r="E121" s="8"/>
      <c r="F121" s="8"/>
      <c r="G121" s="8"/>
      <c r="H121" s="8"/>
      <c r="I121" s="8"/>
      <c r="J121" s="8"/>
      <c r="K121" s="8"/>
      <c r="L121" s="8"/>
      <c r="M121" s="8"/>
      <c r="R121" s="127"/>
    </row>
    <row r="122" spans="1:18">
      <c r="A122" s="4"/>
      <c r="D122" s="118" t="s">
        <v>371</v>
      </c>
      <c r="E122" s="118" t="s">
        <v>372</v>
      </c>
      <c r="F122" s="118" t="s">
        <v>373</v>
      </c>
      <c r="G122" s="118"/>
      <c r="H122" s="118"/>
      <c r="I122" s="118"/>
      <c r="J122" s="118"/>
      <c r="K122" s="118"/>
      <c r="L122" s="118"/>
      <c r="M122" s="118"/>
      <c r="N122" s="118"/>
      <c r="R122" s="127"/>
    </row>
    <row r="123" spans="1:18" ht="30">
      <c r="B123" s="127"/>
      <c r="C123" s="127"/>
      <c r="D123" s="152" t="s">
        <v>744</v>
      </c>
      <c r="E123" s="152" t="s">
        <v>744</v>
      </c>
      <c r="F123" s="152" t="s">
        <v>744</v>
      </c>
      <c r="R123" s="127"/>
    </row>
    <row r="124" spans="1:18">
      <c r="B124" s="127"/>
      <c r="C124" s="127"/>
      <c r="D124" s="119"/>
      <c r="E124" s="118"/>
      <c r="R124" s="127"/>
    </row>
    <row r="125" spans="1:18">
      <c r="B125" s="127"/>
      <c r="C125" s="127"/>
      <c r="D125" s="4" t="s">
        <v>745</v>
      </c>
      <c r="E125" s="166" t="s">
        <v>746</v>
      </c>
      <c r="F125" s="166" t="s">
        <v>747</v>
      </c>
      <c r="R125" s="127"/>
    </row>
    <row r="126" spans="1:18">
      <c r="A126" s="115" t="s">
        <v>100</v>
      </c>
      <c r="B126" s="115" t="s">
        <v>384</v>
      </c>
      <c r="C126" s="115" t="s">
        <v>420</v>
      </c>
      <c r="D126" s="3" t="s">
        <v>748</v>
      </c>
      <c r="E126" s="162" t="s">
        <v>749</v>
      </c>
      <c r="F126" s="162" t="s">
        <v>749</v>
      </c>
      <c r="G126" s="118" t="s">
        <v>135</v>
      </c>
      <c r="H126" s="118"/>
      <c r="I126" s="118"/>
      <c r="J126" s="118"/>
      <c r="K126" s="118"/>
      <c r="L126" s="118"/>
      <c r="M126" s="118"/>
      <c r="N126" s="115"/>
      <c r="R126" s="115" t="str">
        <f>A126</f>
        <v>Line</v>
      </c>
    </row>
    <row r="127" spans="1:18">
      <c r="A127" s="127">
        <v>700</v>
      </c>
      <c r="B127" s="149" t="s">
        <v>428</v>
      </c>
      <c r="C127" s="155">
        <f>'1-BaseTRR'!$G$2-1</f>
        <v>2020</v>
      </c>
      <c r="D127" s="198">
        <f t="shared" ref="D127:F128" si="38">+D86+F100+F114</f>
        <v>1323459407.8842933</v>
      </c>
      <c r="E127" s="198">
        <f t="shared" si="38"/>
        <v>529465159.70598114</v>
      </c>
      <c r="F127" s="198">
        <f t="shared" si="38"/>
        <v>793994248.17831194</v>
      </c>
      <c r="G127" s="163" t="s">
        <v>750</v>
      </c>
      <c r="H127" s="163"/>
      <c r="I127" s="163"/>
      <c r="J127" s="163"/>
      <c r="K127" s="163"/>
      <c r="L127" s="163"/>
      <c r="M127" s="163"/>
      <c r="N127" s="11"/>
      <c r="R127" s="127">
        <f t="shared" ref="R127:R129" si="39">A127</f>
        <v>700</v>
      </c>
    </row>
    <row r="128" spans="1:18">
      <c r="A128" s="127">
        <f>+A127+1</f>
        <v>701</v>
      </c>
      <c r="B128" s="158" t="s">
        <v>428</v>
      </c>
      <c r="C128" s="159">
        <f>'1-BaseTRR'!$G$2</f>
        <v>2021</v>
      </c>
      <c r="D128" s="469">
        <f t="shared" si="38"/>
        <v>1347808565.5451002</v>
      </c>
      <c r="E128" s="469">
        <f t="shared" si="38"/>
        <v>471962347.1837647</v>
      </c>
      <c r="F128" s="469">
        <f t="shared" si="38"/>
        <v>875846218.3613354</v>
      </c>
      <c r="G128" s="163" t="s">
        <v>751</v>
      </c>
      <c r="H128" s="164"/>
      <c r="I128" s="164"/>
      <c r="J128" s="164"/>
      <c r="K128" s="164"/>
      <c r="L128" s="164"/>
      <c r="M128" s="164"/>
      <c r="N128" s="164"/>
      <c r="R128" s="127">
        <f t="shared" si="39"/>
        <v>701</v>
      </c>
    </row>
    <row r="129" spans="1:18">
      <c r="A129" s="127">
        <f t="shared" ref="A129" si="40">A128+1</f>
        <v>702</v>
      </c>
      <c r="B129" s="168" t="s">
        <v>719</v>
      </c>
      <c r="C129" s="168"/>
      <c r="D129" s="487">
        <f>AVERAGE(D127:D128)</f>
        <v>1335633986.7146969</v>
      </c>
      <c r="E129" s="487">
        <f t="shared" ref="E129:F129" si="41">AVERAGE(E127:E128)</f>
        <v>500713753.44487292</v>
      </c>
      <c r="F129" s="487">
        <f t="shared" si="41"/>
        <v>834920233.26982367</v>
      </c>
      <c r="G129" s="11" t="s">
        <v>752</v>
      </c>
      <c r="H129" s="11"/>
      <c r="I129" s="11"/>
      <c r="J129" s="11"/>
      <c r="K129" s="11"/>
      <c r="L129" s="11"/>
      <c r="M129" s="11"/>
      <c r="N129" s="11"/>
      <c r="R129" s="127">
        <f t="shared" si="39"/>
        <v>702</v>
      </c>
    </row>
    <row r="130" spans="1:18">
      <c r="A130" s="127"/>
      <c r="B130" s="160"/>
      <c r="C130" s="160"/>
      <c r="D130" s="11"/>
      <c r="E130" s="11"/>
      <c r="F130" s="11"/>
      <c r="G130" s="11"/>
      <c r="H130" s="11"/>
      <c r="I130" s="11"/>
      <c r="J130" s="11"/>
      <c r="K130" s="11"/>
      <c r="L130" s="11"/>
      <c r="M130" s="11"/>
      <c r="N130" s="11"/>
    </row>
    <row r="131" spans="1:18">
      <c r="A131" s="127"/>
      <c r="C131" s="160"/>
      <c r="D131" s="11"/>
      <c r="E131" s="11"/>
      <c r="F131" s="11"/>
      <c r="G131" s="11"/>
      <c r="H131" s="11"/>
      <c r="I131" s="11"/>
      <c r="J131" s="11"/>
      <c r="K131" s="11"/>
      <c r="L131" s="11"/>
      <c r="M131" s="11"/>
      <c r="N131" s="11"/>
    </row>
    <row r="132" spans="1:18">
      <c r="B132" s="7" t="s">
        <v>306</v>
      </c>
      <c r="C132" s="168"/>
      <c r="D132" s="11"/>
      <c r="E132" s="11"/>
      <c r="F132" s="11"/>
      <c r="G132" s="11"/>
      <c r="H132" s="11"/>
      <c r="I132" s="11"/>
      <c r="J132" s="11"/>
      <c r="K132" s="11"/>
      <c r="L132" s="11"/>
      <c r="M132" s="11"/>
      <c r="N132" s="11"/>
    </row>
    <row r="133" spans="1:18" ht="15" customHeight="1">
      <c r="B133" s="413" t="s">
        <v>753</v>
      </c>
      <c r="C133" s="413"/>
      <c r="D133" s="413"/>
      <c r="E133" s="413"/>
      <c r="F133" s="413"/>
      <c r="G133" s="413"/>
      <c r="H133" s="413"/>
      <c r="I133" s="413"/>
      <c r="J133" s="413"/>
      <c r="K133" s="413"/>
      <c r="L133" s="413"/>
      <c r="M133" s="413"/>
      <c r="N133" s="37"/>
      <c r="O133" s="37"/>
      <c r="P133" s="37"/>
      <c r="Q133" s="35"/>
    </row>
    <row r="134" spans="1:18">
      <c r="A134" s="127"/>
      <c r="B134" s="413" t="s">
        <v>754</v>
      </c>
      <c r="C134" s="413"/>
      <c r="D134" s="413"/>
      <c r="E134" s="413"/>
      <c r="F134" s="413"/>
      <c r="G134" s="413"/>
      <c r="H134" s="413"/>
      <c r="I134" s="413"/>
      <c r="J134" s="413"/>
      <c r="K134" s="413"/>
      <c r="L134" s="413"/>
      <c r="M134" s="413"/>
      <c r="N134" s="118"/>
      <c r="O134" s="118"/>
    </row>
    <row r="135" spans="1:18">
      <c r="B135" s="413" t="s">
        <v>755</v>
      </c>
      <c r="C135" s="413"/>
      <c r="D135" s="413"/>
      <c r="E135" s="413"/>
      <c r="F135" s="413"/>
      <c r="G135" s="413"/>
      <c r="H135" s="413"/>
      <c r="I135" s="413"/>
      <c r="J135" s="413"/>
      <c r="K135" s="413"/>
      <c r="L135" s="413"/>
      <c r="M135" s="413"/>
    </row>
    <row r="136" spans="1:18">
      <c r="B136" s="413" t="s">
        <v>684</v>
      </c>
      <c r="C136" s="413"/>
      <c r="D136" s="413"/>
      <c r="E136" s="413"/>
      <c r="F136" s="413"/>
      <c r="G136" s="413"/>
      <c r="H136" s="413"/>
      <c r="I136" s="413"/>
      <c r="J136" s="413"/>
      <c r="K136" s="413"/>
      <c r="L136" s="413"/>
      <c r="M136" s="413"/>
    </row>
    <row r="137" spans="1:18">
      <c r="B137" s="127"/>
      <c r="C137" s="127"/>
      <c r="D137" s="11"/>
      <c r="E137" s="118"/>
      <c r="H137" s="8"/>
      <c r="I137" s="8"/>
      <c r="L137" s="8"/>
      <c r="M137" s="8"/>
    </row>
  </sheetData>
  <printOptions horizontalCentered="1"/>
  <pageMargins left="1" right="1" top="1" bottom="1" header="0.5" footer="0.5"/>
  <pageSetup scale="40" fitToHeight="0" orientation="landscape" r:id="rId1"/>
  <headerFooter>
    <oddHeader>&amp;C&amp;"-,Bold"&amp;12Pacific Gas and Electric Company
Formula Rate Model
Schedule 7-PlantInService</oddHeader>
  </headerFooter>
  <rowBreaks count="2" manualBreakCount="2">
    <brk id="50" max="17" man="1"/>
    <brk id="102" max="17" man="1"/>
  </rowBreaks>
  <customProperties>
    <customPr name="_pios_id" r:id="rId2"/>
    <customPr name="EpmWorksheetKeyString_GUID"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22"/>
  <sheetViews>
    <sheetView view="pageBreakPreview" zoomScaleNormal="90" zoomScaleSheetLayoutView="100" zoomScalePageLayoutView="85" workbookViewId="0">
      <selection activeCell="D58" sqref="D58"/>
    </sheetView>
  </sheetViews>
  <sheetFormatPr defaultColWidth="9.140625" defaultRowHeight="15"/>
  <cols>
    <col min="1" max="1" width="6.7109375" style="169" bestFit="1" customWidth="1"/>
    <col min="2" max="2" width="66.28515625" style="64" customWidth="1"/>
    <col min="3" max="3" width="7.85546875" style="64" bestFit="1" customWidth="1"/>
    <col min="4" max="4" width="12.140625" style="64" bestFit="1" customWidth="1"/>
    <col min="5" max="5" width="12.42578125" style="64" bestFit="1" customWidth="1"/>
    <col min="6" max="7" width="12.5703125" style="64" bestFit="1" customWidth="1"/>
    <col min="8" max="8" width="12" style="169" bestFit="1" customWidth="1"/>
    <col min="9" max="9" width="12.5703125" style="169" bestFit="1" customWidth="1"/>
    <col min="10" max="10" width="11.85546875" style="64" bestFit="1" customWidth="1"/>
    <col min="11" max="11" width="14.85546875" style="64" bestFit="1" customWidth="1"/>
    <col min="12" max="12" width="25" style="64" bestFit="1" customWidth="1"/>
    <col min="13" max="13" width="12.140625" style="64" bestFit="1" customWidth="1"/>
    <col min="14" max="14" width="15.7109375" style="64" bestFit="1" customWidth="1"/>
    <col min="15" max="15" width="15" style="64" bestFit="1" customWidth="1"/>
    <col min="16" max="16" width="14.85546875" style="64" bestFit="1" customWidth="1"/>
    <col min="17" max="17" width="4.7109375" style="64" bestFit="1" customWidth="1"/>
    <col min="18" max="16384" width="9.140625" style="64"/>
  </cols>
  <sheetData>
    <row r="1" spans="1:17">
      <c r="B1" s="86" t="s">
        <v>28</v>
      </c>
      <c r="G1" s="139"/>
      <c r="H1" s="4"/>
      <c r="I1" s="4"/>
      <c r="P1" s="6" t="str">
        <f>CONCATENATE("Prior Year: ",'1-BaseTRR'!$G$2)</f>
        <v>Prior Year: 2021</v>
      </c>
    </row>
    <row r="2" spans="1:17">
      <c r="B2" s="113" t="s">
        <v>131</v>
      </c>
      <c r="C2" s="87"/>
      <c r="D2" s="87"/>
      <c r="H2" s="4"/>
      <c r="I2" s="4"/>
      <c r="J2" s="6"/>
    </row>
    <row r="3" spans="1:17">
      <c r="B3" s="64" t="s">
        <v>756</v>
      </c>
      <c r="H3" s="64"/>
      <c r="I3" s="64"/>
    </row>
    <row r="5" spans="1:17">
      <c r="B5" s="170" t="s">
        <v>757</v>
      </c>
      <c r="C5" s="170"/>
      <c r="D5" s="170"/>
      <c r="E5" s="171"/>
      <c r="F5" s="171"/>
      <c r="G5" s="171"/>
      <c r="H5" s="171"/>
      <c r="I5" s="171"/>
      <c r="J5" s="172"/>
      <c r="K5" s="171"/>
      <c r="L5" s="171"/>
      <c r="M5" s="171"/>
      <c r="N5" s="171"/>
      <c r="O5" s="171"/>
      <c r="P5" s="171"/>
      <c r="Q5" s="169"/>
    </row>
    <row r="6" spans="1:17">
      <c r="A6" s="21"/>
      <c r="E6" s="415"/>
      <c r="F6" s="415"/>
      <c r="G6" s="415"/>
      <c r="H6"/>
      <c r="I6"/>
      <c r="J6" s="173"/>
      <c r="K6"/>
      <c r="L6"/>
      <c r="M6"/>
      <c r="N6"/>
      <c r="O6"/>
      <c r="P6"/>
      <c r="Q6" s="21"/>
    </row>
    <row r="7" spans="1:17">
      <c r="A7" s="21"/>
      <c r="C7" s="173" t="s">
        <v>371</v>
      </c>
      <c r="D7" s="173" t="s">
        <v>372</v>
      </c>
      <c r="E7" s="173" t="s">
        <v>373</v>
      </c>
      <c r="F7" s="173" t="s">
        <v>374</v>
      </c>
      <c r="G7" s="173" t="s">
        <v>375</v>
      </c>
      <c r="H7" s="173" t="s">
        <v>376</v>
      </c>
      <c r="I7" s="173" t="s">
        <v>377</v>
      </c>
      <c r="J7" s="173" t="s">
        <v>378</v>
      </c>
      <c r="K7" s="173" t="s">
        <v>409</v>
      </c>
      <c r="L7" s="173" t="s">
        <v>525</v>
      </c>
      <c r="M7" s="173" t="s">
        <v>526</v>
      </c>
      <c r="N7" s="173" t="s">
        <v>527</v>
      </c>
      <c r="O7" s="173" t="s">
        <v>528</v>
      </c>
      <c r="P7" s="173" t="s">
        <v>529</v>
      </c>
      <c r="Q7" s="21"/>
    </row>
    <row r="8" spans="1:17">
      <c r="A8" s="21"/>
      <c r="C8" s="415"/>
      <c r="D8" s="415"/>
      <c r="E8" s="415"/>
      <c r="F8" s="415"/>
      <c r="G8" s="173"/>
      <c r="J8" s="169"/>
      <c r="K8" s="169" t="s">
        <v>758</v>
      </c>
      <c r="L8" s="169" t="s">
        <v>759</v>
      </c>
      <c r="M8" s="169" t="s">
        <v>760</v>
      </c>
      <c r="N8" s="169" t="s">
        <v>761</v>
      </c>
      <c r="O8" s="169"/>
      <c r="P8" s="169"/>
      <c r="Q8" s="21"/>
    </row>
    <row r="9" spans="1:17">
      <c r="A9" s="21"/>
      <c r="E9" s="415"/>
      <c r="F9" s="415"/>
      <c r="G9" s="415"/>
      <c r="H9"/>
      <c r="I9"/>
      <c r="J9" s="631"/>
      <c r="K9"/>
      <c r="L9"/>
      <c r="M9"/>
      <c r="N9"/>
      <c r="O9"/>
      <c r="P9"/>
      <c r="Q9" s="21"/>
    </row>
    <row r="10" spans="1:17">
      <c r="A10" s="21"/>
      <c r="D10" s="127" t="s">
        <v>762</v>
      </c>
      <c r="E10" s="127" t="s">
        <v>763</v>
      </c>
      <c r="F10" s="127" t="s">
        <v>449</v>
      </c>
      <c r="G10" s="127" t="s">
        <v>764</v>
      </c>
      <c r="H10"/>
      <c r="I10" s="127" t="s">
        <v>461</v>
      </c>
      <c r="J10" s="570" t="s">
        <v>765</v>
      </c>
      <c r="K10" s="127" t="s">
        <v>766</v>
      </c>
      <c r="L10"/>
      <c r="M10" s="570" t="s">
        <v>767</v>
      </c>
      <c r="N10" s="4" t="s">
        <v>768</v>
      </c>
      <c r="O10" s="127" t="s">
        <v>645</v>
      </c>
      <c r="P10" s="127" t="s">
        <v>769</v>
      </c>
      <c r="Q10" s="21"/>
    </row>
    <row r="11" spans="1:17">
      <c r="A11" s="91" t="s">
        <v>100</v>
      </c>
      <c r="C11" s="91" t="s">
        <v>770</v>
      </c>
      <c r="D11" s="91" t="s">
        <v>771</v>
      </c>
      <c r="E11" s="91" t="s">
        <v>771</v>
      </c>
      <c r="F11" s="115" t="s">
        <v>772</v>
      </c>
      <c r="G11" s="115" t="s">
        <v>449</v>
      </c>
      <c r="H11" s="91" t="s">
        <v>773</v>
      </c>
      <c r="I11" s="91" t="s">
        <v>449</v>
      </c>
      <c r="J11" s="91" t="s">
        <v>448</v>
      </c>
      <c r="K11" s="91" t="s">
        <v>448</v>
      </c>
      <c r="L11" s="91" t="s">
        <v>774</v>
      </c>
      <c r="M11" s="3" t="s">
        <v>775</v>
      </c>
      <c r="N11" s="3" t="s">
        <v>775</v>
      </c>
      <c r="O11" s="253" t="s">
        <v>776</v>
      </c>
      <c r="P11" s="253" t="s">
        <v>777</v>
      </c>
      <c r="Q11" s="91" t="str">
        <f>A11</f>
        <v>Line</v>
      </c>
    </row>
    <row r="12" spans="1:17">
      <c r="A12" s="71">
        <v>100</v>
      </c>
      <c r="B12" s="64" t="s">
        <v>778</v>
      </c>
      <c r="C12" s="169" t="s">
        <v>746</v>
      </c>
      <c r="D12" s="475">
        <f ca="1">SUMIF($C$17:$P18,$C12,D$17:D$18)</f>
        <v>0</v>
      </c>
      <c r="E12" s="475">
        <f ca="1">SUMIF($C$17:$P18,$C12,E$17:E$18)</f>
        <v>0</v>
      </c>
      <c r="F12" s="209"/>
      <c r="G12" s="209"/>
      <c r="H12" s="475">
        <f ca="1">SUMIF($C$17:$P18,$C12,H$17:H$18)</f>
        <v>0</v>
      </c>
      <c r="I12" s="475">
        <f ca="1">SUMIF($C$17:$P18,$C12,I$17:I$18)</f>
        <v>0</v>
      </c>
      <c r="J12" s="475">
        <f ca="1">SUMIF($C$17:$P18,$C12,J$17:J$18)</f>
        <v>0</v>
      </c>
      <c r="K12" s="475">
        <f ca="1">SUMIF($C$17:$P18,$C12,K$17:K$18)</f>
        <v>0</v>
      </c>
      <c r="L12" s="475">
        <f ca="1">SUMIF($C$17:$P18,$C12,L$17:L$18)</f>
        <v>0</v>
      </c>
      <c r="M12" s="475">
        <f ca="1">SUMIF($C$17:$P18,$C12,M$17:M$18)</f>
        <v>0</v>
      </c>
      <c r="N12" s="475">
        <f ca="1">SUMIF($C$17:$P18,$C12,N$17:N$18)</f>
        <v>0</v>
      </c>
      <c r="O12" s="209"/>
      <c r="P12" s="209"/>
      <c r="Q12" s="71">
        <f>A12</f>
        <v>100</v>
      </c>
    </row>
    <row r="13" spans="1:17">
      <c r="A13" s="71">
        <f>A12+1</f>
        <v>101</v>
      </c>
      <c r="B13" s="560" t="s">
        <v>779</v>
      </c>
      <c r="C13" s="561" t="s">
        <v>747</v>
      </c>
      <c r="D13" s="562">
        <f ca="1">SUMIF($C$17:$P18,$C13,D$17:D$18)</f>
        <v>0</v>
      </c>
      <c r="E13" s="562">
        <f ca="1">SUMIF($C$17:$P18,$C13,E$17:E$18)</f>
        <v>0</v>
      </c>
      <c r="F13" s="563"/>
      <c r="G13" s="563"/>
      <c r="H13" s="562">
        <f ca="1">SUMIF($C$17:$P18,$C13,H$17:H$18)</f>
        <v>0</v>
      </c>
      <c r="I13" s="562">
        <f ca="1">SUMIF($C$17:$P18,$C13,I$17:I$18)</f>
        <v>0</v>
      </c>
      <c r="J13" s="562">
        <f ca="1">SUMIF($C$17:$P18,$C13,J$17:J$18)</f>
        <v>0</v>
      </c>
      <c r="K13" s="562">
        <f ca="1">SUMIF($C$17:$P18,$C13,K$17:K$18)</f>
        <v>0</v>
      </c>
      <c r="L13" s="562">
        <f ca="1">SUMIF($C$17:$P18,$C13,L$17:L$18)</f>
        <v>0</v>
      </c>
      <c r="M13" s="562">
        <f ca="1">SUMIF($C$17:$P18,$C13,M$17:M$18)</f>
        <v>0</v>
      </c>
      <c r="N13" s="562">
        <f ca="1">SUMIF($C$17:$P18,$C13,N$17:N$18)</f>
        <v>0</v>
      </c>
      <c r="O13" s="563"/>
      <c r="P13" s="563"/>
      <c r="Q13" s="71">
        <f>A13</f>
        <v>101</v>
      </c>
    </row>
    <row r="14" spans="1:17">
      <c r="A14" s="71">
        <f t="shared" ref="A14" si="0">A13+1</f>
        <v>102</v>
      </c>
      <c r="B14" s="573" t="s">
        <v>780</v>
      </c>
      <c r="C14" s="573"/>
      <c r="D14" s="573"/>
      <c r="E14" s="475">
        <f ca="1">E12+E13</f>
        <v>0</v>
      </c>
      <c r="F14" s="475"/>
      <c r="G14" s="475"/>
      <c r="H14" s="475">
        <f t="shared" ref="H14:N14" ca="1" si="1">H12+H13</f>
        <v>0</v>
      </c>
      <c r="I14" s="475">
        <f t="shared" ca="1" si="1"/>
        <v>0</v>
      </c>
      <c r="J14" s="475">
        <f t="shared" ca="1" si="1"/>
        <v>0</v>
      </c>
      <c r="K14" s="475">
        <f t="shared" ca="1" si="1"/>
        <v>0</v>
      </c>
      <c r="L14" s="475">
        <f t="shared" ca="1" si="1"/>
        <v>0</v>
      </c>
      <c r="M14" s="475">
        <f t="shared" ca="1" si="1"/>
        <v>0</v>
      </c>
      <c r="N14" s="475">
        <f t="shared" ca="1" si="1"/>
        <v>0</v>
      </c>
      <c r="O14" s="475"/>
      <c r="P14"/>
      <c r="Q14" s="71">
        <f>A14</f>
        <v>102</v>
      </c>
    </row>
    <row r="15" spans="1:17">
      <c r="A15" s="91"/>
      <c r="C15" s="91"/>
      <c r="D15" s="91"/>
      <c r="E15" s="91"/>
      <c r="F15" s="115"/>
      <c r="G15" s="115"/>
      <c r="H15" s="91"/>
      <c r="I15" s="91"/>
      <c r="J15" s="91"/>
      <c r="K15" s="91"/>
      <c r="L15" s="91"/>
      <c r="M15" s="91"/>
      <c r="N15" s="3"/>
      <c r="O15" s="253"/>
      <c r="P15" s="253"/>
      <c r="Q15" s="91"/>
    </row>
    <row r="16" spans="1:17">
      <c r="A16" s="91"/>
      <c r="C16" s="91"/>
      <c r="D16" s="91"/>
      <c r="E16" s="91"/>
      <c r="F16" s="115"/>
      <c r="G16" s="115"/>
      <c r="H16" s="91"/>
      <c r="I16" s="91"/>
      <c r="J16" s="91"/>
      <c r="K16" s="91"/>
      <c r="L16" s="91"/>
      <c r="M16" s="91"/>
      <c r="N16" s="3"/>
      <c r="O16" s="253"/>
      <c r="P16" s="253"/>
      <c r="Q16" s="91"/>
    </row>
    <row r="17" spans="1:17">
      <c r="A17" s="71">
        <f>A14+1</f>
        <v>103</v>
      </c>
      <c r="B17" s="416"/>
      <c r="C17" s="122"/>
      <c r="D17" s="621"/>
      <c r="E17" s="444"/>
      <c r="F17" s="122"/>
      <c r="G17" s="572"/>
      <c r="H17" s="444"/>
      <c r="I17" s="444"/>
      <c r="J17" s="444"/>
      <c r="K17" s="475">
        <f>(H17+J17)/2</f>
        <v>0</v>
      </c>
      <c r="L17" s="475">
        <f>K17*'1-BaseTRR'!$E$99</f>
        <v>0</v>
      </c>
      <c r="M17" s="475">
        <f>J17-L17</f>
        <v>0</v>
      </c>
      <c r="N17" s="475">
        <f t="shared" ref="N17:N18" si="2">K17-L17</f>
        <v>0</v>
      </c>
      <c r="O17" s="122"/>
      <c r="P17" s="122"/>
      <c r="Q17" s="71">
        <f t="shared" ref="Q17:Q18" si="3">A17</f>
        <v>103</v>
      </c>
    </row>
    <row r="18" spans="1:17">
      <c r="A18" s="71">
        <f t="shared" ref="A18" si="4">A17+1</f>
        <v>104</v>
      </c>
      <c r="B18" s="413" t="s">
        <v>684</v>
      </c>
      <c r="C18" s="122"/>
      <c r="D18" s="621"/>
      <c r="E18" s="444"/>
      <c r="F18" s="122"/>
      <c r="G18" s="572"/>
      <c r="H18" s="444"/>
      <c r="I18" s="444"/>
      <c r="J18" s="444"/>
      <c r="K18" s="475">
        <f t="shared" ref="K18" si="5">(H18+J18)/2</f>
        <v>0</v>
      </c>
      <c r="L18" s="475">
        <f>K18*'1-BaseTRR'!$E$99</f>
        <v>0</v>
      </c>
      <c r="M18" s="475">
        <f t="shared" ref="M18" si="6">J18-L18</f>
        <v>0</v>
      </c>
      <c r="N18" s="475">
        <f t="shared" si="2"/>
        <v>0</v>
      </c>
      <c r="O18" s="122"/>
      <c r="P18" s="122"/>
      <c r="Q18" s="71">
        <f t="shared" si="3"/>
        <v>104</v>
      </c>
    </row>
    <row r="19" spans="1:17">
      <c r="H19" s="64"/>
      <c r="I19" s="64"/>
      <c r="K19" s="475"/>
      <c r="L19" s="475"/>
      <c r="M19" s="475"/>
      <c r="N19" s="475"/>
      <c r="Q19" s="169"/>
    </row>
    <row r="20" spans="1:17">
      <c r="B20" s="7" t="s">
        <v>306</v>
      </c>
      <c r="H20" s="64"/>
      <c r="I20" s="64"/>
      <c r="K20" s="475"/>
      <c r="L20" s="475"/>
      <c r="M20" s="475"/>
      <c r="N20" s="475"/>
    </row>
    <row r="21" spans="1:17">
      <c r="B21" s="819" t="s">
        <v>781</v>
      </c>
      <c r="C21" s="819"/>
      <c r="D21" s="819"/>
      <c r="E21" s="819"/>
      <c r="F21" s="819"/>
      <c r="G21" s="819"/>
      <c r="H21" s="819"/>
      <c r="I21" s="819"/>
      <c r="J21" s="819"/>
      <c r="K21" s="819"/>
      <c r="L21" s="819"/>
      <c r="M21" s="819"/>
      <c r="N21" s="819"/>
      <c r="O21" s="819"/>
      <c r="P21" s="819"/>
    </row>
    <row r="22" spans="1:17">
      <c r="B22" s="819" t="s">
        <v>127</v>
      </c>
      <c r="C22" s="819"/>
      <c r="D22" s="819"/>
      <c r="E22" s="819"/>
      <c r="F22" s="819"/>
      <c r="G22" s="819"/>
      <c r="H22" s="819"/>
      <c r="I22" s="819"/>
      <c r="J22" s="819"/>
      <c r="K22" s="819"/>
      <c r="L22" s="819"/>
      <c r="M22" s="819"/>
      <c r="N22" s="819"/>
      <c r="O22" s="819"/>
      <c r="P22" s="819"/>
    </row>
  </sheetData>
  <mergeCells count="2">
    <mergeCell ref="B22:P22"/>
    <mergeCell ref="B21:P21"/>
  </mergeCells>
  <phoneticPr fontId="113" type="noConversion"/>
  <printOptions horizontalCentered="1"/>
  <pageMargins left="1" right="1" top="1" bottom="1" header="0.5" footer="0.5"/>
  <pageSetup scale="42" fitToHeight="0" orientation="landscape" r:id="rId1"/>
  <headerFooter>
    <oddHeader>&amp;C&amp;"-,Bold"&amp;12Pacific Gas and Electric Company
Formula Rate Model
Schedule 8-AbandonedPlant</oddHeader>
  </headerFooter>
  <customProperties>
    <customPr name="_pios_id" r:id="rId2"/>
    <customPr name="EpmWorksheetKeyString_GUID" r:id="rId3"/>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28"/>
  <sheetViews>
    <sheetView view="pageBreakPreview" zoomScale="90" zoomScaleNormal="75" zoomScaleSheetLayoutView="90" zoomScalePageLayoutView="85" workbookViewId="0">
      <selection activeCell="G88" sqref="G88:G111"/>
    </sheetView>
  </sheetViews>
  <sheetFormatPr defaultColWidth="9.140625" defaultRowHeight="15"/>
  <cols>
    <col min="1" max="1" width="5.28515625" style="175" customWidth="1"/>
    <col min="2" max="2" width="15.42578125" style="175" customWidth="1"/>
    <col min="3" max="3" width="18.140625" style="175" bestFit="1" customWidth="1"/>
    <col min="4" max="4" width="29" style="175" customWidth="1"/>
    <col min="5" max="5" width="18.85546875" style="175" customWidth="1"/>
    <col min="6" max="6" width="28.42578125" style="175" bestFit="1" customWidth="1"/>
    <col min="7" max="7" width="18.85546875" style="175" customWidth="1"/>
    <col min="8" max="8" width="24.42578125" style="175" bestFit="1" customWidth="1"/>
    <col min="9" max="9" width="18.85546875" style="175" customWidth="1"/>
    <col min="10" max="10" width="5.7109375" style="177" customWidth="1"/>
    <col min="11" max="12" width="15.5703125" style="175" customWidth="1"/>
    <col min="13" max="14" width="18.5703125" style="175" customWidth="1"/>
    <col min="15" max="27" width="15.5703125" style="175" customWidth="1"/>
    <col min="28" max="16384" width="9.140625" style="175"/>
  </cols>
  <sheetData>
    <row r="1" spans="1:22">
      <c r="B1" s="176" t="s">
        <v>30</v>
      </c>
      <c r="F1" s="139"/>
      <c r="G1" s="73"/>
      <c r="H1" s="4"/>
      <c r="I1" s="6" t="str">
        <f>CONCATENATE("Prior Year: ",'1-BaseTRR'!$G$2)</f>
        <v>Prior Year: 2021</v>
      </c>
    </row>
    <row r="2" spans="1:22">
      <c r="B2" s="113" t="s">
        <v>131</v>
      </c>
      <c r="C2" s="113"/>
      <c r="G2" s="73"/>
      <c r="H2" s="6"/>
      <c r="I2" s="4"/>
    </row>
    <row r="3" spans="1:22">
      <c r="B3" s="138"/>
    </row>
    <row r="4" spans="1:22">
      <c r="B4" s="175" t="s">
        <v>782</v>
      </c>
    </row>
    <row r="5" spans="1:22">
      <c r="B5" s="175" t="s">
        <v>783</v>
      </c>
    </row>
    <row r="7" spans="1:22">
      <c r="B7" s="178" t="s">
        <v>784</v>
      </c>
      <c r="C7" s="179"/>
      <c r="D7" s="179"/>
      <c r="E7" s="179"/>
      <c r="F7" s="179"/>
      <c r="G7" s="179"/>
      <c r="H7" s="179"/>
      <c r="I7" s="179"/>
    </row>
    <row r="8" spans="1:22">
      <c r="B8" s="175" t="s">
        <v>785</v>
      </c>
    </row>
    <row r="9" spans="1:22">
      <c r="B9" s="180"/>
    </row>
    <row r="10" spans="1:22">
      <c r="D10" s="173" t="s">
        <v>371</v>
      </c>
      <c r="E10" s="173" t="s">
        <v>372</v>
      </c>
      <c r="F10" s="173" t="s">
        <v>373</v>
      </c>
      <c r="G10" s="173" t="s">
        <v>374</v>
      </c>
      <c r="H10" s="173" t="s">
        <v>375</v>
      </c>
      <c r="I10" s="173" t="s">
        <v>376</v>
      </c>
      <c r="J10" s="181"/>
      <c r="M10" s="182"/>
      <c r="N10" s="182"/>
      <c r="O10" s="182"/>
      <c r="P10" s="182"/>
      <c r="Q10" s="182"/>
      <c r="R10" s="182"/>
      <c r="S10" s="182"/>
      <c r="T10" s="182"/>
      <c r="U10" s="182"/>
      <c r="V10" s="182"/>
    </row>
    <row r="11" spans="1:22" ht="30">
      <c r="D11" s="174" t="s">
        <v>786</v>
      </c>
      <c r="E11" s="174" t="s">
        <v>786</v>
      </c>
      <c r="F11" s="174" t="s">
        <v>786</v>
      </c>
      <c r="G11" s="174" t="s">
        <v>786</v>
      </c>
      <c r="H11" s="174" t="s">
        <v>786</v>
      </c>
      <c r="I11" s="174" t="s">
        <v>786</v>
      </c>
      <c r="J11" s="181"/>
    </row>
    <row r="12" spans="1:22">
      <c r="E12" s="181"/>
      <c r="F12" s="181"/>
      <c r="G12" s="181"/>
      <c r="H12" s="181"/>
      <c r="J12" s="181"/>
      <c r="M12" s="181"/>
      <c r="N12" s="181"/>
      <c r="O12" s="181"/>
      <c r="P12" s="181"/>
      <c r="Q12" s="181"/>
      <c r="R12" s="181"/>
      <c r="S12" s="181"/>
      <c r="T12" s="181"/>
      <c r="U12" s="181"/>
      <c r="V12" s="181"/>
    </row>
    <row r="13" spans="1:22">
      <c r="B13" s="820" t="s">
        <v>787</v>
      </c>
      <c r="C13" s="820"/>
      <c r="D13" s="181" t="s">
        <v>788</v>
      </c>
      <c r="E13" s="181" t="s">
        <v>789</v>
      </c>
      <c r="F13" s="181" t="s">
        <v>790</v>
      </c>
      <c r="G13" s="181" t="s">
        <v>791</v>
      </c>
      <c r="H13" s="181" t="s">
        <v>789</v>
      </c>
      <c r="I13" s="181" t="s">
        <v>792</v>
      </c>
      <c r="J13" s="181"/>
      <c r="M13" s="181"/>
      <c r="N13" s="181"/>
      <c r="O13" s="181"/>
      <c r="P13" s="181"/>
      <c r="Q13" s="181"/>
      <c r="R13" s="181"/>
      <c r="S13" s="181"/>
      <c r="T13" s="181"/>
      <c r="U13" s="181"/>
      <c r="V13" s="181"/>
    </row>
    <row r="14" spans="1:22">
      <c r="A14" s="182" t="s">
        <v>100</v>
      </c>
      <c r="B14" s="182" t="s">
        <v>384</v>
      </c>
      <c r="C14" s="182" t="s">
        <v>420</v>
      </c>
      <c r="D14" s="182" t="s">
        <v>793</v>
      </c>
      <c r="E14" s="182" t="s">
        <v>794</v>
      </c>
      <c r="F14" s="182" t="s">
        <v>795</v>
      </c>
      <c r="G14" s="182" t="s">
        <v>796</v>
      </c>
      <c r="H14" s="182" t="s">
        <v>797</v>
      </c>
      <c r="I14" s="182" t="s">
        <v>798</v>
      </c>
      <c r="J14" s="182" t="str">
        <f>A14</f>
        <v>Line</v>
      </c>
      <c r="M14" s="182"/>
      <c r="N14" s="182"/>
      <c r="O14" s="182"/>
      <c r="P14" s="182"/>
      <c r="Q14" s="182"/>
      <c r="R14" s="182"/>
      <c r="S14" s="182"/>
      <c r="T14" s="182"/>
      <c r="U14" s="182"/>
      <c r="V14" s="182"/>
    </row>
    <row r="15" spans="1:22">
      <c r="A15" s="181">
        <v>100</v>
      </c>
      <c r="B15" s="175" t="str">
        <f t="shared" ref="B15:B38" si="0">B52</f>
        <v>January</v>
      </c>
      <c r="C15" s="155">
        <f>'1-BaseTRR'!$G$2+1</f>
        <v>2022</v>
      </c>
      <c r="D15" s="198">
        <f t="shared" ref="D15:I30" si="1">D52+D88</f>
        <v>62793263.9114419</v>
      </c>
      <c r="E15" s="198">
        <f t="shared" si="1"/>
        <v>62793263.9114419</v>
      </c>
      <c r="F15" s="198">
        <f t="shared" si="1"/>
        <v>149885.04731588025</v>
      </c>
      <c r="G15" s="198">
        <f t="shared" si="1"/>
        <v>6022716.261341108</v>
      </c>
      <c r="H15" s="198">
        <f t="shared" si="1"/>
        <v>-5872831.2140252283</v>
      </c>
      <c r="I15" s="198">
        <f t="shared" si="1"/>
        <v>68666095.125467122</v>
      </c>
      <c r="J15" s="181">
        <f>A15</f>
        <v>100</v>
      </c>
      <c r="M15" s="19"/>
      <c r="N15" s="183"/>
      <c r="O15" s="183"/>
      <c r="P15" s="183"/>
      <c r="Q15" s="183"/>
      <c r="R15" s="183"/>
      <c r="S15" s="183"/>
      <c r="T15" s="183"/>
      <c r="U15" s="183"/>
      <c r="V15" s="183"/>
    </row>
    <row r="16" spans="1:22">
      <c r="A16" s="181">
        <f>A15+1</f>
        <v>101</v>
      </c>
      <c r="B16" s="175" t="str">
        <f t="shared" si="0"/>
        <v>February</v>
      </c>
      <c r="C16" s="155">
        <f>'1-BaseTRR'!$G$2+1</f>
        <v>2022</v>
      </c>
      <c r="D16" s="198">
        <f t="shared" si="1"/>
        <v>105827219.84780945</v>
      </c>
      <c r="E16" s="198">
        <f t="shared" si="1"/>
        <v>168620483.75925136</v>
      </c>
      <c r="F16" s="198">
        <f t="shared" si="1"/>
        <v>402490.45219764009</v>
      </c>
      <c r="G16" s="198">
        <f t="shared" si="1"/>
        <v>6619320.8227959052</v>
      </c>
      <c r="H16" s="198">
        <f t="shared" si="1"/>
        <v>-12089661.584623493</v>
      </c>
      <c r="I16" s="198">
        <f t="shared" si="1"/>
        <v>180710145.34387484</v>
      </c>
      <c r="J16" s="181">
        <f t="shared" ref="J16:J39" si="2">A16</f>
        <v>101</v>
      </c>
      <c r="M16" s="19"/>
      <c r="N16" s="183"/>
      <c r="O16" s="183"/>
      <c r="P16" s="183"/>
      <c r="Q16" s="183"/>
      <c r="R16" s="183"/>
      <c r="S16" s="183"/>
      <c r="T16" s="183"/>
      <c r="U16" s="183"/>
      <c r="V16" s="183"/>
    </row>
    <row r="17" spans="1:22">
      <c r="A17" s="181">
        <f t="shared" ref="A17:A39" si="3">A16+1</f>
        <v>102</v>
      </c>
      <c r="B17" s="175" t="str">
        <f t="shared" si="0"/>
        <v>March</v>
      </c>
      <c r="C17" s="155">
        <f>'1-BaseTRR'!$G$2+1</f>
        <v>2022</v>
      </c>
      <c r="D17" s="198">
        <f t="shared" si="1"/>
        <v>109525758.5872464</v>
      </c>
      <c r="E17" s="198">
        <f t="shared" si="1"/>
        <v>278146242.34649777</v>
      </c>
      <c r="F17" s="198">
        <f t="shared" si="1"/>
        <v>663924.12335238652</v>
      </c>
      <c r="G17" s="198">
        <f t="shared" si="1"/>
        <v>7660750.7238649931</v>
      </c>
      <c r="H17" s="198">
        <f t="shared" si="1"/>
        <v>-19086488.185136098</v>
      </c>
      <c r="I17" s="198">
        <f t="shared" si="1"/>
        <v>297232730.53163385</v>
      </c>
      <c r="J17" s="181">
        <f t="shared" si="2"/>
        <v>102</v>
      </c>
      <c r="M17" s="19"/>
      <c r="N17" s="183"/>
      <c r="O17" s="183"/>
      <c r="P17" s="183"/>
      <c r="Q17" s="183"/>
      <c r="R17" s="183"/>
      <c r="S17" s="183"/>
      <c r="T17" s="183"/>
      <c r="U17" s="183"/>
      <c r="V17" s="183"/>
    </row>
    <row r="18" spans="1:22">
      <c r="A18" s="181">
        <f t="shared" si="3"/>
        <v>103</v>
      </c>
      <c r="B18" s="175" t="str">
        <f t="shared" si="0"/>
        <v>April</v>
      </c>
      <c r="C18" s="155">
        <f>'1-BaseTRR'!$G$2+1</f>
        <v>2022</v>
      </c>
      <c r="D18" s="198">
        <f t="shared" si="1"/>
        <v>94315346.158920437</v>
      </c>
      <c r="E18" s="198">
        <f t="shared" si="1"/>
        <v>372461588.50541818</v>
      </c>
      <c r="F18" s="198">
        <f t="shared" si="1"/>
        <v>889051.13923071767</v>
      </c>
      <c r="G18" s="198">
        <f t="shared" si="1"/>
        <v>6449105.9356137412</v>
      </c>
      <c r="H18" s="198">
        <f t="shared" si="1"/>
        <v>-24646542.981519122</v>
      </c>
      <c r="I18" s="198">
        <f t="shared" si="1"/>
        <v>397108131.48693728</v>
      </c>
      <c r="J18" s="181">
        <f t="shared" si="2"/>
        <v>103</v>
      </c>
      <c r="M18" s="19"/>
      <c r="N18" s="183"/>
      <c r="O18" s="183"/>
      <c r="P18" s="183"/>
      <c r="Q18" s="183"/>
      <c r="R18" s="183"/>
      <c r="S18" s="183"/>
      <c r="T18" s="183"/>
      <c r="U18" s="183"/>
      <c r="V18" s="183"/>
    </row>
    <row r="19" spans="1:22">
      <c r="A19" s="181">
        <f t="shared" si="3"/>
        <v>104</v>
      </c>
      <c r="B19" s="175" t="str">
        <f t="shared" si="0"/>
        <v>May</v>
      </c>
      <c r="C19" s="155">
        <f>'1-BaseTRR'!$G$2+1</f>
        <v>2022</v>
      </c>
      <c r="D19" s="198">
        <f t="shared" si="1"/>
        <v>84710442.535163522</v>
      </c>
      <c r="E19" s="198">
        <f t="shared" si="1"/>
        <v>457172031.04058176</v>
      </c>
      <c r="F19" s="198">
        <f t="shared" si="1"/>
        <v>1091251.6285290383</v>
      </c>
      <c r="G19" s="198">
        <f t="shared" si="1"/>
        <v>7324355.5614599064</v>
      </c>
      <c r="H19" s="198">
        <f t="shared" si="1"/>
        <v>-30879646.91444999</v>
      </c>
      <c r="I19" s="198">
        <f t="shared" si="1"/>
        <v>488051677.95503175</v>
      </c>
      <c r="J19" s="181">
        <f t="shared" si="2"/>
        <v>104</v>
      </c>
      <c r="M19" s="19"/>
      <c r="N19" s="183"/>
      <c r="O19" s="183"/>
      <c r="P19" s="183"/>
      <c r="Q19" s="183"/>
      <c r="R19" s="183"/>
      <c r="S19" s="183"/>
      <c r="T19" s="183"/>
      <c r="U19" s="183"/>
      <c r="V19" s="183"/>
    </row>
    <row r="20" spans="1:22">
      <c r="A20" s="181">
        <f t="shared" si="3"/>
        <v>105</v>
      </c>
      <c r="B20" s="175" t="str">
        <f t="shared" si="0"/>
        <v xml:space="preserve">June </v>
      </c>
      <c r="C20" s="155">
        <f>'1-BaseTRR'!$G$2+1</f>
        <v>2022</v>
      </c>
      <c r="D20" s="198">
        <f t="shared" si="1"/>
        <v>76446578.370898247</v>
      </c>
      <c r="E20" s="198">
        <f t="shared" si="1"/>
        <v>533618609.41148001</v>
      </c>
      <c r="F20" s="198">
        <f t="shared" si="1"/>
        <v>1273726.5996090393</v>
      </c>
      <c r="G20" s="198">
        <f t="shared" si="1"/>
        <v>7209785.8794933036</v>
      </c>
      <c r="H20" s="198">
        <f t="shared" si="1"/>
        <v>-36815706.194334254</v>
      </c>
      <c r="I20" s="198">
        <f t="shared" si="1"/>
        <v>570434315.60581422</v>
      </c>
      <c r="J20" s="181">
        <f t="shared" si="2"/>
        <v>105</v>
      </c>
      <c r="M20" s="19"/>
      <c r="N20" s="183"/>
      <c r="O20" s="183"/>
      <c r="P20" s="183"/>
      <c r="Q20" s="183"/>
      <c r="R20" s="183"/>
      <c r="S20" s="183"/>
      <c r="T20" s="183"/>
      <c r="U20" s="183"/>
      <c r="V20" s="183"/>
    </row>
    <row r="21" spans="1:22">
      <c r="A21" s="181">
        <f t="shared" si="3"/>
        <v>106</v>
      </c>
      <c r="B21" s="175" t="str">
        <f t="shared" si="0"/>
        <v>July</v>
      </c>
      <c r="C21" s="155">
        <f>'1-BaseTRR'!$G$2+1</f>
        <v>2022</v>
      </c>
      <c r="D21" s="198">
        <f t="shared" si="1"/>
        <v>65168045.317073867</v>
      </c>
      <c r="E21" s="198">
        <f t="shared" si="1"/>
        <v>598786654.72855389</v>
      </c>
      <c r="F21" s="198">
        <f t="shared" si="1"/>
        <v>1429280.156589428</v>
      </c>
      <c r="G21" s="198">
        <f t="shared" si="1"/>
        <v>5697794.0248985281</v>
      </c>
      <c r="H21" s="198">
        <f t="shared" si="1"/>
        <v>-41084220.062643357</v>
      </c>
      <c r="I21" s="198">
        <f t="shared" si="1"/>
        <v>639870874.7911973</v>
      </c>
      <c r="J21" s="181">
        <f t="shared" si="2"/>
        <v>106</v>
      </c>
      <c r="M21" s="19"/>
      <c r="N21" s="183"/>
      <c r="O21" s="183"/>
      <c r="P21" s="183"/>
      <c r="Q21" s="183"/>
      <c r="R21" s="183"/>
      <c r="S21" s="183"/>
      <c r="T21" s="183"/>
      <c r="U21" s="183"/>
      <c r="V21" s="183"/>
    </row>
    <row r="22" spans="1:22">
      <c r="A22" s="181">
        <f t="shared" si="3"/>
        <v>107</v>
      </c>
      <c r="B22" s="175" t="str">
        <f t="shared" si="0"/>
        <v>August</v>
      </c>
      <c r="C22" s="155">
        <f>'1-BaseTRR'!$G$2+1</f>
        <v>2022</v>
      </c>
      <c r="D22" s="198">
        <f t="shared" si="1"/>
        <v>107195667.74996752</v>
      </c>
      <c r="E22" s="198">
        <f t="shared" si="1"/>
        <v>705982322.47852135</v>
      </c>
      <c r="F22" s="198">
        <f t="shared" si="1"/>
        <v>1685151.9927058108</v>
      </c>
      <c r="G22" s="198">
        <f t="shared" si="1"/>
        <v>7645376.8742906535</v>
      </c>
      <c r="H22" s="198">
        <f t="shared" si="1"/>
        <v>-47044444.944228202</v>
      </c>
      <c r="I22" s="198">
        <f t="shared" si="1"/>
        <v>753026767.42274964</v>
      </c>
      <c r="J22" s="181">
        <f t="shared" si="2"/>
        <v>107</v>
      </c>
      <c r="M22" s="19"/>
      <c r="N22" s="183"/>
      <c r="O22" s="183"/>
      <c r="P22" s="183"/>
      <c r="Q22" s="183"/>
      <c r="R22" s="183"/>
      <c r="S22" s="183"/>
      <c r="T22" s="183"/>
      <c r="U22" s="183"/>
      <c r="V22" s="183"/>
    </row>
    <row r="23" spans="1:22">
      <c r="A23" s="181">
        <f t="shared" si="3"/>
        <v>108</v>
      </c>
      <c r="B23" s="175" t="str">
        <f t="shared" si="0"/>
        <v>September</v>
      </c>
      <c r="C23" s="155">
        <f>'1-BaseTRR'!$G$2+1</f>
        <v>2022</v>
      </c>
      <c r="D23" s="198">
        <f t="shared" si="1"/>
        <v>94143048.919391602</v>
      </c>
      <c r="E23" s="198">
        <f t="shared" si="1"/>
        <v>800125371.39791298</v>
      </c>
      <c r="F23" s="198">
        <f t="shared" si="1"/>
        <v>1909867.7418607622</v>
      </c>
      <c r="G23" s="198">
        <f t="shared" si="1"/>
        <v>8680877.9766790867</v>
      </c>
      <c r="H23" s="198">
        <f t="shared" si="1"/>
        <v>-53815455.179046519</v>
      </c>
      <c r="I23" s="198">
        <f t="shared" si="1"/>
        <v>853940826.57695949</v>
      </c>
      <c r="J23" s="181">
        <f t="shared" si="2"/>
        <v>108</v>
      </c>
      <c r="M23" s="19"/>
      <c r="N23" s="183"/>
      <c r="O23" s="183"/>
      <c r="P23" s="183"/>
      <c r="Q23" s="183"/>
      <c r="R23" s="183"/>
      <c r="S23" s="183"/>
      <c r="T23" s="183"/>
      <c r="U23" s="183"/>
      <c r="V23" s="183"/>
    </row>
    <row r="24" spans="1:22">
      <c r="A24" s="181">
        <f t="shared" si="3"/>
        <v>109</v>
      </c>
      <c r="B24" s="175" t="str">
        <f t="shared" si="0"/>
        <v xml:space="preserve">October </v>
      </c>
      <c r="C24" s="155">
        <f>'1-BaseTRR'!$G$2+1</f>
        <v>2022</v>
      </c>
      <c r="D24" s="198">
        <f t="shared" si="1"/>
        <v>46934913.737764984</v>
      </c>
      <c r="E24" s="198">
        <f t="shared" si="1"/>
        <v>847060285.13567805</v>
      </c>
      <c r="F24" s="198">
        <f t="shared" si="1"/>
        <v>2021899.5320265514</v>
      </c>
      <c r="G24" s="198">
        <f t="shared" si="1"/>
        <v>6472563.8794011204</v>
      </c>
      <c r="H24" s="198">
        <f t="shared" si="1"/>
        <v>-58266119.526421085</v>
      </c>
      <c r="I24" s="198">
        <f t="shared" si="1"/>
        <v>905326404.66209912</v>
      </c>
      <c r="J24" s="181">
        <f t="shared" si="2"/>
        <v>109</v>
      </c>
      <c r="M24" s="19"/>
      <c r="N24" s="183"/>
      <c r="O24" s="183"/>
      <c r="P24" s="183"/>
      <c r="Q24" s="183"/>
      <c r="R24" s="183"/>
      <c r="S24" s="183"/>
      <c r="T24" s="183"/>
      <c r="U24" s="183"/>
      <c r="V24" s="183"/>
    </row>
    <row r="25" spans="1:22">
      <c r="A25" s="181">
        <f t="shared" si="3"/>
        <v>110</v>
      </c>
      <c r="B25" s="175" t="str">
        <f t="shared" si="0"/>
        <v>November</v>
      </c>
      <c r="C25" s="155">
        <f>'1-BaseTRR'!$G$2+1</f>
        <v>2022</v>
      </c>
      <c r="D25" s="198">
        <f t="shared" si="1"/>
        <v>123905410.78088114</v>
      </c>
      <c r="E25" s="198">
        <f t="shared" si="1"/>
        <v>970965695.91655922</v>
      </c>
      <c r="F25" s="198">
        <f t="shared" si="1"/>
        <v>2317656.8665039828</v>
      </c>
      <c r="G25" s="198">
        <f t="shared" si="1"/>
        <v>6200608.201620128</v>
      </c>
      <c r="H25" s="198">
        <f t="shared" si="1"/>
        <v>-62149070.861537233</v>
      </c>
      <c r="I25" s="198">
        <f t="shared" si="1"/>
        <v>1033114766.7780963</v>
      </c>
      <c r="J25" s="181">
        <f t="shared" si="2"/>
        <v>110</v>
      </c>
      <c r="M25" s="19"/>
      <c r="N25" s="183"/>
      <c r="O25" s="183"/>
      <c r="P25" s="183"/>
      <c r="Q25" s="183"/>
      <c r="R25" s="183"/>
      <c r="S25" s="183"/>
      <c r="T25" s="183"/>
      <c r="U25" s="183"/>
      <c r="V25" s="183"/>
    </row>
    <row r="26" spans="1:22">
      <c r="A26" s="181">
        <f t="shared" si="3"/>
        <v>111</v>
      </c>
      <c r="B26" s="175" t="str">
        <f t="shared" si="0"/>
        <v>December</v>
      </c>
      <c r="C26" s="155">
        <f>'1-BaseTRR'!$G$2+1</f>
        <v>2022</v>
      </c>
      <c r="D26" s="198">
        <f t="shared" si="1"/>
        <v>138386795.19064838</v>
      </c>
      <c r="E26" s="198">
        <f t="shared" si="1"/>
        <v>1109352491.1072075</v>
      </c>
      <c r="F26" s="198">
        <f t="shared" si="1"/>
        <v>2647980.6950964285</v>
      </c>
      <c r="G26" s="198">
        <f t="shared" si="1"/>
        <v>6796309.6555281095</v>
      </c>
      <c r="H26" s="198">
        <f t="shared" si="1"/>
        <v>-66297399.821968913</v>
      </c>
      <c r="I26" s="198">
        <f t="shared" si="1"/>
        <v>1175649890.9291763</v>
      </c>
      <c r="J26" s="181">
        <f t="shared" si="2"/>
        <v>111</v>
      </c>
      <c r="M26" s="19"/>
      <c r="N26" s="183"/>
      <c r="O26" s="183"/>
      <c r="P26" s="183"/>
      <c r="Q26" s="183"/>
      <c r="R26" s="183"/>
      <c r="S26" s="183"/>
      <c r="T26" s="183"/>
      <c r="U26" s="183"/>
      <c r="V26" s="183"/>
    </row>
    <row r="27" spans="1:22">
      <c r="A27" s="181">
        <f t="shared" si="3"/>
        <v>112</v>
      </c>
      <c r="B27" s="175" t="str">
        <f t="shared" si="0"/>
        <v>January</v>
      </c>
      <c r="C27" s="155">
        <f>'1-BaseTRR'!$G$1</f>
        <v>2023</v>
      </c>
      <c r="D27" s="198">
        <f t="shared" si="1"/>
        <v>49618270.568053111</v>
      </c>
      <c r="E27" s="198">
        <f t="shared" si="1"/>
        <v>1158970761.6752605</v>
      </c>
      <c r="F27" s="198">
        <f t="shared" si="1"/>
        <v>2766417.552309542</v>
      </c>
      <c r="G27" s="198">
        <f t="shared" si="1"/>
        <v>4686991.0978435464</v>
      </c>
      <c r="H27" s="198">
        <f t="shared" si="1"/>
        <v>-68217973.367502913</v>
      </c>
      <c r="I27" s="198">
        <f t="shared" si="1"/>
        <v>1227188735.0427637</v>
      </c>
      <c r="J27" s="181">
        <f t="shared" si="2"/>
        <v>112</v>
      </c>
      <c r="M27" s="19"/>
      <c r="N27" s="183"/>
      <c r="O27" s="183"/>
      <c r="P27" s="183"/>
      <c r="Q27" s="183"/>
      <c r="R27" s="183"/>
      <c r="S27" s="183"/>
      <c r="T27" s="183"/>
      <c r="U27" s="183"/>
      <c r="V27" s="183"/>
    </row>
    <row r="28" spans="1:22">
      <c r="A28" s="181">
        <f t="shared" si="3"/>
        <v>113</v>
      </c>
      <c r="B28" s="175" t="str">
        <f t="shared" si="0"/>
        <v>February</v>
      </c>
      <c r="C28" s="184">
        <f>'1-BaseTRR'!$G$1</f>
        <v>2023</v>
      </c>
      <c r="D28" s="198">
        <f t="shared" si="1"/>
        <v>116096400.44989839</v>
      </c>
      <c r="E28" s="198">
        <f t="shared" si="1"/>
        <v>1275067162.125159</v>
      </c>
      <c r="F28" s="198">
        <f t="shared" si="1"/>
        <v>3043535.0867504561</v>
      </c>
      <c r="G28" s="198">
        <f t="shared" si="1"/>
        <v>4560733.5344761927</v>
      </c>
      <c r="H28" s="198">
        <f t="shared" si="1"/>
        <v>-69735171.815228656</v>
      </c>
      <c r="I28" s="198">
        <f t="shared" si="1"/>
        <v>1344802333.9403877</v>
      </c>
      <c r="J28" s="181">
        <f t="shared" si="2"/>
        <v>113</v>
      </c>
      <c r="M28" s="19"/>
      <c r="N28" s="183"/>
      <c r="O28" s="183"/>
      <c r="P28" s="183"/>
      <c r="Q28" s="183"/>
      <c r="R28" s="183"/>
      <c r="S28" s="183"/>
      <c r="T28" s="183"/>
      <c r="U28" s="183"/>
      <c r="V28" s="183"/>
    </row>
    <row r="29" spans="1:22">
      <c r="A29" s="181">
        <f t="shared" si="3"/>
        <v>114</v>
      </c>
      <c r="B29" s="175" t="str">
        <f t="shared" si="0"/>
        <v>March</v>
      </c>
      <c r="C29" s="184">
        <f>'1-BaseTRR'!$G$1</f>
        <v>2023</v>
      </c>
      <c r="D29" s="198">
        <f t="shared" si="1"/>
        <v>115135775.99437858</v>
      </c>
      <c r="E29" s="198">
        <f t="shared" si="1"/>
        <v>1390202938.1195378</v>
      </c>
      <c r="F29" s="198">
        <f t="shared" si="1"/>
        <v>3318359.6484583169</v>
      </c>
      <c r="G29" s="198">
        <f t="shared" si="1"/>
        <v>4468606.0012582717</v>
      </c>
      <c r="H29" s="198">
        <f t="shared" si="1"/>
        <v>-70885418.168028623</v>
      </c>
      <c r="I29" s="198">
        <f t="shared" si="1"/>
        <v>1461088356.2875662</v>
      </c>
      <c r="J29" s="181">
        <f t="shared" si="2"/>
        <v>114</v>
      </c>
      <c r="M29" s="19"/>
      <c r="N29" s="183"/>
      <c r="O29" s="183"/>
      <c r="P29" s="183"/>
      <c r="Q29" s="183"/>
      <c r="R29" s="183"/>
      <c r="S29" s="183"/>
      <c r="T29" s="183"/>
      <c r="U29" s="183"/>
      <c r="V29" s="183"/>
    </row>
    <row r="30" spans="1:22">
      <c r="A30" s="181">
        <f t="shared" si="3"/>
        <v>115</v>
      </c>
      <c r="B30" s="175" t="str">
        <f t="shared" si="0"/>
        <v>April</v>
      </c>
      <c r="C30" s="184">
        <f>'1-BaseTRR'!$G$1</f>
        <v>2023</v>
      </c>
      <c r="D30" s="198">
        <f t="shared" si="1"/>
        <v>142511793.06752589</v>
      </c>
      <c r="E30" s="198">
        <f t="shared" si="1"/>
        <v>1532714731.1870637</v>
      </c>
      <c r="F30" s="198">
        <f t="shared" si="1"/>
        <v>3658529.6844851407</v>
      </c>
      <c r="G30" s="198">
        <f t="shared" si="1"/>
        <v>5127997.0260046497</v>
      </c>
      <c r="H30" s="198">
        <f t="shared" si="1"/>
        <v>-72354885.509548128</v>
      </c>
      <c r="I30" s="198">
        <f t="shared" si="1"/>
        <v>1605069616.6966119</v>
      </c>
      <c r="J30" s="181">
        <f t="shared" si="2"/>
        <v>115</v>
      </c>
      <c r="M30" s="19"/>
      <c r="N30" s="183"/>
      <c r="O30" s="183"/>
      <c r="P30" s="183"/>
      <c r="Q30" s="183"/>
      <c r="R30" s="183"/>
      <c r="S30" s="183"/>
      <c r="T30" s="183"/>
      <c r="U30" s="183"/>
      <c r="V30" s="183"/>
    </row>
    <row r="31" spans="1:22">
      <c r="A31" s="181">
        <f t="shared" si="3"/>
        <v>116</v>
      </c>
      <c r="B31" s="175" t="str">
        <f t="shared" si="0"/>
        <v>May</v>
      </c>
      <c r="C31" s="184">
        <f>'1-BaseTRR'!$G$1</f>
        <v>2023</v>
      </c>
      <c r="D31" s="198">
        <f t="shared" ref="D31:I38" si="4">D68+D104</f>
        <v>227324311.86141998</v>
      </c>
      <c r="E31" s="198">
        <f t="shared" si="4"/>
        <v>1760039043.0484834</v>
      </c>
      <c r="F31" s="198">
        <f t="shared" si="4"/>
        <v>4201143.8618187429</v>
      </c>
      <c r="G31" s="198">
        <f t="shared" si="4"/>
        <v>3798793.7893822468</v>
      </c>
      <c r="H31" s="198">
        <f t="shared" si="4"/>
        <v>-71952535.437111631</v>
      </c>
      <c r="I31" s="198">
        <f t="shared" si="4"/>
        <v>1831991578.4855952</v>
      </c>
      <c r="J31" s="181">
        <f t="shared" si="2"/>
        <v>116</v>
      </c>
      <c r="M31" s="19"/>
      <c r="N31" s="183"/>
      <c r="O31" s="183"/>
      <c r="P31" s="183"/>
      <c r="Q31" s="183"/>
      <c r="R31" s="183"/>
      <c r="S31" s="183"/>
      <c r="T31" s="183"/>
      <c r="U31" s="183"/>
      <c r="V31" s="183"/>
    </row>
    <row r="32" spans="1:22">
      <c r="A32" s="181">
        <f t="shared" si="3"/>
        <v>117</v>
      </c>
      <c r="B32" s="175" t="str">
        <f t="shared" si="0"/>
        <v xml:space="preserve">June </v>
      </c>
      <c r="C32" s="184">
        <f>'1-BaseTRR'!$G$1</f>
        <v>2023</v>
      </c>
      <c r="D32" s="198">
        <f t="shared" si="4"/>
        <v>59624779.481891699</v>
      </c>
      <c r="E32" s="198">
        <f t="shared" si="4"/>
        <v>1819663822.5303752</v>
      </c>
      <c r="F32" s="198">
        <f t="shared" si="4"/>
        <v>4343465.8616186902</v>
      </c>
      <c r="G32" s="198">
        <f t="shared" si="4"/>
        <v>3422791.4968813863</v>
      </c>
      <c r="H32" s="198">
        <f t="shared" si="4"/>
        <v>-71031861.072374329</v>
      </c>
      <c r="I32" s="198">
        <f t="shared" si="4"/>
        <v>1890695683.6027496</v>
      </c>
      <c r="J32" s="181">
        <f t="shared" si="2"/>
        <v>117</v>
      </c>
      <c r="M32" s="19"/>
      <c r="N32" s="183"/>
      <c r="O32" s="183"/>
      <c r="P32" s="183"/>
      <c r="Q32" s="183"/>
      <c r="R32" s="183"/>
      <c r="S32" s="183"/>
      <c r="T32" s="183"/>
      <c r="U32" s="183"/>
      <c r="V32" s="183"/>
    </row>
    <row r="33" spans="1:22">
      <c r="A33" s="181">
        <f t="shared" si="3"/>
        <v>118</v>
      </c>
      <c r="B33" s="175" t="str">
        <f t="shared" si="0"/>
        <v>July</v>
      </c>
      <c r="C33" s="184">
        <f>'1-BaseTRR'!$G$1</f>
        <v>2023</v>
      </c>
      <c r="D33" s="198">
        <f t="shared" si="4"/>
        <v>106348381.11542998</v>
      </c>
      <c r="E33" s="198">
        <f t="shared" si="4"/>
        <v>1926012203.6458054</v>
      </c>
      <c r="F33" s="198">
        <f t="shared" si="4"/>
        <v>4597315.257915942</v>
      </c>
      <c r="G33" s="198">
        <f t="shared" si="4"/>
        <v>3014217.750058976</v>
      </c>
      <c r="H33" s="198">
        <f t="shared" si="4"/>
        <v>-69448763.564517349</v>
      </c>
      <c r="I33" s="198">
        <f t="shared" si="4"/>
        <v>1995460967.2103229</v>
      </c>
      <c r="J33" s="181">
        <f t="shared" si="2"/>
        <v>118</v>
      </c>
      <c r="M33" s="19"/>
      <c r="N33" s="183"/>
      <c r="O33" s="183"/>
      <c r="P33" s="183"/>
      <c r="Q33" s="183"/>
      <c r="R33" s="183"/>
      <c r="S33" s="183"/>
      <c r="T33" s="183"/>
      <c r="U33" s="183"/>
      <c r="V33" s="183"/>
    </row>
    <row r="34" spans="1:22">
      <c r="A34" s="181">
        <f t="shared" si="3"/>
        <v>119</v>
      </c>
      <c r="B34" s="175" t="str">
        <f t="shared" si="0"/>
        <v>August</v>
      </c>
      <c r="C34" s="184">
        <f>'1-BaseTRR'!$G$1</f>
        <v>2023</v>
      </c>
      <c r="D34" s="198">
        <f t="shared" si="4"/>
        <v>79795732.599498272</v>
      </c>
      <c r="E34" s="198">
        <f t="shared" si="4"/>
        <v>2005807936.2453036</v>
      </c>
      <c r="F34" s="198">
        <f t="shared" si="4"/>
        <v>4787784.5282050092</v>
      </c>
      <c r="G34" s="198">
        <f t="shared" si="4"/>
        <v>3387368.0100780451</v>
      </c>
      <c r="H34" s="198">
        <f t="shared" si="4"/>
        <v>-68048347.046390399</v>
      </c>
      <c r="I34" s="198">
        <f t="shared" si="4"/>
        <v>2073856283.2916942</v>
      </c>
      <c r="J34" s="181">
        <f t="shared" si="2"/>
        <v>119</v>
      </c>
      <c r="M34" s="19"/>
      <c r="N34" s="183"/>
      <c r="O34" s="183"/>
      <c r="P34" s="183"/>
      <c r="Q34" s="183"/>
      <c r="R34" s="183"/>
      <c r="S34" s="183"/>
      <c r="T34" s="183"/>
      <c r="U34" s="183"/>
      <c r="V34" s="183"/>
    </row>
    <row r="35" spans="1:22">
      <c r="A35" s="181">
        <f t="shared" si="3"/>
        <v>120</v>
      </c>
      <c r="B35" s="175" t="str">
        <f t="shared" si="0"/>
        <v>September</v>
      </c>
      <c r="C35" s="184">
        <f>'1-BaseTRR'!$G$1</f>
        <v>2023</v>
      </c>
      <c r="D35" s="198">
        <f t="shared" si="4"/>
        <v>51957387.754123323</v>
      </c>
      <c r="E35" s="198">
        <f t="shared" si="4"/>
        <v>2057765323.9994268</v>
      </c>
      <c r="F35" s="198">
        <f t="shared" si="4"/>
        <v>4911804.7659954708</v>
      </c>
      <c r="G35" s="198">
        <f t="shared" si="4"/>
        <v>3215036.1160677131</v>
      </c>
      <c r="H35" s="198">
        <f t="shared" si="4"/>
        <v>-66351578.396462634</v>
      </c>
      <c r="I35" s="198">
        <f t="shared" si="4"/>
        <v>2124116902.3958893</v>
      </c>
      <c r="J35" s="181">
        <f t="shared" si="2"/>
        <v>120</v>
      </c>
      <c r="M35" s="19"/>
      <c r="N35" s="183"/>
      <c r="O35" s="183"/>
      <c r="P35" s="183"/>
      <c r="Q35" s="183"/>
      <c r="R35" s="183"/>
      <c r="S35" s="183"/>
      <c r="T35" s="183"/>
      <c r="U35" s="183"/>
      <c r="V35" s="183"/>
    </row>
    <row r="36" spans="1:22">
      <c r="A36" s="181">
        <f t="shared" si="3"/>
        <v>121</v>
      </c>
      <c r="B36" s="175" t="str">
        <f t="shared" si="0"/>
        <v>October</v>
      </c>
      <c r="C36" s="184">
        <f>'1-BaseTRR'!$G$1</f>
        <v>2023</v>
      </c>
      <c r="D36" s="198">
        <f t="shared" si="4"/>
        <v>80698909.42913574</v>
      </c>
      <c r="E36" s="198">
        <f t="shared" si="4"/>
        <v>2138464233.4285626</v>
      </c>
      <c r="F36" s="198">
        <f t="shared" si="4"/>
        <v>5104429.8837976679</v>
      </c>
      <c r="G36" s="198">
        <f t="shared" si="4"/>
        <v>3299120.3536909334</v>
      </c>
      <c r="H36" s="198">
        <f t="shared" si="4"/>
        <v>-64546268.866355896</v>
      </c>
      <c r="I36" s="198">
        <f t="shared" si="4"/>
        <v>2203010502.2949185</v>
      </c>
      <c r="J36" s="181">
        <f t="shared" si="2"/>
        <v>121</v>
      </c>
      <c r="M36" s="19"/>
      <c r="N36" s="183"/>
      <c r="O36" s="183"/>
      <c r="P36" s="183"/>
      <c r="Q36" s="183"/>
      <c r="R36" s="183"/>
      <c r="S36" s="183"/>
      <c r="T36" s="183"/>
      <c r="U36" s="183"/>
      <c r="V36" s="183"/>
    </row>
    <row r="37" spans="1:22">
      <c r="A37" s="181">
        <f t="shared" si="3"/>
        <v>122</v>
      </c>
      <c r="B37" s="175" t="str">
        <f t="shared" si="0"/>
        <v>November</v>
      </c>
      <c r="C37" s="184">
        <f>'1-BaseTRR'!$G$1</f>
        <v>2023</v>
      </c>
      <c r="D37" s="198">
        <f t="shared" si="4"/>
        <v>97025439.715009868</v>
      </c>
      <c r="E37" s="198">
        <f t="shared" si="4"/>
        <v>2235489673.1435723</v>
      </c>
      <c r="F37" s="198">
        <f t="shared" si="4"/>
        <v>5336025.7862345614</v>
      </c>
      <c r="G37" s="198">
        <f t="shared" si="4"/>
        <v>2667653.2562859999</v>
      </c>
      <c r="H37" s="198">
        <f t="shared" si="4"/>
        <v>-61877896.336407334</v>
      </c>
      <c r="I37" s="198">
        <f t="shared" si="4"/>
        <v>2297367569.47998</v>
      </c>
      <c r="J37" s="181">
        <f t="shared" si="2"/>
        <v>122</v>
      </c>
      <c r="M37" s="19"/>
      <c r="N37" s="183"/>
      <c r="O37" s="183"/>
      <c r="P37" s="183"/>
      <c r="Q37" s="183"/>
      <c r="R37" s="183"/>
      <c r="S37" s="183"/>
      <c r="T37" s="183"/>
      <c r="U37" s="183"/>
      <c r="V37" s="183"/>
    </row>
    <row r="38" spans="1:22">
      <c r="A38" s="181">
        <f t="shared" si="3"/>
        <v>123</v>
      </c>
      <c r="B38" s="185" t="str">
        <f t="shared" si="0"/>
        <v>December</v>
      </c>
      <c r="C38" s="186">
        <f>'1-BaseTRR'!$G$1</f>
        <v>2023</v>
      </c>
      <c r="D38" s="469">
        <f t="shared" si="4"/>
        <v>160287416.34041917</v>
      </c>
      <c r="E38" s="469">
        <f t="shared" si="4"/>
        <v>2395777089.4839916</v>
      </c>
      <c r="F38" s="469">
        <f t="shared" si="4"/>
        <v>5718625.5347713819</v>
      </c>
      <c r="G38" s="469">
        <f t="shared" si="4"/>
        <v>2411100.9153928785</v>
      </c>
      <c r="H38" s="469">
        <f t="shared" si="4"/>
        <v>-58570371.717028826</v>
      </c>
      <c r="I38" s="469">
        <f t="shared" si="4"/>
        <v>2454347461.2010202</v>
      </c>
      <c r="J38" s="181">
        <f t="shared" si="2"/>
        <v>123</v>
      </c>
      <c r="M38" s="19"/>
      <c r="N38" s="183"/>
      <c r="O38" s="183"/>
      <c r="P38" s="183"/>
      <c r="Q38" s="183"/>
      <c r="R38" s="183"/>
      <c r="S38" s="183"/>
      <c r="T38" s="183"/>
      <c r="U38" s="183"/>
      <c r="V38" s="183"/>
    </row>
    <row r="39" spans="1:22" s="176" customFormat="1">
      <c r="A39" s="181">
        <f t="shared" si="3"/>
        <v>124</v>
      </c>
      <c r="C39" s="176" t="s">
        <v>799</v>
      </c>
      <c r="D39" s="199"/>
      <c r="E39" s="199">
        <f>SUM(E26:E38)/13</f>
        <v>1754255954.595365</v>
      </c>
      <c r="H39" s="198"/>
      <c r="I39" s="199">
        <f>SUM(I26:I38)/13</f>
        <v>1821895836.9891291</v>
      </c>
      <c r="J39" s="181">
        <f t="shared" si="2"/>
        <v>124</v>
      </c>
    </row>
    <row r="40" spans="1:22">
      <c r="A40" s="181">
        <v>125</v>
      </c>
      <c r="C40" s="545" t="s">
        <v>800</v>
      </c>
      <c r="F40" s="199">
        <f>SUM(F27:F38)</f>
        <v>51787437.452360928</v>
      </c>
      <c r="J40" s="181">
        <v>125</v>
      </c>
      <c r="N40" s="183"/>
    </row>
    <row r="41" spans="1:22">
      <c r="A41" s="181"/>
      <c r="C41" s="545"/>
      <c r="F41" s="199"/>
      <c r="J41" s="181"/>
      <c r="N41" s="183"/>
    </row>
    <row r="42" spans="1:22">
      <c r="B42" s="178" t="s">
        <v>801</v>
      </c>
      <c r="C42" s="179"/>
      <c r="D42" s="179"/>
      <c r="E42" s="179"/>
      <c r="F42" s="187"/>
      <c r="G42" s="179"/>
      <c r="H42" s="179"/>
      <c r="I42" s="187"/>
    </row>
    <row r="43" spans="1:22">
      <c r="B43" s="175" t="s">
        <v>802</v>
      </c>
    </row>
    <row r="44" spans="1:22">
      <c r="B44" s="175" t="s">
        <v>803</v>
      </c>
    </row>
    <row r="45" spans="1:22">
      <c r="B45" s="175" t="s">
        <v>804</v>
      </c>
    </row>
    <row r="47" spans="1:22">
      <c r="A47" s="181"/>
      <c r="D47" s="173" t="s">
        <v>371</v>
      </c>
      <c r="E47" s="173" t="s">
        <v>372</v>
      </c>
      <c r="F47" s="173" t="s">
        <v>373</v>
      </c>
      <c r="G47" s="173" t="s">
        <v>374</v>
      </c>
      <c r="H47" s="173" t="s">
        <v>375</v>
      </c>
      <c r="I47" s="173" t="s">
        <v>376</v>
      </c>
      <c r="J47" s="181"/>
    </row>
    <row r="48" spans="1:22" ht="30">
      <c r="A48" s="181"/>
      <c r="D48" s="188" t="s">
        <v>111</v>
      </c>
      <c r="E48" s="188" t="s">
        <v>805</v>
      </c>
      <c r="F48" s="188" t="s">
        <v>806</v>
      </c>
      <c r="G48" s="188" t="s">
        <v>203</v>
      </c>
      <c r="H48" s="188" t="s">
        <v>807</v>
      </c>
      <c r="I48" s="188" t="s">
        <v>808</v>
      </c>
      <c r="J48" s="181"/>
    </row>
    <row r="49" spans="1:13">
      <c r="A49" s="181"/>
      <c r="E49" s="181"/>
      <c r="F49" s="181"/>
      <c r="G49" s="181"/>
      <c r="H49" s="181"/>
      <c r="J49" s="181"/>
    </row>
    <row r="50" spans="1:13">
      <c r="A50" s="181"/>
      <c r="B50" s="820" t="str">
        <f>B13</f>
        <v>Forecast Period</v>
      </c>
      <c r="C50" s="820"/>
      <c r="D50" s="181" t="s">
        <v>788</v>
      </c>
      <c r="E50" s="181" t="s">
        <v>789</v>
      </c>
      <c r="F50" s="181" t="s">
        <v>790</v>
      </c>
      <c r="G50" s="181" t="s">
        <v>791</v>
      </c>
      <c r="H50" s="181" t="s">
        <v>789</v>
      </c>
      <c r="I50" s="181" t="s">
        <v>792</v>
      </c>
      <c r="J50" s="181"/>
    </row>
    <row r="51" spans="1:13">
      <c r="A51" s="182" t="s">
        <v>100</v>
      </c>
      <c r="B51" s="182" t="str">
        <f>B14</f>
        <v>Month</v>
      </c>
      <c r="C51" s="182" t="str">
        <f>C14</f>
        <v>Year</v>
      </c>
      <c r="D51" s="182" t="s">
        <v>798</v>
      </c>
      <c r="E51" s="182" t="s">
        <v>794</v>
      </c>
      <c r="F51" s="182" t="s">
        <v>795</v>
      </c>
      <c r="G51" s="182" t="s">
        <v>796</v>
      </c>
      <c r="H51" s="182" t="s">
        <v>797</v>
      </c>
      <c r="I51" s="182" t="s">
        <v>798</v>
      </c>
      <c r="J51" s="182" t="str">
        <f>A51</f>
        <v>Line</v>
      </c>
      <c r="M51" s="182"/>
    </row>
    <row r="52" spans="1:13">
      <c r="A52" s="181">
        <v>200</v>
      </c>
      <c r="B52" s="180" t="s">
        <v>430</v>
      </c>
      <c r="C52" s="155">
        <f>'1-BaseTRR'!$G$2+1</f>
        <v>2022</v>
      </c>
      <c r="D52" s="470">
        <v>22248100.637172796</v>
      </c>
      <c r="E52" s="198">
        <f>D52</f>
        <v>22248100.637172796</v>
      </c>
      <c r="F52" s="198">
        <f>E52*'12-DepRates'!$N$21/12</f>
        <v>53105.339792402221</v>
      </c>
      <c r="G52" s="470">
        <v>3395990.8978143646</v>
      </c>
      <c r="H52" s="198">
        <f>F52-G52</f>
        <v>-3342885.5580219626</v>
      </c>
      <c r="I52" s="198">
        <f>E52-H52</f>
        <v>25590986.195194758</v>
      </c>
      <c r="J52" s="181">
        <f t="shared" ref="J52:J76" si="5">A52</f>
        <v>200</v>
      </c>
      <c r="L52" s="183"/>
    </row>
    <row r="53" spans="1:13">
      <c r="A53" s="181">
        <f t="shared" ref="A53:A112" si="6">A52+1</f>
        <v>201</v>
      </c>
      <c r="B53" s="180" t="s">
        <v>431</v>
      </c>
      <c r="C53" s="155">
        <f>'1-BaseTRR'!$G$2+1</f>
        <v>2022</v>
      </c>
      <c r="D53" s="470">
        <v>29204774.852992278</v>
      </c>
      <c r="E53" s="198">
        <f>E52+D53</f>
        <v>51452875.49016507</v>
      </c>
      <c r="F53" s="198">
        <f>E53*'12-DepRates'!$N$21/12</f>
        <v>122815.98689085245</v>
      </c>
      <c r="G53" s="470">
        <v>3057475.7213798412</v>
      </c>
      <c r="H53" s="198">
        <f>H52+F53-G53</f>
        <v>-6277545.2925109509</v>
      </c>
      <c r="I53" s="198">
        <f t="shared" ref="I53:I75" si="7">E53-H53</f>
        <v>57730420.782676019</v>
      </c>
      <c r="J53" s="181">
        <f t="shared" si="5"/>
        <v>201</v>
      </c>
      <c r="L53" s="183"/>
    </row>
    <row r="54" spans="1:13">
      <c r="A54" s="181">
        <f t="shared" si="6"/>
        <v>202</v>
      </c>
      <c r="B54" s="180" t="s">
        <v>432</v>
      </c>
      <c r="C54" s="155">
        <f>'1-BaseTRR'!$G$2+1</f>
        <v>2022</v>
      </c>
      <c r="D54" s="470">
        <v>42491597.747637421</v>
      </c>
      <c r="E54" s="198">
        <f t="shared" ref="E54:E75" si="8">E53+D54</f>
        <v>93944473.237802491</v>
      </c>
      <c r="F54" s="198">
        <f>E54*'12-DepRates'!$N$21/12</f>
        <v>224241.75682557121</v>
      </c>
      <c r="G54" s="470">
        <v>3936206.5568366041</v>
      </c>
      <c r="H54" s="198">
        <f t="shared" ref="H54:H75" si="9">H53+F54-G54</f>
        <v>-9989510.0925219841</v>
      </c>
      <c r="I54" s="198">
        <f t="shared" si="7"/>
        <v>103933983.33032447</v>
      </c>
      <c r="J54" s="181">
        <f t="shared" si="5"/>
        <v>202</v>
      </c>
      <c r="L54" s="183"/>
    </row>
    <row r="55" spans="1:13">
      <c r="A55" s="181">
        <f t="shared" si="6"/>
        <v>203</v>
      </c>
      <c r="B55" s="180" t="s">
        <v>433</v>
      </c>
      <c r="C55" s="155">
        <f>'1-BaseTRR'!$G$2+1</f>
        <v>2022</v>
      </c>
      <c r="D55" s="470">
        <v>53367075.760252059</v>
      </c>
      <c r="E55" s="198">
        <f t="shared" si="8"/>
        <v>147311548.99805456</v>
      </c>
      <c r="F55" s="198">
        <f>E55*'12-DepRates'!$N$21/12</f>
        <v>351626.86435424705</v>
      </c>
      <c r="G55" s="470">
        <v>3354736.3175124098</v>
      </c>
      <c r="H55" s="198">
        <f t="shared" si="9"/>
        <v>-12992619.545680147</v>
      </c>
      <c r="I55" s="198">
        <f t="shared" si="7"/>
        <v>160304168.5437347</v>
      </c>
      <c r="J55" s="181">
        <f t="shared" si="5"/>
        <v>203</v>
      </c>
      <c r="L55" s="183"/>
    </row>
    <row r="56" spans="1:13">
      <c r="A56" s="181">
        <f t="shared" si="6"/>
        <v>204</v>
      </c>
      <c r="B56" s="180" t="s">
        <v>395</v>
      </c>
      <c r="C56" s="155">
        <f>'1-BaseTRR'!$G$2+1</f>
        <v>2022</v>
      </c>
      <c r="D56" s="470">
        <v>25214768.954938166</v>
      </c>
      <c r="E56" s="198">
        <f t="shared" si="8"/>
        <v>172526317.95299274</v>
      </c>
      <c r="F56" s="198">
        <f>E56*'12-DepRates'!$N$21/12</f>
        <v>411813.52455397666</v>
      </c>
      <c r="G56" s="470">
        <v>3460108.7921032123</v>
      </c>
      <c r="H56" s="198">
        <f t="shared" si="9"/>
        <v>-16040914.813229382</v>
      </c>
      <c r="I56" s="198">
        <f t="shared" si="7"/>
        <v>188567232.76622212</v>
      </c>
      <c r="J56" s="181">
        <f t="shared" si="5"/>
        <v>204</v>
      </c>
      <c r="L56" s="183"/>
    </row>
    <row r="57" spans="1:13">
      <c r="A57" s="181">
        <f t="shared" si="6"/>
        <v>205</v>
      </c>
      <c r="B57" s="180" t="s">
        <v>434</v>
      </c>
      <c r="C57" s="155">
        <f>'1-BaseTRR'!$G$2+1</f>
        <v>2022</v>
      </c>
      <c r="D57" s="470">
        <v>28732762.259623576</v>
      </c>
      <c r="E57" s="198">
        <f t="shared" si="8"/>
        <v>201259080.21261632</v>
      </c>
      <c r="F57" s="198">
        <f>E57*'12-DepRates'!$N$21/12</f>
        <v>480397.49618624104</v>
      </c>
      <c r="G57" s="470">
        <v>3605624.6995817199</v>
      </c>
      <c r="H57" s="198">
        <f t="shared" si="9"/>
        <v>-19166142.01662486</v>
      </c>
      <c r="I57" s="198">
        <f t="shared" si="7"/>
        <v>220425222.22924119</v>
      </c>
      <c r="J57" s="181">
        <f t="shared" si="5"/>
        <v>205</v>
      </c>
    </row>
    <row r="58" spans="1:13">
      <c r="A58" s="181">
        <f t="shared" si="6"/>
        <v>206</v>
      </c>
      <c r="B58" s="180" t="s">
        <v>435</v>
      </c>
      <c r="C58" s="155">
        <f>'1-BaseTRR'!$G$2+1</f>
        <v>2022</v>
      </c>
      <c r="D58" s="470">
        <v>37274418.975493893</v>
      </c>
      <c r="E58" s="198">
        <f t="shared" si="8"/>
        <v>238533499.18811023</v>
      </c>
      <c r="F58" s="198">
        <f>E58*'12-DepRates'!$N$21/12</f>
        <v>569370.06591431075</v>
      </c>
      <c r="G58" s="470">
        <v>2755974.0435087373</v>
      </c>
      <c r="H58" s="198">
        <f t="shared" si="9"/>
        <v>-21352745.994219288</v>
      </c>
      <c r="I58" s="198">
        <f t="shared" si="7"/>
        <v>259886245.18232954</v>
      </c>
      <c r="J58" s="181">
        <f t="shared" si="5"/>
        <v>206</v>
      </c>
      <c r="L58" s="183"/>
    </row>
    <row r="59" spans="1:13">
      <c r="A59" s="181">
        <f t="shared" si="6"/>
        <v>207</v>
      </c>
      <c r="B59" s="180" t="s">
        <v>436</v>
      </c>
      <c r="C59" s="155">
        <f>'1-BaseTRR'!$G$2+1</f>
        <v>2022</v>
      </c>
      <c r="D59" s="470">
        <v>65048204.151320383</v>
      </c>
      <c r="E59" s="198">
        <f t="shared" si="8"/>
        <v>303581703.33943063</v>
      </c>
      <c r="F59" s="198">
        <f>E59*'12-DepRates'!$N$21/12</f>
        <v>724637.56675299769</v>
      </c>
      <c r="G59" s="470">
        <v>3653983.1486339755</v>
      </c>
      <c r="H59" s="198">
        <f t="shared" si="9"/>
        <v>-24282091.576100267</v>
      </c>
      <c r="I59" s="198">
        <f t="shared" si="7"/>
        <v>327863794.91553092</v>
      </c>
      <c r="J59" s="181">
        <f t="shared" si="5"/>
        <v>207</v>
      </c>
      <c r="L59" s="183"/>
    </row>
    <row r="60" spans="1:13">
      <c r="A60" s="181">
        <f t="shared" si="6"/>
        <v>208</v>
      </c>
      <c r="B60" s="180" t="s">
        <v>437</v>
      </c>
      <c r="C60" s="155">
        <f>'1-BaseTRR'!$G$2+1</f>
        <v>2022</v>
      </c>
      <c r="D60" s="470">
        <v>34078007.247745767</v>
      </c>
      <c r="E60" s="198">
        <f t="shared" si="8"/>
        <v>337659710.58717638</v>
      </c>
      <c r="F60" s="198">
        <f>E60*'12-DepRates'!$N$21/12</f>
        <v>805980.42760448728</v>
      </c>
      <c r="G60" s="470">
        <v>3466375.1900597299</v>
      </c>
      <c r="H60" s="198">
        <f t="shared" si="9"/>
        <v>-26942486.338555507</v>
      </c>
      <c r="I60" s="198">
        <f t="shared" si="7"/>
        <v>364602196.9257319</v>
      </c>
      <c r="J60" s="181">
        <f t="shared" si="5"/>
        <v>208</v>
      </c>
      <c r="L60" s="183"/>
    </row>
    <row r="61" spans="1:13">
      <c r="A61" s="181">
        <f t="shared" si="6"/>
        <v>209</v>
      </c>
      <c r="B61" s="180" t="s">
        <v>809</v>
      </c>
      <c r="C61" s="155">
        <f>'1-BaseTRR'!$G$2+1</f>
        <v>2022</v>
      </c>
      <c r="D61" s="470">
        <v>15878048.915863667</v>
      </c>
      <c r="E61" s="198">
        <f t="shared" si="8"/>
        <v>353537759.50304008</v>
      </c>
      <c r="F61" s="198">
        <f>E61*'12-DepRates'!$N$21/12</f>
        <v>843880.70487617794</v>
      </c>
      <c r="G61" s="470">
        <v>2607386.9811568977</v>
      </c>
      <c r="H61" s="198">
        <f t="shared" si="9"/>
        <v>-28705992.614836227</v>
      </c>
      <c r="I61" s="198">
        <f t="shared" si="7"/>
        <v>382243752.11787629</v>
      </c>
      <c r="J61" s="181">
        <f t="shared" si="5"/>
        <v>209</v>
      </c>
      <c r="L61" s="183"/>
    </row>
    <row r="62" spans="1:13">
      <c r="A62" s="181">
        <f t="shared" si="6"/>
        <v>210</v>
      </c>
      <c r="B62" s="180" t="s">
        <v>439</v>
      </c>
      <c r="C62" s="155">
        <f>'1-BaseTRR'!$G$2+1</f>
        <v>2022</v>
      </c>
      <c r="D62" s="470">
        <v>50005484.937501848</v>
      </c>
      <c r="E62" s="198">
        <f t="shared" si="8"/>
        <v>403543244.44054192</v>
      </c>
      <c r="F62" s="198">
        <f>E62*'12-DepRates'!$N$21/12</f>
        <v>963241.8275354713</v>
      </c>
      <c r="G62" s="470">
        <v>2405309.815479314</v>
      </c>
      <c r="H62" s="198">
        <f t="shared" si="9"/>
        <v>-30148060.602780066</v>
      </c>
      <c r="I62" s="198">
        <f t="shared" si="7"/>
        <v>433691305.04332197</v>
      </c>
      <c r="J62" s="181">
        <f t="shared" si="5"/>
        <v>210</v>
      </c>
      <c r="L62" s="183"/>
    </row>
    <row r="63" spans="1:13">
      <c r="A63" s="181">
        <f t="shared" si="6"/>
        <v>211</v>
      </c>
      <c r="B63" s="180" t="s">
        <v>428</v>
      </c>
      <c r="C63" s="155">
        <f>'1-BaseTRR'!$G$2+1</f>
        <v>2022</v>
      </c>
      <c r="D63" s="470">
        <v>34538920.657587856</v>
      </c>
      <c r="E63" s="198">
        <f t="shared" si="8"/>
        <v>438082165.09812975</v>
      </c>
      <c r="F63" s="198">
        <f>E63*'12-DepRates'!$N$21/12</f>
        <v>1045684.8705393034</v>
      </c>
      <c r="G63" s="470">
        <v>2589935.9741239259</v>
      </c>
      <c r="H63" s="198">
        <f t="shared" si="9"/>
        <v>-31692311.706364688</v>
      </c>
      <c r="I63" s="198">
        <f t="shared" si="7"/>
        <v>469774476.80449444</v>
      </c>
      <c r="J63" s="181">
        <f t="shared" si="5"/>
        <v>211</v>
      </c>
      <c r="L63" s="183"/>
    </row>
    <row r="64" spans="1:13">
      <c r="A64" s="181">
        <f t="shared" si="6"/>
        <v>212</v>
      </c>
      <c r="B64" s="180" t="s">
        <v>430</v>
      </c>
      <c r="C64" s="155">
        <f>'1-BaseTRR'!$G$1</f>
        <v>2023</v>
      </c>
      <c r="D64" s="470">
        <v>19862530.332100883</v>
      </c>
      <c r="E64" s="198">
        <f t="shared" si="8"/>
        <v>457944695.43023062</v>
      </c>
      <c r="F64" s="198">
        <f>E64*'12-DepRates'!$N$21/12</f>
        <v>1093095.9479892459</v>
      </c>
      <c r="G64" s="470">
        <v>1912702.0940635027</v>
      </c>
      <c r="H64" s="198">
        <f t="shared" si="9"/>
        <v>-32511917.852438945</v>
      </c>
      <c r="I64" s="198">
        <f t="shared" si="7"/>
        <v>490456613.28266954</v>
      </c>
      <c r="J64" s="181">
        <f t="shared" si="5"/>
        <v>212</v>
      </c>
      <c r="L64" s="183"/>
    </row>
    <row r="65" spans="1:12">
      <c r="A65" s="181">
        <f t="shared" si="6"/>
        <v>213</v>
      </c>
      <c r="B65" s="180" t="s">
        <v>431</v>
      </c>
      <c r="C65" s="184">
        <f>'1-BaseTRR'!$G$1</f>
        <v>2023</v>
      </c>
      <c r="D65" s="470">
        <v>57061623.744722791</v>
      </c>
      <c r="E65" s="198">
        <f t="shared" si="8"/>
        <v>515006319.1749534</v>
      </c>
      <c r="F65" s="198">
        <f>E65*'12-DepRates'!$N$21/12</f>
        <v>1229299.7960160132</v>
      </c>
      <c r="G65" s="470">
        <v>2129036.1200491381</v>
      </c>
      <c r="H65" s="198">
        <f t="shared" si="9"/>
        <v>-33411654.176472072</v>
      </c>
      <c r="I65" s="198">
        <f t="shared" si="7"/>
        <v>548417973.35142553</v>
      </c>
      <c r="J65" s="181">
        <f t="shared" si="5"/>
        <v>213</v>
      </c>
      <c r="L65" s="183"/>
    </row>
    <row r="66" spans="1:12">
      <c r="A66" s="181">
        <f t="shared" si="6"/>
        <v>214</v>
      </c>
      <c r="B66" s="180" t="s">
        <v>432</v>
      </c>
      <c r="C66" s="184">
        <f>'1-BaseTRR'!$G$1</f>
        <v>2023</v>
      </c>
      <c r="D66" s="470">
        <v>48471976.745469496</v>
      </c>
      <c r="E66" s="198">
        <f t="shared" si="8"/>
        <v>563478295.92042291</v>
      </c>
      <c r="F66" s="198">
        <f>E66*'12-DepRates'!$N$21/12</f>
        <v>1345000.4950310411</v>
      </c>
      <c r="G66" s="470">
        <v>1974457.994656262</v>
      </c>
      <c r="H66" s="198">
        <f t="shared" si="9"/>
        <v>-34041111.676097296</v>
      </c>
      <c r="I66" s="198">
        <f t="shared" si="7"/>
        <v>597519407.59652019</v>
      </c>
      <c r="J66" s="181">
        <f t="shared" si="5"/>
        <v>214</v>
      </c>
      <c r="L66" s="183"/>
    </row>
    <row r="67" spans="1:12">
      <c r="A67" s="181">
        <f t="shared" si="6"/>
        <v>215</v>
      </c>
      <c r="B67" s="180" t="s">
        <v>433</v>
      </c>
      <c r="C67" s="184">
        <f>'1-BaseTRR'!$G$1</f>
        <v>2023</v>
      </c>
      <c r="D67" s="470">
        <v>102222828.69666289</v>
      </c>
      <c r="E67" s="198">
        <f t="shared" si="8"/>
        <v>665701124.61708581</v>
      </c>
      <c r="F67" s="198">
        <f>E67*'12-DepRates'!$N$21/12</f>
        <v>1589002.3602242691</v>
      </c>
      <c r="G67" s="470">
        <v>2824025.6556923296</v>
      </c>
      <c r="H67" s="198">
        <f t="shared" si="9"/>
        <v>-35276134.971565358</v>
      </c>
      <c r="I67" s="198">
        <f t="shared" si="7"/>
        <v>700977259.58865118</v>
      </c>
      <c r="J67" s="181">
        <f t="shared" si="5"/>
        <v>215</v>
      </c>
      <c r="L67" s="183"/>
    </row>
    <row r="68" spans="1:12">
      <c r="A68" s="181">
        <f t="shared" si="6"/>
        <v>216</v>
      </c>
      <c r="B68" s="180" t="s">
        <v>395</v>
      </c>
      <c r="C68" s="184">
        <f>'1-BaseTRR'!$G$1</f>
        <v>2023</v>
      </c>
      <c r="D68" s="470">
        <v>102241886.26499395</v>
      </c>
      <c r="E68" s="198">
        <f t="shared" si="8"/>
        <v>767943010.88207972</v>
      </c>
      <c r="F68" s="198">
        <f>E68*'12-DepRates'!$N$21/12</f>
        <v>1833049.7150823607</v>
      </c>
      <c r="G68" s="470">
        <v>1414724.28386585</v>
      </c>
      <c r="H68" s="198">
        <f t="shared" si="9"/>
        <v>-34857809.540348843</v>
      </c>
      <c r="I68" s="198">
        <f t="shared" si="7"/>
        <v>802800820.42242861</v>
      </c>
      <c r="J68" s="181">
        <f t="shared" si="5"/>
        <v>216</v>
      </c>
      <c r="L68" s="183"/>
    </row>
    <row r="69" spans="1:12">
      <c r="A69" s="181">
        <f t="shared" si="6"/>
        <v>217</v>
      </c>
      <c r="B69" s="180" t="s">
        <v>434</v>
      </c>
      <c r="C69" s="184">
        <f>'1-BaseTRR'!$G$1</f>
        <v>2023</v>
      </c>
      <c r="D69" s="470">
        <v>25174522.572604507</v>
      </c>
      <c r="E69" s="198">
        <f t="shared" si="8"/>
        <v>793117533.45468426</v>
      </c>
      <c r="F69" s="198">
        <f>E69*'12-DepRates'!$N$21/12</f>
        <v>1893140.3087529021</v>
      </c>
      <c r="G69" s="470">
        <v>1411370.6526707031</v>
      </c>
      <c r="H69" s="198">
        <f t="shared" si="9"/>
        <v>-34376039.884266645</v>
      </c>
      <c r="I69" s="198">
        <f t="shared" si="7"/>
        <v>827493573.33895087</v>
      </c>
      <c r="J69" s="181">
        <f t="shared" si="5"/>
        <v>217</v>
      </c>
      <c r="L69" s="183"/>
    </row>
    <row r="70" spans="1:12">
      <c r="A70" s="181">
        <f t="shared" si="6"/>
        <v>218</v>
      </c>
      <c r="B70" s="180" t="s">
        <v>435</v>
      </c>
      <c r="C70" s="184">
        <f>'1-BaseTRR'!$G$1</f>
        <v>2023</v>
      </c>
      <c r="D70" s="470">
        <v>54621573.280806512</v>
      </c>
      <c r="E70" s="198">
        <f t="shared" si="8"/>
        <v>847739106.7354908</v>
      </c>
      <c r="F70" s="198">
        <f>E70*'12-DepRates'!$N$21/12</f>
        <v>2023519.8524442075</v>
      </c>
      <c r="G70" s="470">
        <v>1247245.9294005572</v>
      </c>
      <c r="H70" s="198">
        <f t="shared" si="9"/>
        <v>-33599765.961222991</v>
      </c>
      <c r="I70" s="198">
        <f t="shared" si="7"/>
        <v>881338872.69671381</v>
      </c>
      <c r="J70" s="181">
        <f t="shared" si="5"/>
        <v>218</v>
      </c>
      <c r="L70" s="183"/>
    </row>
    <row r="71" spans="1:12">
      <c r="A71" s="181">
        <f t="shared" si="6"/>
        <v>219</v>
      </c>
      <c r="B71" s="180" t="s">
        <v>436</v>
      </c>
      <c r="C71" s="184">
        <f>'1-BaseTRR'!$G$1</f>
        <v>2023</v>
      </c>
      <c r="D71" s="470">
        <v>43372452.807728559</v>
      </c>
      <c r="E71" s="198">
        <f t="shared" si="8"/>
        <v>891111559.54321933</v>
      </c>
      <c r="F71" s="198">
        <f>E71*'12-DepRates'!$N$21/12</f>
        <v>2127048.1887074802</v>
      </c>
      <c r="G71" s="470">
        <v>1547338.3736432963</v>
      </c>
      <c r="H71" s="198">
        <f t="shared" si="9"/>
        <v>-33020056.146158811</v>
      </c>
      <c r="I71" s="198">
        <f t="shared" si="7"/>
        <v>924131615.68937814</v>
      </c>
      <c r="J71" s="181">
        <f t="shared" si="5"/>
        <v>219</v>
      </c>
      <c r="L71" s="183"/>
    </row>
    <row r="72" spans="1:12">
      <c r="A72" s="181">
        <f t="shared" si="6"/>
        <v>220</v>
      </c>
      <c r="B72" s="180" t="s">
        <v>437</v>
      </c>
      <c r="C72" s="184">
        <f>'1-BaseTRR'!$G$1</f>
        <v>2023</v>
      </c>
      <c r="D72" s="470">
        <v>17923392.293164767</v>
      </c>
      <c r="E72" s="198">
        <f t="shared" si="8"/>
        <v>909034951.83638406</v>
      </c>
      <c r="F72" s="198">
        <f>E72*'12-DepRates'!$N$21/12</f>
        <v>2169830.6200477402</v>
      </c>
      <c r="G72" s="470">
        <v>1168941.9988314935</v>
      </c>
      <c r="H72" s="198">
        <f t="shared" si="9"/>
        <v>-32019167.524942562</v>
      </c>
      <c r="I72" s="198">
        <f t="shared" si="7"/>
        <v>941054119.36132658</v>
      </c>
      <c r="J72" s="181">
        <f t="shared" si="5"/>
        <v>220</v>
      </c>
      <c r="L72" s="183"/>
    </row>
    <row r="73" spans="1:12">
      <c r="A73" s="181">
        <f t="shared" si="6"/>
        <v>221</v>
      </c>
      <c r="B73" s="180" t="s">
        <v>438</v>
      </c>
      <c r="C73" s="184">
        <f>'1-BaseTRR'!$G$1</f>
        <v>2023</v>
      </c>
      <c r="D73" s="470">
        <v>24886590.330064528</v>
      </c>
      <c r="E73" s="198">
        <f t="shared" si="8"/>
        <v>933921542.16644859</v>
      </c>
      <c r="F73" s="198">
        <f>E73*'12-DepRates'!$N$21/12</f>
        <v>2229233.9307979709</v>
      </c>
      <c r="G73" s="470">
        <v>1200961.8463451425</v>
      </c>
      <c r="H73" s="198">
        <f t="shared" si="9"/>
        <v>-30990895.440489732</v>
      </c>
      <c r="I73" s="198">
        <f t="shared" si="7"/>
        <v>964912437.60693836</v>
      </c>
      <c r="J73" s="181">
        <f t="shared" si="5"/>
        <v>221</v>
      </c>
      <c r="L73" s="183"/>
    </row>
    <row r="74" spans="1:12">
      <c r="A74" s="181">
        <f t="shared" si="6"/>
        <v>222</v>
      </c>
      <c r="B74" s="180" t="s">
        <v>439</v>
      </c>
      <c r="C74" s="184">
        <f>'1-BaseTRR'!$G$1</f>
        <v>2023</v>
      </c>
      <c r="D74" s="470">
        <v>32054803.598887302</v>
      </c>
      <c r="E74" s="198">
        <f t="shared" si="8"/>
        <v>965976345.76533592</v>
      </c>
      <c r="F74" s="198">
        <f>E74*'12-DepRates'!$N$21/12</f>
        <v>2305747.4842405245</v>
      </c>
      <c r="G74" s="470">
        <v>1212120.2327979091</v>
      </c>
      <c r="H74" s="198">
        <f t="shared" si="9"/>
        <v>-29897268.189047117</v>
      </c>
      <c r="I74" s="198">
        <f t="shared" si="7"/>
        <v>995873613.95438302</v>
      </c>
      <c r="J74" s="181">
        <f t="shared" si="5"/>
        <v>222</v>
      </c>
      <c r="L74" s="183"/>
    </row>
    <row r="75" spans="1:12">
      <c r="A75" s="181">
        <f t="shared" si="6"/>
        <v>223</v>
      </c>
      <c r="B75" s="189" t="s">
        <v>428</v>
      </c>
      <c r="C75" s="186">
        <f>'1-BaseTRR'!$G$1</f>
        <v>2023</v>
      </c>
      <c r="D75" s="474">
        <v>89156226.171243101</v>
      </c>
      <c r="E75" s="469">
        <f t="shared" si="8"/>
        <v>1055132571.936579</v>
      </c>
      <c r="F75" s="469">
        <f>E75*'12-DepRates'!$N$21/12</f>
        <v>2518559.8839435936</v>
      </c>
      <c r="G75" s="474">
        <v>1135255.363832708</v>
      </c>
      <c r="H75" s="469">
        <f t="shared" si="9"/>
        <v>-28513963.66893623</v>
      </c>
      <c r="I75" s="469">
        <f t="shared" si="7"/>
        <v>1083646535.6055152</v>
      </c>
      <c r="J75" s="181">
        <f t="shared" si="5"/>
        <v>223</v>
      </c>
      <c r="L75" s="183"/>
    </row>
    <row r="76" spans="1:12">
      <c r="A76" s="181">
        <f t="shared" si="6"/>
        <v>224</v>
      </c>
      <c r="B76" s="176"/>
      <c r="C76" s="181" t="s">
        <v>810</v>
      </c>
      <c r="D76" s="199"/>
      <c r="E76" s="199">
        <f>SUM(E63:E75)/13</f>
        <v>754168401.73546493</v>
      </c>
      <c r="F76" s="198"/>
      <c r="G76" s="198"/>
      <c r="H76" s="198"/>
      <c r="I76" s="199">
        <f>SUM(I63:I75)/13</f>
        <v>786799793.79226112</v>
      </c>
      <c r="J76" s="181">
        <f t="shared" si="5"/>
        <v>224</v>
      </c>
    </row>
    <row r="77" spans="1:12">
      <c r="A77" s="181"/>
      <c r="D77" s="190"/>
      <c r="J77" s="181"/>
    </row>
    <row r="78" spans="1:12">
      <c r="B78" s="178" t="s">
        <v>811</v>
      </c>
      <c r="C78" s="179"/>
      <c r="D78" s="191"/>
      <c r="E78" s="179"/>
      <c r="F78" s="179"/>
      <c r="G78" s="179"/>
      <c r="H78" s="179"/>
      <c r="I78" s="179"/>
    </row>
    <row r="79" spans="1:12">
      <c r="B79" s="175" t="s">
        <v>812</v>
      </c>
    </row>
    <row r="80" spans="1:12">
      <c r="B80" s="175" t="s">
        <v>803</v>
      </c>
    </row>
    <row r="81" spans="1:13">
      <c r="B81" s="175" t="s">
        <v>804</v>
      </c>
    </row>
    <row r="83" spans="1:13">
      <c r="A83" s="181"/>
      <c r="D83" s="173" t="s">
        <v>371</v>
      </c>
      <c r="E83" s="173" t="s">
        <v>372</v>
      </c>
      <c r="F83" s="173" t="s">
        <v>373</v>
      </c>
      <c r="G83" s="173" t="s">
        <v>374</v>
      </c>
      <c r="H83" s="173" t="s">
        <v>375</v>
      </c>
      <c r="I83" s="173" t="s">
        <v>376</v>
      </c>
      <c r="J83" s="181"/>
    </row>
    <row r="84" spans="1:13" ht="30">
      <c r="A84" s="181"/>
      <c r="D84" s="188" t="s">
        <v>111</v>
      </c>
      <c r="E84" s="188" t="s">
        <v>805</v>
      </c>
      <c r="F84" s="188" t="s">
        <v>806</v>
      </c>
      <c r="G84" s="188" t="s">
        <v>203</v>
      </c>
      <c r="H84" s="188" t="s">
        <v>807</v>
      </c>
      <c r="I84" s="188" t="s">
        <v>808</v>
      </c>
      <c r="J84" s="181"/>
    </row>
    <row r="85" spans="1:13">
      <c r="A85" s="181"/>
      <c r="E85" s="181"/>
      <c r="F85" s="181"/>
      <c r="G85" s="181"/>
      <c r="H85" s="181"/>
      <c r="I85" s="184"/>
      <c r="J85" s="181"/>
    </row>
    <row r="86" spans="1:13">
      <c r="A86" s="181"/>
      <c r="B86" s="820" t="str">
        <f>B13</f>
        <v>Forecast Period</v>
      </c>
      <c r="C86" s="820"/>
      <c r="D86" s="181" t="s">
        <v>788</v>
      </c>
      <c r="E86" s="181" t="s">
        <v>789</v>
      </c>
      <c r="F86" s="181" t="s">
        <v>790</v>
      </c>
      <c r="G86" s="181" t="s">
        <v>791</v>
      </c>
      <c r="H86" s="181" t="s">
        <v>789</v>
      </c>
      <c r="I86" s="181" t="s">
        <v>792</v>
      </c>
      <c r="J86" s="181"/>
    </row>
    <row r="87" spans="1:13">
      <c r="A87" s="182" t="s">
        <v>100</v>
      </c>
      <c r="B87" s="182" t="str">
        <f>B14</f>
        <v>Month</v>
      </c>
      <c r="C87" s="182" t="str">
        <f>C14</f>
        <v>Year</v>
      </c>
      <c r="D87" s="182" t="s">
        <v>798</v>
      </c>
      <c r="E87" s="182" t="s">
        <v>794</v>
      </c>
      <c r="F87" s="182" t="s">
        <v>795</v>
      </c>
      <c r="G87" s="182" t="s">
        <v>796</v>
      </c>
      <c r="H87" s="182" t="s">
        <v>797</v>
      </c>
      <c r="I87" s="182" t="s">
        <v>798</v>
      </c>
      <c r="J87" s="182" t="str">
        <f>A87</f>
        <v>Line</v>
      </c>
      <c r="L87" s="192"/>
      <c r="M87" s="182"/>
    </row>
    <row r="88" spans="1:13">
      <c r="A88" s="181">
        <v>300</v>
      </c>
      <c r="B88" s="180" t="str">
        <f t="shared" ref="B88:B111" si="10">B52</f>
        <v>January</v>
      </c>
      <c r="C88" s="155">
        <f>'1-BaseTRR'!$G$2+1</f>
        <v>2022</v>
      </c>
      <c r="D88" s="470">
        <v>40545163.274269104</v>
      </c>
      <c r="E88" s="198">
        <f>D88</f>
        <v>40545163.274269104</v>
      </c>
      <c r="F88" s="198">
        <f>E88*'12-DepRates'!$N$21/12</f>
        <v>96779.70752347802</v>
      </c>
      <c r="G88" s="470">
        <v>2626725.3635267438</v>
      </c>
      <c r="H88" s="198">
        <f>F88-G88</f>
        <v>-2529945.6560032656</v>
      </c>
      <c r="I88" s="198">
        <f>E88-H88</f>
        <v>43075108.930272371</v>
      </c>
      <c r="J88" s="181">
        <f t="shared" ref="J88:J112" si="11">A88</f>
        <v>300</v>
      </c>
      <c r="K88" s="193"/>
      <c r="L88" s="194"/>
      <c r="M88" s="19"/>
    </row>
    <row r="89" spans="1:13">
      <c r="A89" s="181">
        <f t="shared" si="6"/>
        <v>301</v>
      </c>
      <c r="B89" s="180" t="str">
        <f t="shared" si="10"/>
        <v>February</v>
      </c>
      <c r="C89" s="155">
        <f>'1-BaseTRR'!$G$2+1</f>
        <v>2022</v>
      </c>
      <c r="D89" s="470">
        <v>76622444.994817168</v>
      </c>
      <c r="E89" s="198">
        <f>E88+D89</f>
        <v>117167608.26908627</v>
      </c>
      <c r="F89" s="198">
        <f>E89*'12-DepRates'!$N$21/12</f>
        <v>279674.46530678764</v>
      </c>
      <c r="G89" s="470">
        <v>3561845.1014160635</v>
      </c>
      <c r="H89" s="198">
        <f>H88+F89-G89</f>
        <v>-5812116.2921125414</v>
      </c>
      <c r="I89" s="198">
        <f t="shared" ref="I89:I111" si="12">E89-H89</f>
        <v>122979724.56119882</v>
      </c>
      <c r="J89" s="181">
        <f t="shared" si="11"/>
        <v>301</v>
      </c>
      <c r="K89" s="193"/>
      <c r="L89" s="194"/>
      <c r="M89" s="19"/>
    </row>
    <row r="90" spans="1:13">
      <c r="A90" s="181">
        <f t="shared" si="6"/>
        <v>302</v>
      </c>
      <c r="B90" s="180" t="str">
        <f t="shared" si="10"/>
        <v>March</v>
      </c>
      <c r="C90" s="155">
        <f>'1-BaseTRR'!$G$2+1</f>
        <v>2022</v>
      </c>
      <c r="D90" s="470">
        <v>67034160.839608982</v>
      </c>
      <c r="E90" s="198">
        <f t="shared" ref="E90:E111" si="13">E89+D90</f>
        <v>184201769.10869527</v>
      </c>
      <c r="F90" s="198">
        <f>E90*'12-DepRates'!$N$21/12</f>
        <v>439682.36652681528</v>
      </c>
      <c r="G90" s="470">
        <v>3724544.1670283885</v>
      </c>
      <c r="H90" s="198">
        <f t="shared" ref="H90:H111" si="14">H89+F90-G90</f>
        <v>-9096978.0926141143</v>
      </c>
      <c r="I90" s="198">
        <f t="shared" si="12"/>
        <v>193298747.20130938</v>
      </c>
      <c r="J90" s="181">
        <f t="shared" si="11"/>
        <v>302</v>
      </c>
      <c r="K90" s="193"/>
      <c r="L90" s="194"/>
      <c r="M90" s="19"/>
    </row>
    <row r="91" spans="1:13">
      <c r="A91" s="181">
        <f t="shared" si="6"/>
        <v>303</v>
      </c>
      <c r="B91" s="180" t="str">
        <f t="shared" si="10"/>
        <v>April</v>
      </c>
      <c r="C91" s="155">
        <f>'1-BaseTRR'!$G$2+1</f>
        <v>2022</v>
      </c>
      <c r="D91" s="470">
        <v>40948270.398668379</v>
      </c>
      <c r="E91" s="198">
        <f t="shared" si="13"/>
        <v>225150039.50736365</v>
      </c>
      <c r="F91" s="198">
        <f>E91*'12-DepRates'!$N$21/12</f>
        <v>537424.27487647056</v>
      </c>
      <c r="G91" s="470">
        <v>3094369.6181013314</v>
      </c>
      <c r="H91" s="198">
        <f t="shared" si="14"/>
        <v>-11653923.435838975</v>
      </c>
      <c r="I91" s="198">
        <f t="shared" si="12"/>
        <v>236803962.94320261</v>
      </c>
      <c r="J91" s="181">
        <f t="shared" si="11"/>
        <v>303</v>
      </c>
      <c r="K91" s="193"/>
      <c r="L91" s="194"/>
      <c r="M91" s="19"/>
    </row>
    <row r="92" spans="1:13">
      <c r="A92" s="181">
        <f t="shared" si="6"/>
        <v>304</v>
      </c>
      <c r="B92" s="180" t="str">
        <f t="shared" si="10"/>
        <v>May</v>
      </c>
      <c r="C92" s="155">
        <f>'1-BaseTRR'!$G$2+1</f>
        <v>2022</v>
      </c>
      <c r="D92" s="470">
        <v>59495673.580225348</v>
      </c>
      <c r="E92" s="198">
        <f t="shared" si="13"/>
        <v>284645713.08758903</v>
      </c>
      <c r="F92" s="198">
        <f>E92*'12-DepRates'!$N$21/12</f>
        <v>679438.10397506168</v>
      </c>
      <c r="G92" s="470">
        <v>3864246.7693566941</v>
      </c>
      <c r="H92" s="198">
        <f t="shared" si="14"/>
        <v>-14838732.101220608</v>
      </c>
      <c r="I92" s="198">
        <f t="shared" si="12"/>
        <v>299484445.18880963</v>
      </c>
      <c r="J92" s="181">
        <f t="shared" si="11"/>
        <v>304</v>
      </c>
      <c r="K92" s="193"/>
      <c r="L92" s="194"/>
      <c r="M92" s="19"/>
    </row>
    <row r="93" spans="1:13">
      <c r="A93" s="181">
        <f t="shared" si="6"/>
        <v>305</v>
      </c>
      <c r="B93" s="180" t="str">
        <f t="shared" si="10"/>
        <v xml:space="preserve">June </v>
      </c>
      <c r="C93" s="155">
        <f>'1-BaseTRR'!$G$2+1</f>
        <v>2022</v>
      </c>
      <c r="D93" s="470">
        <v>47713816.111274667</v>
      </c>
      <c r="E93" s="198">
        <f t="shared" si="13"/>
        <v>332359529.19886369</v>
      </c>
      <c r="F93" s="198">
        <f>E93*'12-DepRates'!$N$21/12</f>
        <v>793329.10342279833</v>
      </c>
      <c r="G93" s="470">
        <v>3604161.1799115841</v>
      </c>
      <c r="H93" s="198">
        <f t="shared" si="14"/>
        <v>-17649564.177709393</v>
      </c>
      <c r="I93" s="198">
        <f t="shared" si="12"/>
        <v>350009093.37657309</v>
      </c>
      <c r="J93" s="181">
        <f t="shared" si="11"/>
        <v>305</v>
      </c>
      <c r="K93" s="193"/>
      <c r="L93" s="194"/>
      <c r="M93" s="19"/>
    </row>
    <row r="94" spans="1:13">
      <c r="A94" s="181">
        <f t="shared" si="6"/>
        <v>306</v>
      </c>
      <c r="B94" s="180" t="str">
        <f t="shared" si="10"/>
        <v>July</v>
      </c>
      <c r="C94" s="155">
        <f>'1-BaseTRR'!$G$2+1</f>
        <v>2022</v>
      </c>
      <c r="D94" s="470">
        <v>27893626.341579974</v>
      </c>
      <c r="E94" s="198">
        <f t="shared" si="13"/>
        <v>360253155.54044366</v>
      </c>
      <c r="F94" s="198">
        <f>E94*'12-DepRates'!$N$21/12</f>
        <v>859910.0906751171</v>
      </c>
      <c r="G94" s="470">
        <v>2941819.9813897908</v>
      </c>
      <c r="H94" s="198">
        <f t="shared" si="14"/>
        <v>-19731474.068424068</v>
      </c>
      <c r="I94" s="198">
        <f t="shared" si="12"/>
        <v>379984629.6088677</v>
      </c>
      <c r="J94" s="181">
        <f t="shared" si="11"/>
        <v>306</v>
      </c>
      <c r="K94" s="193"/>
      <c r="L94" s="194"/>
      <c r="M94" s="19"/>
    </row>
    <row r="95" spans="1:13">
      <c r="A95" s="181">
        <f t="shared" si="6"/>
        <v>307</v>
      </c>
      <c r="B95" s="180" t="str">
        <f t="shared" si="10"/>
        <v>August</v>
      </c>
      <c r="C95" s="155">
        <f>'1-BaseTRR'!$G$2+1</f>
        <v>2022</v>
      </c>
      <c r="D95" s="470">
        <v>42147463.598647133</v>
      </c>
      <c r="E95" s="198">
        <f t="shared" si="13"/>
        <v>402400619.13909078</v>
      </c>
      <c r="F95" s="198">
        <f>E95*'12-DepRates'!$N$21/12</f>
        <v>960514.42595281324</v>
      </c>
      <c r="G95" s="470">
        <v>3991393.725656678</v>
      </c>
      <c r="H95" s="198">
        <f t="shared" si="14"/>
        <v>-22762353.368127931</v>
      </c>
      <c r="I95" s="198">
        <f t="shared" si="12"/>
        <v>425162972.50721872</v>
      </c>
      <c r="J95" s="181">
        <f t="shared" si="11"/>
        <v>307</v>
      </c>
      <c r="K95" s="193"/>
      <c r="L95" s="194"/>
      <c r="M95" s="19"/>
    </row>
    <row r="96" spans="1:13">
      <c r="A96" s="181">
        <f t="shared" si="6"/>
        <v>308</v>
      </c>
      <c r="B96" s="180" t="str">
        <f t="shared" si="10"/>
        <v>September</v>
      </c>
      <c r="C96" s="155">
        <f>'1-BaseTRR'!$G$2+1</f>
        <v>2022</v>
      </c>
      <c r="D96" s="470">
        <v>60065041.671645835</v>
      </c>
      <c r="E96" s="198">
        <f t="shared" si="13"/>
        <v>462465660.8107366</v>
      </c>
      <c r="F96" s="198">
        <f>E96*'12-DepRates'!$N$21/12</f>
        <v>1103887.3142562751</v>
      </c>
      <c r="G96" s="470">
        <v>5214502.7866193568</v>
      </c>
      <c r="H96" s="198">
        <f t="shared" si="14"/>
        <v>-26872968.840491012</v>
      </c>
      <c r="I96" s="198">
        <f t="shared" si="12"/>
        <v>489338629.65122759</v>
      </c>
      <c r="J96" s="181">
        <f t="shared" si="11"/>
        <v>308</v>
      </c>
      <c r="K96" s="193"/>
      <c r="L96" s="194"/>
      <c r="M96" s="19"/>
    </row>
    <row r="97" spans="1:13">
      <c r="A97" s="181">
        <f t="shared" si="6"/>
        <v>309</v>
      </c>
      <c r="B97" s="180" t="str">
        <f t="shared" si="10"/>
        <v xml:space="preserve">October </v>
      </c>
      <c r="C97" s="155">
        <f>'1-BaseTRR'!$G$2+1</f>
        <v>2022</v>
      </c>
      <c r="D97" s="470">
        <v>31056864.821901321</v>
      </c>
      <c r="E97" s="198">
        <f t="shared" si="13"/>
        <v>493522525.63263792</v>
      </c>
      <c r="F97" s="198">
        <f>E97*'12-DepRates'!$N$21/12</f>
        <v>1178018.8271503735</v>
      </c>
      <c r="G97" s="470">
        <v>3865176.8982442226</v>
      </c>
      <c r="H97" s="198">
        <f t="shared" si="14"/>
        <v>-29560126.911584862</v>
      </c>
      <c r="I97" s="198">
        <f t="shared" si="12"/>
        <v>523082652.54422277</v>
      </c>
      <c r="J97" s="181">
        <f t="shared" si="11"/>
        <v>309</v>
      </c>
      <c r="K97" s="193"/>
      <c r="L97" s="194"/>
      <c r="M97" s="19"/>
    </row>
    <row r="98" spans="1:13">
      <c r="A98" s="181">
        <f t="shared" si="6"/>
        <v>310</v>
      </c>
      <c r="B98" s="180" t="str">
        <f t="shared" si="10"/>
        <v>November</v>
      </c>
      <c r="C98" s="155">
        <f>'1-BaseTRR'!$G$2+1</f>
        <v>2022</v>
      </c>
      <c r="D98" s="470">
        <v>73899925.843379289</v>
      </c>
      <c r="E98" s="198">
        <f t="shared" si="13"/>
        <v>567422451.47601724</v>
      </c>
      <c r="F98" s="198">
        <f>E98*'12-DepRates'!$N$21/12</f>
        <v>1354415.0389685116</v>
      </c>
      <c r="G98" s="470">
        <v>3795298.3861408145</v>
      </c>
      <c r="H98" s="198">
        <f t="shared" si="14"/>
        <v>-32001010.258757167</v>
      </c>
      <c r="I98" s="198">
        <f t="shared" si="12"/>
        <v>599423461.73477435</v>
      </c>
      <c r="J98" s="181">
        <f t="shared" si="11"/>
        <v>310</v>
      </c>
      <c r="K98" s="193"/>
      <c r="L98" s="194"/>
      <c r="M98" s="19"/>
    </row>
    <row r="99" spans="1:13">
      <c r="A99" s="181">
        <f t="shared" si="6"/>
        <v>311</v>
      </c>
      <c r="B99" s="180" t="str">
        <f t="shared" si="10"/>
        <v>December</v>
      </c>
      <c r="C99" s="155">
        <f>'1-BaseTRR'!$G$2+1</f>
        <v>2022</v>
      </c>
      <c r="D99" s="470">
        <v>103847874.53306054</v>
      </c>
      <c r="E99" s="198">
        <f t="shared" si="13"/>
        <v>671270326.00907779</v>
      </c>
      <c r="F99" s="198">
        <f>E99*'12-DepRates'!$N$21/12</f>
        <v>1602295.8245571253</v>
      </c>
      <c r="G99" s="470">
        <v>4206373.6814041836</v>
      </c>
      <c r="H99" s="198">
        <f t="shared" si="14"/>
        <v>-34605088.115604222</v>
      </c>
      <c r="I99" s="198">
        <f t="shared" si="12"/>
        <v>705875414.12468195</v>
      </c>
      <c r="J99" s="181">
        <f t="shared" si="11"/>
        <v>311</v>
      </c>
      <c r="K99" s="193"/>
      <c r="L99" s="194"/>
      <c r="M99" s="19"/>
    </row>
    <row r="100" spans="1:13">
      <c r="A100" s="181">
        <f t="shared" si="6"/>
        <v>312</v>
      </c>
      <c r="B100" s="180" t="str">
        <f t="shared" si="10"/>
        <v>January</v>
      </c>
      <c r="C100" s="155">
        <f>'1-BaseTRR'!$G$1</f>
        <v>2023</v>
      </c>
      <c r="D100" s="470">
        <v>29755740.235952228</v>
      </c>
      <c r="E100" s="198">
        <f t="shared" si="13"/>
        <v>701026066.24503005</v>
      </c>
      <c r="F100" s="198">
        <f>E100*'12-DepRates'!$N$21/12</f>
        <v>1673321.6043202963</v>
      </c>
      <c r="G100" s="470">
        <v>2774289.0037800441</v>
      </c>
      <c r="H100" s="198">
        <f t="shared" si="14"/>
        <v>-35706055.515063971</v>
      </c>
      <c r="I100" s="198">
        <f t="shared" si="12"/>
        <v>736732121.76009405</v>
      </c>
      <c r="J100" s="181">
        <f t="shared" si="11"/>
        <v>312</v>
      </c>
      <c r="K100" s="193"/>
      <c r="L100" s="194"/>
      <c r="M100" s="19"/>
    </row>
    <row r="101" spans="1:13">
      <c r="A101" s="181">
        <f t="shared" si="6"/>
        <v>313</v>
      </c>
      <c r="B101" s="180" t="str">
        <f t="shared" si="10"/>
        <v>February</v>
      </c>
      <c r="C101" s="184">
        <f>'1-BaseTRR'!$G$1</f>
        <v>2023</v>
      </c>
      <c r="D101" s="470">
        <v>59034776.705175608</v>
      </c>
      <c r="E101" s="198">
        <f t="shared" si="13"/>
        <v>760060842.95020568</v>
      </c>
      <c r="F101" s="198">
        <f>E101*'12-DepRates'!$N$21/12</f>
        <v>1814235.2907344429</v>
      </c>
      <c r="G101" s="470">
        <v>2431697.4144270541</v>
      </c>
      <c r="H101" s="198">
        <f t="shared" si="14"/>
        <v>-36323517.638756588</v>
      </c>
      <c r="I101" s="198">
        <f t="shared" si="12"/>
        <v>796384360.58896232</v>
      </c>
      <c r="J101" s="181">
        <f t="shared" si="11"/>
        <v>313</v>
      </c>
      <c r="K101" s="193"/>
      <c r="L101" s="194"/>
      <c r="M101" s="19"/>
    </row>
    <row r="102" spans="1:13">
      <c r="A102" s="181">
        <f t="shared" si="6"/>
        <v>314</v>
      </c>
      <c r="B102" s="180" t="str">
        <f t="shared" si="10"/>
        <v>March</v>
      </c>
      <c r="C102" s="184">
        <f>'1-BaseTRR'!$G$1</f>
        <v>2023</v>
      </c>
      <c r="D102" s="470">
        <v>66663799.248909086</v>
      </c>
      <c r="E102" s="198">
        <f t="shared" si="13"/>
        <v>826724642.1991148</v>
      </c>
      <c r="F102" s="198">
        <f>E102*'12-DepRates'!$N$21/12</f>
        <v>1973359.1534272758</v>
      </c>
      <c r="G102" s="470">
        <v>2494148.0066020098</v>
      </c>
      <c r="H102" s="198">
        <f t="shared" si="14"/>
        <v>-36844306.491931327</v>
      </c>
      <c r="I102" s="198">
        <f t="shared" si="12"/>
        <v>863568948.69104612</v>
      </c>
      <c r="J102" s="181">
        <f t="shared" si="11"/>
        <v>314</v>
      </c>
      <c r="K102" s="193"/>
      <c r="L102" s="194"/>
      <c r="M102" s="19"/>
    </row>
    <row r="103" spans="1:13">
      <c r="A103" s="181">
        <f t="shared" si="6"/>
        <v>315</v>
      </c>
      <c r="B103" s="180" t="str">
        <f t="shared" si="10"/>
        <v>April</v>
      </c>
      <c r="C103" s="184">
        <f>'1-BaseTRR'!$G$1</f>
        <v>2023</v>
      </c>
      <c r="D103" s="470">
        <v>40288964.370863013</v>
      </c>
      <c r="E103" s="198">
        <f t="shared" si="13"/>
        <v>867013606.56997776</v>
      </c>
      <c r="F103" s="198">
        <f>E103*'12-DepRates'!$N$21/12</f>
        <v>2069527.3242608716</v>
      </c>
      <c r="G103" s="470">
        <v>2303971.3703123201</v>
      </c>
      <c r="H103" s="198">
        <f t="shared" si="14"/>
        <v>-37078750.537982777</v>
      </c>
      <c r="I103" s="198">
        <f t="shared" si="12"/>
        <v>904092357.10796058</v>
      </c>
      <c r="J103" s="181">
        <f t="shared" si="11"/>
        <v>315</v>
      </c>
      <c r="K103" s="193"/>
      <c r="L103" s="194"/>
      <c r="M103" s="19"/>
    </row>
    <row r="104" spans="1:13">
      <c r="A104" s="181">
        <f t="shared" si="6"/>
        <v>316</v>
      </c>
      <c r="B104" s="180" t="str">
        <f t="shared" si="10"/>
        <v>May</v>
      </c>
      <c r="C104" s="184">
        <f>'1-BaseTRR'!$G$1</f>
        <v>2023</v>
      </c>
      <c r="D104" s="470">
        <v>125082425.59642603</v>
      </c>
      <c r="E104" s="198">
        <f t="shared" si="13"/>
        <v>992096032.16640377</v>
      </c>
      <c r="F104" s="198">
        <f>E104*'12-DepRates'!$N$21/12</f>
        <v>2368094.1467363825</v>
      </c>
      <c r="G104" s="470">
        <v>2384069.5055163968</v>
      </c>
      <c r="H104" s="198">
        <f t="shared" si="14"/>
        <v>-37094725.896762788</v>
      </c>
      <c r="I104" s="198">
        <f t="shared" si="12"/>
        <v>1029190758.0631666</v>
      </c>
      <c r="J104" s="181">
        <f t="shared" si="11"/>
        <v>316</v>
      </c>
      <c r="K104" s="193"/>
      <c r="L104" s="194"/>
      <c r="M104" s="19"/>
    </row>
    <row r="105" spans="1:13">
      <c r="A105" s="181">
        <f t="shared" si="6"/>
        <v>317</v>
      </c>
      <c r="B105" s="180" t="str">
        <f t="shared" si="10"/>
        <v xml:space="preserve">June </v>
      </c>
      <c r="C105" s="184">
        <f>'1-BaseTRR'!$G$1</f>
        <v>2023</v>
      </c>
      <c r="D105" s="470">
        <v>34450256.909287192</v>
      </c>
      <c r="E105" s="198">
        <f t="shared" si="13"/>
        <v>1026546289.075691</v>
      </c>
      <c r="F105" s="198">
        <f>E105*'12-DepRates'!$N$21/12</f>
        <v>2450325.5528657883</v>
      </c>
      <c r="G105" s="470">
        <v>2011420.8442106829</v>
      </c>
      <c r="H105" s="198">
        <f t="shared" si="14"/>
        <v>-36655821.188107684</v>
      </c>
      <c r="I105" s="198">
        <f t="shared" si="12"/>
        <v>1063202110.2637987</v>
      </c>
      <c r="J105" s="181">
        <f t="shared" si="11"/>
        <v>317</v>
      </c>
      <c r="K105" s="193"/>
      <c r="L105" s="194"/>
      <c r="M105" s="19"/>
    </row>
    <row r="106" spans="1:13">
      <c r="A106" s="181">
        <f t="shared" si="6"/>
        <v>318</v>
      </c>
      <c r="B106" s="180" t="str">
        <f t="shared" si="10"/>
        <v>July</v>
      </c>
      <c r="C106" s="184">
        <f>'1-BaseTRR'!$G$1</f>
        <v>2023</v>
      </c>
      <c r="D106" s="470">
        <v>51726807.834623471</v>
      </c>
      <c r="E106" s="198">
        <f t="shared" si="13"/>
        <v>1078273096.9103146</v>
      </c>
      <c r="F106" s="198">
        <f>E106*'12-DepRates'!$N$21/12</f>
        <v>2573795.4054717342</v>
      </c>
      <c r="G106" s="470">
        <v>1766971.8206584188</v>
      </c>
      <c r="H106" s="198">
        <f t="shared" si="14"/>
        <v>-35848997.603294365</v>
      </c>
      <c r="I106" s="198">
        <f t="shared" si="12"/>
        <v>1114122094.5136089</v>
      </c>
      <c r="J106" s="181">
        <f t="shared" si="11"/>
        <v>318</v>
      </c>
      <c r="K106" s="193"/>
      <c r="L106" s="194"/>
      <c r="M106" s="19"/>
    </row>
    <row r="107" spans="1:13">
      <c r="A107" s="181">
        <f t="shared" si="6"/>
        <v>319</v>
      </c>
      <c r="B107" s="180" t="str">
        <f t="shared" si="10"/>
        <v>August</v>
      </c>
      <c r="C107" s="184">
        <f>'1-BaseTRR'!$G$1</f>
        <v>2023</v>
      </c>
      <c r="D107" s="470">
        <v>36423279.791769713</v>
      </c>
      <c r="E107" s="198">
        <f t="shared" si="13"/>
        <v>1114696376.7020843</v>
      </c>
      <c r="F107" s="198">
        <f>E107*'12-DepRates'!$N$21/12</f>
        <v>2660736.3394975285</v>
      </c>
      <c r="G107" s="470">
        <v>1840029.6364347488</v>
      </c>
      <c r="H107" s="198">
        <f t="shared" si="14"/>
        <v>-35028290.900231585</v>
      </c>
      <c r="I107" s="198">
        <f t="shared" si="12"/>
        <v>1149724667.6023159</v>
      </c>
      <c r="J107" s="181">
        <f t="shared" si="11"/>
        <v>319</v>
      </c>
      <c r="K107" s="193"/>
      <c r="L107" s="194"/>
      <c r="M107" s="19"/>
    </row>
    <row r="108" spans="1:13">
      <c r="A108" s="181">
        <f t="shared" si="6"/>
        <v>320</v>
      </c>
      <c r="B108" s="180" t="str">
        <f t="shared" si="10"/>
        <v>September</v>
      </c>
      <c r="C108" s="184">
        <f>'1-BaseTRR'!$G$1</f>
        <v>2023</v>
      </c>
      <c r="D108" s="470">
        <v>34033995.460958555</v>
      </c>
      <c r="E108" s="198">
        <f t="shared" si="13"/>
        <v>1148730372.1630428</v>
      </c>
      <c r="F108" s="198">
        <f>E108*'12-DepRates'!$N$21/12</f>
        <v>2741974.1459477311</v>
      </c>
      <c r="G108" s="470">
        <v>2046094.1172362193</v>
      </c>
      <c r="H108" s="198">
        <f t="shared" si="14"/>
        <v>-34332410.871520072</v>
      </c>
      <c r="I108" s="198">
        <f t="shared" si="12"/>
        <v>1183062783.0345628</v>
      </c>
      <c r="J108" s="181">
        <f t="shared" si="11"/>
        <v>320</v>
      </c>
      <c r="K108" s="193"/>
      <c r="L108" s="194"/>
      <c r="M108" s="19"/>
    </row>
    <row r="109" spans="1:13">
      <c r="A109" s="181">
        <f t="shared" si="6"/>
        <v>321</v>
      </c>
      <c r="B109" s="180" t="str">
        <f t="shared" si="10"/>
        <v>October</v>
      </c>
      <c r="C109" s="184">
        <f>'1-BaseTRR'!$G$1</f>
        <v>2023</v>
      </c>
      <c r="D109" s="470">
        <v>55812319.09907122</v>
      </c>
      <c r="E109" s="198">
        <f t="shared" si="13"/>
        <v>1204542691.262114</v>
      </c>
      <c r="F109" s="198">
        <f>E109*'12-DepRates'!$N$21/12</f>
        <v>2875195.9529996975</v>
      </c>
      <c r="G109" s="470">
        <v>2098158.507345791</v>
      </c>
      <c r="H109" s="198">
        <f t="shared" si="14"/>
        <v>-33555373.425866164</v>
      </c>
      <c r="I109" s="198">
        <f t="shared" si="12"/>
        <v>1238098064.6879802</v>
      </c>
      <c r="J109" s="181">
        <f t="shared" si="11"/>
        <v>321</v>
      </c>
      <c r="K109" s="193"/>
      <c r="L109" s="194"/>
      <c r="M109" s="19"/>
    </row>
    <row r="110" spans="1:13">
      <c r="A110" s="181">
        <f t="shared" si="6"/>
        <v>322</v>
      </c>
      <c r="B110" s="180" t="str">
        <f t="shared" si="10"/>
        <v>November</v>
      </c>
      <c r="C110" s="184">
        <f>'1-BaseTRR'!$G$1</f>
        <v>2023</v>
      </c>
      <c r="D110" s="470">
        <v>64970636.116122574</v>
      </c>
      <c r="E110" s="198">
        <f t="shared" si="13"/>
        <v>1269513327.3782365</v>
      </c>
      <c r="F110" s="198">
        <f>E110*'12-DepRates'!$N$21/12</f>
        <v>3030278.3019940364</v>
      </c>
      <c r="G110" s="470">
        <v>1455533.0234880911</v>
      </c>
      <c r="H110" s="198">
        <f t="shared" si="14"/>
        <v>-31980628.147360217</v>
      </c>
      <c r="I110" s="198">
        <f t="shared" si="12"/>
        <v>1301493955.5255969</v>
      </c>
      <c r="J110" s="181">
        <f t="shared" si="11"/>
        <v>322</v>
      </c>
      <c r="K110" s="193"/>
      <c r="L110" s="194"/>
      <c r="M110" s="19"/>
    </row>
    <row r="111" spans="1:13">
      <c r="A111" s="181">
        <f t="shared" si="6"/>
        <v>323</v>
      </c>
      <c r="B111" s="189" t="str">
        <f t="shared" si="10"/>
        <v>December</v>
      </c>
      <c r="C111" s="186">
        <f>'1-BaseTRR'!$G$1</f>
        <v>2023</v>
      </c>
      <c r="D111" s="474">
        <v>71131190.169176087</v>
      </c>
      <c r="E111" s="469">
        <f t="shared" si="13"/>
        <v>1340644517.5474126</v>
      </c>
      <c r="F111" s="469">
        <f>E111*'12-DepRates'!$N$21/12</f>
        <v>3200065.6508277883</v>
      </c>
      <c r="G111" s="474">
        <v>1275845.5515601705</v>
      </c>
      <c r="H111" s="469">
        <f t="shared" si="14"/>
        <v>-30056408.0480926</v>
      </c>
      <c r="I111" s="469">
        <f t="shared" si="12"/>
        <v>1370700925.5955052</v>
      </c>
      <c r="J111" s="181">
        <f t="shared" si="11"/>
        <v>323</v>
      </c>
      <c r="K111" s="193"/>
      <c r="L111" s="194"/>
      <c r="M111" s="19"/>
    </row>
    <row r="112" spans="1:13">
      <c r="A112" s="181">
        <f t="shared" si="6"/>
        <v>324</v>
      </c>
      <c r="B112" s="176"/>
      <c r="C112" s="181" t="s">
        <v>810</v>
      </c>
      <c r="D112" s="198"/>
      <c r="E112" s="199">
        <f>SUM(E99:E111)/13</f>
        <v>1000087552.8599006</v>
      </c>
      <c r="F112" s="198"/>
      <c r="G112" s="198"/>
      <c r="H112" s="198"/>
      <c r="I112" s="199">
        <f>SUM(I99:I111)/13</f>
        <v>1035096043.1968677</v>
      </c>
      <c r="J112" s="181">
        <f t="shared" si="11"/>
        <v>324</v>
      </c>
    </row>
    <row r="113" spans="1:10">
      <c r="A113" s="181"/>
      <c r="D113" s="195"/>
      <c r="F113" s="183"/>
      <c r="I113" s="183"/>
      <c r="J113" s="181"/>
    </row>
    <row r="114" spans="1:10">
      <c r="A114" s="181"/>
      <c r="J114" s="181"/>
    </row>
    <row r="115" spans="1:10">
      <c r="A115" s="181"/>
      <c r="B115" s="7" t="s">
        <v>306</v>
      </c>
      <c r="J115" s="181"/>
    </row>
    <row r="116" spans="1:10">
      <c r="A116" s="181"/>
      <c r="B116" s="416" t="s">
        <v>813</v>
      </c>
      <c r="C116" s="416"/>
      <c r="D116" s="416"/>
      <c r="E116" s="416"/>
      <c r="F116" s="416"/>
      <c r="G116" s="416"/>
      <c r="H116" s="416"/>
      <c r="J116" s="181"/>
    </row>
    <row r="117" spans="1:10">
      <c r="A117" s="181"/>
      <c r="B117" s="416" t="s">
        <v>814</v>
      </c>
      <c r="C117" s="416"/>
      <c r="D117" s="416"/>
      <c r="E117" s="416"/>
      <c r="F117" s="416"/>
      <c r="G117" s="416"/>
      <c r="H117" s="416"/>
      <c r="J117" s="181"/>
    </row>
    <row r="118" spans="1:10">
      <c r="A118" s="181"/>
      <c r="B118" s="416" t="s">
        <v>684</v>
      </c>
      <c r="C118" s="416"/>
      <c r="D118" s="416"/>
      <c r="E118" s="416"/>
      <c r="F118" s="416"/>
      <c r="G118" s="416"/>
      <c r="H118" s="416"/>
      <c r="J118" s="181"/>
    </row>
    <row r="119" spans="1:10">
      <c r="A119" s="181"/>
      <c r="C119" s="198"/>
      <c r="D119" s="198"/>
      <c r="E119" s="20"/>
      <c r="J119" s="181"/>
    </row>
    <row r="120" spans="1:10">
      <c r="A120" s="181"/>
      <c r="B120" s="198"/>
      <c r="C120" s="198"/>
      <c r="D120" s="198"/>
      <c r="E120" s="20"/>
      <c r="J120" s="181"/>
    </row>
    <row r="121" spans="1:10">
      <c r="A121" s="181"/>
      <c r="B121" s="198"/>
      <c r="C121" s="198"/>
      <c r="D121" s="198"/>
      <c r="E121" s="20"/>
      <c r="H121" s="198"/>
      <c r="J121" s="181"/>
    </row>
    <row r="122" spans="1:10">
      <c r="A122" s="181"/>
      <c r="B122" s="198"/>
      <c r="C122" s="198"/>
      <c r="D122" s="198"/>
      <c r="E122" s="20"/>
      <c r="J122" s="181"/>
    </row>
    <row r="123" spans="1:10">
      <c r="A123" s="181"/>
      <c r="B123" s="198"/>
      <c r="C123" s="198"/>
      <c r="D123" s="198"/>
      <c r="E123" s="20"/>
      <c r="J123" s="181"/>
    </row>
    <row r="124" spans="1:10">
      <c r="A124" s="181"/>
      <c r="B124" s="198"/>
      <c r="C124" s="198"/>
      <c r="D124" s="198"/>
      <c r="E124" s="20"/>
      <c r="J124" s="181"/>
    </row>
    <row r="125" spans="1:10">
      <c r="A125" s="181"/>
      <c r="B125" s="198"/>
      <c r="C125" s="198"/>
      <c r="D125" s="198"/>
      <c r="E125" s="20"/>
      <c r="J125" s="181"/>
    </row>
    <row r="126" spans="1:10">
      <c r="A126" s="181"/>
      <c r="B126" s="198"/>
      <c r="C126" s="198"/>
      <c r="D126" s="198"/>
      <c r="E126" s="20"/>
      <c r="J126" s="181"/>
    </row>
    <row r="127" spans="1:10">
      <c r="A127" s="181"/>
      <c r="B127" s="199"/>
      <c r="C127" s="199"/>
      <c r="D127" s="199"/>
      <c r="E127" s="200"/>
      <c r="J127" s="181"/>
    </row>
    <row r="128" spans="1:10">
      <c r="A128" s="181"/>
      <c r="B128" s="197"/>
      <c r="J128" s="181"/>
    </row>
  </sheetData>
  <mergeCells count="3">
    <mergeCell ref="B13:C13"/>
    <mergeCell ref="B50:C50"/>
    <mergeCell ref="B86:C86"/>
  </mergeCells>
  <printOptions horizontalCentered="1"/>
  <pageMargins left="1" right="1" top="1" bottom="1" header="0.5" footer="0.5"/>
  <pageSetup scale="45" fitToHeight="0" orientation="portrait" r:id="rId1"/>
  <headerFooter>
    <oddHeader>&amp;C&amp;"-,Bold"&amp;12Pacific Gas and Electric Company
Formula Rate Model
Schedule 9-PlantAdditions</oddHeader>
  </headerFooter>
  <rowBreaks count="1" manualBreakCount="1">
    <brk id="76" max="16383" man="1"/>
  </rowBreaks>
  <customProperties>
    <customPr name="_pios_id" r:id="rId2"/>
    <customPr name="EpmWorksheetKeyString_GUID" r:id="rId3"/>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view="pageBreakPreview" topLeftCell="A85" zoomScaleNormal="75" zoomScaleSheetLayoutView="100" zoomScalePageLayoutView="55" workbookViewId="0">
      <selection activeCell="G114" sqref="G114"/>
    </sheetView>
  </sheetViews>
  <sheetFormatPr defaultColWidth="8.85546875" defaultRowHeight="15"/>
  <cols>
    <col min="1" max="1" width="6.7109375" bestFit="1" customWidth="1"/>
    <col min="2" max="3" width="10.5703125" customWidth="1"/>
    <col min="4" max="4" width="18.85546875" customWidth="1"/>
    <col min="5" max="5" width="18" customWidth="1"/>
    <col min="6" max="6" width="18.28515625" customWidth="1"/>
    <col min="7" max="7" width="16.7109375" customWidth="1"/>
    <col min="8" max="8" width="19" customWidth="1"/>
    <col min="9" max="9" width="16.7109375" customWidth="1"/>
    <col min="10" max="11" width="18.140625" customWidth="1"/>
    <col min="12" max="12" width="18" customWidth="1"/>
    <col min="13" max="15" width="16.7109375" customWidth="1"/>
    <col min="16" max="16" width="21.5703125" bestFit="1" customWidth="1"/>
    <col min="17" max="17" width="18.85546875" customWidth="1"/>
    <col min="18" max="18" width="6.7109375" bestFit="1" customWidth="1"/>
  </cols>
  <sheetData>
    <row r="1" spans="1:18">
      <c r="B1" s="2" t="s">
        <v>32</v>
      </c>
      <c r="H1" s="139"/>
      <c r="J1" s="8"/>
      <c r="O1" s="4"/>
      <c r="P1" s="6" t="str">
        <f>CONCATENATE("Prior Year: ",'1-BaseTRR'!$G$2)</f>
        <v>Prior Year: 2021</v>
      </c>
    </row>
    <row r="2" spans="1:18">
      <c r="B2" s="113" t="s">
        <v>131</v>
      </c>
      <c r="C2" s="42"/>
      <c r="D2" s="113"/>
      <c r="J2" s="8"/>
      <c r="O2" s="6"/>
      <c r="P2" s="6"/>
      <c r="Q2" s="6"/>
    </row>
    <row r="3" spans="1:18">
      <c r="B3" s="138"/>
    </row>
    <row r="4" spans="1:18">
      <c r="B4" s="138"/>
    </row>
    <row r="5" spans="1:18">
      <c r="B5" s="50" t="s">
        <v>815</v>
      </c>
      <c r="C5" s="50"/>
      <c r="D5" s="47"/>
      <c r="E5" s="47"/>
      <c r="F5" s="47"/>
      <c r="G5" s="47"/>
      <c r="H5" s="47"/>
      <c r="I5" s="47"/>
      <c r="J5" s="47"/>
      <c r="K5" s="47"/>
      <c r="L5" s="47"/>
      <c r="M5" s="47"/>
      <c r="N5" s="47"/>
      <c r="O5" s="47"/>
      <c r="P5" s="47"/>
      <c r="Q5" s="47"/>
    </row>
    <row r="6" spans="1:18">
      <c r="B6" s="149" t="s">
        <v>816</v>
      </c>
    </row>
    <row r="7" spans="1:18">
      <c r="B7" s="149" t="s">
        <v>817</v>
      </c>
    </row>
    <row r="9" spans="1:18">
      <c r="A9" s="2"/>
      <c r="D9" s="118" t="s">
        <v>371</v>
      </c>
      <c r="E9" s="118" t="s">
        <v>372</v>
      </c>
      <c r="F9" s="118" t="s">
        <v>373</v>
      </c>
      <c r="G9" s="118" t="s">
        <v>374</v>
      </c>
      <c r="H9" s="118" t="s">
        <v>375</v>
      </c>
      <c r="I9" s="118" t="s">
        <v>376</v>
      </c>
      <c r="J9" s="118" t="s">
        <v>377</v>
      </c>
      <c r="K9" s="118" t="s">
        <v>378</v>
      </c>
      <c r="L9" s="118" t="s">
        <v>409</v>
      </c>
      <c r="M9" s="118" t="s">
        <v>525</v>
      </c>
      <c r="N9" s="118" t="s">
        <v>526</v>
      </c>
      <c r="O9" s="118" t="s">
        <v>527</v>
      </c>
      <c r="P9" s="118" t="s">
        <v>528</v>
      </c>
      <c r="Q9" s="118"/>
      <c r="R9" s="127"/>
    </row>
    <row r="10" spans="1:18" ht="30">
      <c r="A10" s="2"/>
      <c r="D10" s="151" t="s">
        <v>687</v>
      </c>
      <c r="E10" s="151" t="s">
        <v>687</v>
      </c>
      <c r="F10" s="151" t="s">
        <v>687</v>
      </c>
      <c r="G10" s="151" t="s">
        <v>687</v>
      </c>
      <c r="H10" s="151" t="s">
        <v>687</v>
      </c>
      <c r="I10" s="151" t="s">
        <v>687</v>
      </c>
      <c r="J10" s="151" t="s">
        <v>687</v>
      </c>
      <c r="K10" s="151" t="s">
        <v>687</v>
      </c>
      <c r="L10" s="151" t="s">
        <v>687</v>
      </c>
      <c r="M10" s="151" t="s">
        <v>687</v>
      </c>
      <c r="N10" s="151" t="s">
        <v>687</v>
      </c>
      <c r="O10" s="151" t="s">
        <v>687</v>
      </c>
      <c r="P10" s="152" t="s">
        <v>688</v>
      </c>
      <c r="Q10" s="152"/>
      <c r="R10" s="127"/>
    </row>
    <row r="11" spans="1:18">
      <c r="B11" s="4"/>
      <c r="C11" s="4"/>
      <c r="N11" s="21"/>
      <c r="P11" s="21"/>
      <c r="Q11" s="21"/>
      <c r="R11" s="127"/>
    </row>
    <row r="12" spans="1:18">
      <c r="A12" s="201"/>
      <c r="B12" s="127"/>
      <c r="C12" s="126" t="s">
        <v>689</v>
      </c>
      <c r="D12" s="119">
        <v>350.01</v>
      </c>
      <c r="E12" s="119">
        <v>350.02</v>
      </c>
      <c r="F12" s="119">
        <v>352.01</v>
      </c>
      <c r="G12" s="119">
        <v>352.02</v>
      </c>
      <c r="H12" s="119">
        <v>353.01</v>
      </c>
      <c r="I12" s="119">
        <v>353.02</v>
      </c>
      <c r="J12" s="119">
        <v>354</v>
      </c>
      <c r="K12" s="119">
        <v>355</v>
      </c>
      <c r="L12" s="119">
        <v>356</v>
      </c>
      <c r="M12" s="119">
        <v>357</v>
      </c>
      <c r="N12" s="119">
        <v>358</v>
      </c>
      <c r="O12" s="119">
        <v>359</v>
      </c>
      <c r="R12" s="127"/>
    </row>
    <row r="13" spans="1:18">
      <c r="A13" s="115" t="s">
        <v>100</v>
      </c>
      <c r="B13" s="115" t="s">
        <v>384</v>
      </c>
      <c r="C13" s="115" t="s">
        <v>420</v>
      </c>
      <c r="D13" s="118" t="s">
        <v>690</v>
      </c>
      <c r="E13" s="118" t="s">
        <v>691</v>
      </c>
      <c r="F13" s="118" t="s">
        <v>692</v>
      </c>
      <c r="G13" s="118" t="s">
        <v>693</v>
      </c>
      <c r="H13" s="118" t="s">
        <v>694</v>
      </c>
      <c r="I13" s="118" t="s">
        <v>695</v>
      </c>
      <c r="J13" s="118" t="s">
        <v>696</v>
      </c>
      <c r="K13" s="118" t="s">
        <v>697</v>
      </c>
      <c r="L13" s="118" t="s">
        <v>698</v>
      </c>
      <c r="M13" s="118" t="s">
        <v>699</v>
      </c>
      <c r="N13" s="118" t="s">
        <v>700</v>
      </c>
      <c r="O13" s="118" t="s">
        <v>701</v>
      </c>
      <c r="P13" s="115" t="s">
        <v>465</v>
      </c>
      <c r="Q13" s="115" t="s">
        <v>135</v>
      </c>
      <c r="R13" s="115" t="str">
        <f>A13</f>
        <v>Line</v>
      </c>
    </row>
    <row r="14" spans="1:18">
      <c r="A14" s="127">
        <v>100</v>
      </c>
      <c r="B14" s="149" t="s">
        <v>428</v>
      </c>
      <c r="C14" s="155">
        <f>'1-BaseTRR'!$G$2-1</f>
        <v>2020</v>
      </c>
      <c r="D14" s="476">
        <f t="shared" ref="D14:O26" si="0">+D39+D64</f>
        <v>-7829</v>
      </c>
      <c r="E14" s="476">
        <f t="shared" si="0"/>
        <v>72494733</v>
      </c>
      <c r="F14" s="476">
        <f t="shared" si="0"/>
        <v>109706920</v>
      </c>
      <c r="G14" s="476">
        <f t="shared" si="0"/>
        <v>18023615</v>
      </c>
      <c r="H14" s="476">
        <f t="shared" si="0"/>
        <v>1591956949</v>
      </c>
      <c r="I14" s="476">
        <f t="shared" si="0"/>
        <v>15966368</v>
      </c>
      <c r="J14" s="476">
        <f t="shared" si="0"/>
        <v>347587090</v>
      </c>
      <c r="K14" s="476">
        <f t="shared" si="0"/>
        <v>379206173</v>
      </c>
      <c r="L14" s="476">
        <f t="shared" si="0"/>
        <v>527564753</v>
      </c>
      <c r="M14" s="476">
        <f t="shared" si="0"/>
        <v>102565877</v>
      </c>
      <c r="N14" s="476">
        <f t="shared" si="0"/>
        <v>75168249</v>
      </c>
      <c r="O14" s="476">
        <f t="shared" si="0"/>
        <v>15292937</v>
      </c>
      <c r="P14" s="24">
        <f>SUM(D14:O14)</f>
        <v>3255525835</v>
      </c>
      <c r="Q14" s="157" t="str">
        <f>"Line "&amp;A39&amp;" + Line "&amp;A64&amp;""</f>
        <v>Line 200 + Line 300</v>
      </c>
      <c r="R14" s="127">
        <f>A14</f>
        <v>100</v>
      </c>
    </row>
    <row r="15" spans="1:18">
      <c r="A15" s="127">
        <f>A14+1</f>
        <v>101</v>
      </c>
      <c r="B15" s="149" t="s">
        <v>430</v>
      </c>
      <c r="C15" s="155">
        <f>'1-BaseTRR'!$G$2</f>
        <v>2021</v>
      </c>
      <c r="D15" s="476">
        <f t="shared" si="0"/>
        <v>-12152</v>
      </c>
      <c r="E15" s="476">
        <f t="shared" si="0"/>
        <v>72820073</v>
      </c>
      <c r="F15" s="476">
        <f t="shared" si="0"/>
        <v>110112916</v>
      </c>
      <c r="G15" s="476">
        <f t="shared" si="0"/>
        <v>18184197</v>
      </c>
      <c r="H15" s="476">
        <f t="shared" si="0"/>
        <v>1599675929</v>
      </c>
      <c r="I15" s="476">
        <f t="shared" si="0"/>
        <v>16022217</v>
      </c>
      <c r="J15" s="476">
        <f t="shared" si="0"/>
        <v>349551688</v>
      </c>
      <c r="K15" s="476">
        <f t="shared" si="0"/>
        <v>382993115</v>
      </c>
      <c r="L15" s="476">
        <f t="shared" si="0"/>
        <v>530880223</v>
      </c>
      <c r="M15" s="476">
        <f t="shared" si="0"/>
        <v>103204800</v>
      </c>
      <c r="N15" s="476">
        <f t="shared" si="0"/>
        <v>75635994</v>
      </c>
      <c r="O15" s="476">
        <f t="shared" si="0"/>
        <v>15771556</v>
      </c>
      <c r="P15" s="24">
        <f t="shared" ref="P15:P26" si="1">SUM(D15:O15)</f>
        <v>3274840556</v>
      </c>
      <c r="Q15" s="157" t="str">
        <f t="shared" ref="Q15:Q26" si="2">"Line "&amp;A40&amp;" + Line "&amp;A65&amp;""</f>
        <v>Line 201 + Line 301</v>
      </c>
      <c r="R15" s="127">
        <f t="shared" ref="R15:R27" si="3">A15</f>
        <v>101</v>
      </c>
    </row>
    <row r="16" spans="1:18">
      <c r="A16" s="127">
        <f t="shared" ref="A16:A27" si="4">A15+1</f>
        <v>102</v>
      </c>
      <c r="B16" s="149" t="s">
        <v>431</v>
      </c>
      <c r="C16" s="155">
        <f>'1-BaseTRR'!$G$2</f>
        <v>2021</v>
      </c>
      <c r="D16" s="476">
        <f t="shared" si="0"/>
        <v>-12153</v>
      </c>
      <c r="E16" s="476">
        <f t="shared" si="0"/>
        <v>73144644</v>
      </c>
      <c r="F16" s="476">
        <f t="shared" si="0"/>
        <v>110670902</v>
      </c>
      <c r="G16" s="476">
        <f t="shared" si="0"/>
        <v>18339071</v>
      </c>
      <c r="H16" s="476">
        <f t="shared" si="0"/>
        <v>1614034027</v>
      </c>
      <c r="I16" s="476">
        <f t="shared" si="0"/>
        <v>16076831</v>
      </c>
      <c r="J16" s="476">
        <f t="shared" si="0"/>
        <v>350473196</v>
      </c>
      <c r="K16" s="476">
        <f t="shared" si="0"/>
        <v>386085503</v>
      </c>
      <c r="L16" s="476">
        <f t="shared" si="0"/>
        <v>532621155</v>
      </c>
      <c r="M16" s="476">
        <f t="shared" si="0"/>
        <v>103856751</v>
      </c>
      <c r="N16" s="476">
        <f t="shared" si="0"/>
        <v>76118155</v>
      </c>
      <c r="O16" s="476">
        <f t="shared" si="0"/>
        <v>15991718</v>
      </c>
      <c r="P16" s="24">
        <f t="shared" si="1"/>
        <v>3297399800</v>
      </c>
      <c r="Q16" s="157" t="str">
        <f t="shared" si="2"/>
        <v>Line 202 + Line 302</v>
      </c>
      <c r="R16" s="127">
        <f t="shared" si="3"/>
        <v>102</v>
      </c>
    </row>
    <row r="17" spans="1:18">
      <c r="A17" s="127">
        <f t="shared" si="4"/>
        <v>103</v>
      </c>
      <c r="B17" s="149" t="s">
        <v>432</v>
      </c>
      <c r="C17" s="155">
        <f>'1-BaseTRR'!$G$2</f>
        <v>2021</v>
      </c>
      <c r="D17" s="476">
        <f t="shared" si="0"/>
        <v>-12154</v>
      </c>
      <c r="E17" s="476">
        <f t="shared" si="0"/>
        <v>73445619</v>
      </c>
      <c r="F17" s="476">
        <f t="shared" si="0"/>
        <v>111226667</v>
      </c>
      <c r="G17" s="476">
        <f t="shared" si="0"/>
        <v>18495083</v>
      </c>
      <c r="H17" s="476">
        <f t="shared" si="0"/>
        <v>1628577426</v>
      </c>
      <c r="I17" s="476">
        <f t="shared" si="0"/>
        <v>16131435</v>
      </c>
      <c r="J17" s="476">
        <f t="shared" si="0"/>
        <v>348548265</v>
      </c>
      <c r="K17" s="476">
        <f t="shared" si="0"/>
        <v>388085538</v>
      </c>
      <c r="L17" s="476">
        <f t="shared" si="0"/>
        <v>530705263</v>
      </c>
      <c r="M17" s="476">
        <f t="shared" si="0"/>
        <v>104519683</v>
      </c>
      <c r="N17" s="476">
        <f t="shared" si="0"/>
        <v>76601875</v>
      </c>
      <c r="O17" s="476">
        <f t="shared" si="0"/>
        <v>16234628</v>
      </c>
      <c r="P17" s="24">
        <f t="shared" si="1"/>
        <v>3312559328</v>
      </c>
      <c r="Q17" s="157" t="str">
        <f t="shared" si="2"/>
        <v>Line 203 + Line 303</v>
      </c>
      <c r="R17" s="127">
        <f t="shared" si="3"/>
        <v>103</v>
      </c>
    </row>
    <row r="18" spans="1:18">
      <c r="A18" s="127">
        <f t="shared" si="4"/>
        <v>104</v>
      </c>
      <c r="B18" s="149" t="s">
        <v>433</v>
      </c>
      <c r="C18" s="155">
        <f>'1-BaseTRR'!$G$2</f>
        <v>2021</v>
      </c>
      <c r="D18" s="476">
        <f t="shared" si="0"/>
        <v>-12156</v>
      </c>
      <c r="E18" s="476">
        <f t="shared" si="0"/>
        <v>73760533</v>
      </c>
      <c r="F18" s="476">
        <f t="shared" si="0"/>
        <v>111782415</v>
      </c>
      <c r="G18" s="476">
        <f t="shared" si="0"/>
        <v>18651471</v>
      </c>
      <c r="H18" s="476">
        <f t="shared" si="0"/>
        <v>1636682013</v>
      </c>
      <c r="I18" s="476">
        <f t="shared" si="0"/>
        <v>16186442</v>
      </c>
      <c r="J18" s="476">
        <f t="shared" si="0"/>
        <v>348610459</v>
      </c>
      <c r="K18" s="476">
        <f t="shared" si="0"/>
        <v>390118953</v>
      </c>
      <c r="L18" s="476">
        <f t="shared" si="0"/>
        <v>530433349</v>
      </c>
      <c r="M18" s="476">
        <f t="shared" si="0"/>
        <v>105168630</v>
      </c>
      <c r="N18" s="476">
        <f t="shared" si="0"/>
        <v>77084800</v>
      </c>
      <c r="O18" s="476">
        <f t="shared" si="0"/>
        <v>16477270</v>
      </c>
      <c r="P18" s="24">
        <f t="shared" si="1"/>
        <v>3324944179</v>
      </c>
      <c r="Q18" s="157" t="str">
        <f t="shared" si="2"/>
        <v>Line 204 + Line 304</v>
      </c>
      <c r="R18" s="127">
        <f t="shared" si="3"/>
        <v>104</v>
      </c>
    </row>
    <row r="19" spans="1:18">
      <c r="A19" s="127">
        <f t="shared" si="4"/>
        <v>105</v>
      </c>
      <c r="B19" s="149" t="s">
        <v>395</v>
      </c>
      <c r="C19" s="155">
        <f>'1-BaseTRR'!$G$2</f>
        <v>2021</v>
      </c>
      <c r="D19" s="476">
        <f t="shared" si="0"/>
        <v>-12162</v>
      </c>
      <c r="E19" s="476">
        <f t="shared" si="0"/>
        <v>74080230</v>
      </c>
      <c r="F19" s="476">
        <f t="shared" si="0"/>
        <v>112302952</v>
      </c>
      <c r="G19" s="476">
        <f t="shared" si="0"/>
        <v>18806729</v>
      </c>
      <c r="H19" s="476">
        <f t="shared" si="0"/>
        <v>1651219334</v>
      </c>
      <c r="I19" s="476">
        <f t="shared" si="0"/>
        <v>16241056</v>
      </c>
      <c r="J19" s="476">
        <f t="shared" si="0"/>
        <v>346501267</v>
      </c>
      <c r="K19" s="476">
        <f t="shared" si="0"/>
        <v>392943935</v>
      </c>
      <c r="L19" s="476">
        <f t="shared" si="0"/>
        <v>532531053</v>
      </c>
      <c r="M19" s="476">
        <f t="shared" si="0"/>
        <v>105805940</v>
      </c>
      <c r="N19" s="476">
        <f t="shared" si="0"/>
        <v>77522652</v>
      </c>
      <c r="O19" s="476">
        <f t="shared" si="0"/>
        <v>16734493</v>
      </c>
      <c r="P19" s="24">
        <f t="shared" si="1"/>
        <v>3344677479</v>
      </c>
      <c r="Q19" s="157" t="str">
        <f t="shared" si="2"/>
        <v>Line 205 + Line 305</v>
      </c>
      <c r="R19" s="127">
        <f t="shared" si="3"/>
        <v>105</v>
      </c>
    </row>
    <row r="20" spans="1:18">
      <c r="A20" s="127">
        <f t="shared" si="4"/>
        <v>106</v>
      </c>
      <c r="B20" s="149" t="s">
        <v>531</v>
      </c>
      <c r="C20" s="155">
        <f>'1-BaseTRR'!$G$2</f>
        <v>2021</v>
      </c>
      <c r="D20" s="476">
        <f t="shared" si="0"/>
        <v>-12165</v>
      </c>
      <c r="E20" s="476">
        <f t="shared" si="0"/>
        <v>74409600</v>
      </c>
      <c r="F20" s="476">
        <f t="shared" si="0"/>
        <v>112858141</v>
      </c>
      <c r="G20" s="476">
        <f t="shared" si="0"/>
        <v>18946670</v>
      </c>
      <c r="H20" s="476">
        <f t="shared" si="0"/>
        <v>1658887887</v>
      </c>
      <c r="I20" s="476">
        <f t="shared" si="0"/>
        <v>16295084</v>
      </c>
      <c r="J20" s="476">
        <f t="shared" si="0"/>
        <v>357676761</v>
      </c>
      <c r="K20" s="476">
        <f t="shared" si="0"/>
        <v>396545092</v>
      </c>
      <c r="L20" s="476">
        <f t="shared" si="0"/>
        <v>535446157</v>
      </c>
      <c r="M20" s="476">
        <f t="shared" si="0"/>
        <v>106467829</v>
      </c>
      <c r="N20" s="476">
        <f t="shared" si="0"/>
        <v>78002592</v>
      </c>
      <c r="O20" s="476">
        <f t="shared" si="0"/>
        <v>8679500</v>
      </c>
      <c r="P20" s="24">
        <f t="shared" si="1"/>
        <v>3364203148</v>
      </c>
      <c r="Q20" s="157" t="str">
        <f t="shared" si="2"/>
        <v>Line 206 + Line 306</v>
      </c>
      <c r="R20" s="127">
        <f t="shared" si="3"/>
        <v>106</v>
      </c>
    </row>
    <row r="21" spans="1:18">
      <c r="A21" s="127">
        <f t="shared" si="4"/>
        <v>107</v>
      </c>
      <c r="B21" s="149" t="s">
        <v>435</v>
      </c>
      <c r="C21" s="155">
        <f>'1-BaseTRR'!$G$2</f>
        <v>2021</v>
      </c>
      <c r="D21" s="476">
        <f t="shared" si="0"/>
        <v>-12175</v>
      </c>
      <c r="E21" s="476">
        <f t="shared" si="0"/>
        <v>74738919</v>
      </c>
      <c r="F21" s="476">
        <f t="shared" si="0"/>
        <v>113421134</v>
      </c>
      <c r="G21" s="476">
        <f t="shared" si="0"/>
        <v>19105752</v>
      </c>
      <c r="H21" s="476">
        <f t="shared" si="0"/>
        <v>1671937390</v>
      </c>
      <c r="I21" s="476">
        <f t="shared" si="0"/>
        <v>16349332</v>
      </c>
      <c r="J21" s="476">
        <f t="shared" si="0"/>
        <v>356563010</v>
      </c>
      <c r="K21" s="476">
        <f t="shared" si="0"/>
        <v>398727828</v>
      </c>
      <c r="L21" s="476">
        <f t="shared" si="0"/>
        <v>534266434</v>
      </c>
      <c r="M21" s="476">
        <f t="shared" si="0"/>
        <v>107126092</v>
      </c>
      <c r="N21" s="476">
        <f t="shared" si="0"/>
        <v>78483324</v>
      </c>
      <c r="O21" s="476">
        <f t="shared" si="0"/>
        <v>9241648</v>
      </c>
      <c r="P21" s="24">
        <f t="shared" si="1"/>
        <v>3379948688</v>
      </c>
      <c r="Q21" s="157" t="str">
        <f t="shared" si="2"/>
        <v>Line 207 + Line 307</v>
      </c>
      <c r="R21" s="127">
        <f t="shared" si="3"/>
        <v>107</v>
      </c>
    </row>
    <row r="22" spans="1:18">
      <c r="A22" s="127">
        <f t="shared" si="4"/>
        <v>108</v>
      </c>
      <c r="B22" s="149" t="s">
        <v>436</v>
      </c>
      <c r="C22" s="155">
        <f>'1-BaseTRR'!$G$2</f>
        <v>2021</v>
      </c>
      <c r="D22" s="476">
        <f t="shared" si="0"/>
        <v>-11704</v>
      </c>
      <c r="E22" s="476">
        <f t="shared" si="0"/>
        <v>75070850</v>
      </c>
      <c r="F22" s="476">
        <f t="shared" si="0"/>
        <v>113988905</v>
      </c>
      <c r="G22" s="476">
        <f t="shared" si="0"/>
        <v>19263850</v>
      </c>
      <c r="H22" s="476">
        <f t="shared" si="0"/>
        <v>1686410512</v>
      </c>
      <c r="I22" s="476">
        <f t="shared" si="0"/>
        <v>16441597</v>
      </c>
      <c r="J22" s="476">
        <f t="shared" si="0"/>
        <v>357487148</v>
      </c>
      <c r="K22" s="476">
        <f t="shared" si="0"/>
        <v>402552954</v>
      </c>
      <c r="L22" s="476">
        <f t="shared" si="0"/>
        <v>534743579</v>
      </c>
      <c r="M22" s="476">
        <f t="shared" si="0"/>
        <v>107932198</v>
      </c>
      <c r="N22" s="476">
        <f t="shared" si="0"/>
        <v>79132075</v>
      </c>
      <c r="O22" s="476">
        <f t="shared" si="0"/>
        <v>9476281</v>
      </c>
      <c r="P22" s="24">
        <f t="shared" si="1"/>
        <v>3402488245</v>
      </c>
      <c r="Q22" s="157" t="str">
        <f t="shared" si="2"/>
        <v>Line 208 + Line 308</v>
      </c>
      <c r="R22" s="127">
        <f t="shared" si="3"/>
        <v>108</v>
      </c>
    </row>
    <row r="23" spans="1:18">
      <c r="A23" s="127">
        <f t="shared" si="4"/>
        <v>109</v>
      </c>
      <c r="B23" s="149" t="s">
        <v>437</v>
      </c>
      <c r="C23" s="155">
        <f>'1-BaseTRR'!$G$2</f>
        <v>2021</v>
      </c>
      <c r="D23" s="476">
        <f t="shared" si="0"/>
        <v>-11700</v>
      </c>
      <c r="E23" s="476">
        <f t="shared" si="0"/>
        <v>75395537</v>
      </c>
      <c r="F23" s="476">
        <f t="shared" si="0"/>
        <v>114555582</v>
      </c>
      <c r="G23" s="476">
        <f t="shared" si="0"/>
        <v>19018344</v>
      </c>
      <c r="H23" s="476">
        <f t="shared" si="0"/>
        <v>1704752392</v>
      </c>
      <c r="I23" s="476">
        <f t="shared" si="0"/>
        <v>16473098</v>
      </c>
      <c r="J23" s="476">
        <f t="shared" si="0"/>
        <v>357533355</v>
      </c>
      <c r="K23" s="476">
        <f t="shared" si="0"/>
        <v>401373106</v>
      </c>
      <c r="L23" s="476">
        <f t="shared" si="0"/>
        <v>529878390</v>
      </c>
      <c r="M23" s="476">
        <f t="shared" si="0"/>
        <v>108446889</v>
      </c>
      <c r="N23" s="476">
        <f t="shared" si="0"/>
        <v>79445374</v>
      </c>
      <c r="O23" s="476">
        <f t="shared" si="0"/>
        <v>9718216</v>
      </c>
      <c r="P23" s="24">
        <f t="shared" si="1"/>
        <v>3416578583</v>
      </c>
      <c r="Q23" s="157" t="str">
        <f t="shared" si="2"/>
        <v>Line 209 + Line 309</v>
      </c>
      <c r="R23" s="127">
        <f t="shared" si="3"/>
        <v>109</v>
      </c>
    </row>
    <row r="24" spans="1:18">
      <c r="A24" s="127">
        <f t="shared" si="4"/>
        <v>110</v>
      </c>
      <c r="B24" s="149" t="s">
        <v>438</v>
      </c>
      <c r="C24" s="155">
        <f>'1-BaseTRR'!$G$2</f>
        <v>2021</v>
      </c>
      <c r="D24" s="476">
        <f t="shared" si="0"/>
        <v>-11705</v>
      </c>
      <c r="E24" s="476">
        <f t="shared" si="0"/>
        <v>75726214</v>
      </c>
      <c r="F24" s="476">
        <f t="shared" si="0"/>
        <v>115122417</v>
      </c>
      <c r="G24" s="476">
        <f t="shared" si="0"/>
        <v>19171778</v>
      </c>
      <c r="H24" s="476">
        <f t="shared" si="0"/>
        <v>1720804959</v>
      </c>
      <c r="I24" s="476">
        <f t="shared" si="0"/>
        <v>16526174</v>
      </c>
      <c r="J24" s="476">
        <f t="shared" si="0"/>
        <v>358529550</v>
      </c>
      <c r="K24" s="476">
        <f t="shared" si="0"/>
        <v>409088940</v>
      </c>
      <c r="L24" s="476">
        <f t="shared" si="0"/>
        <v>533029308</v>
      </c>
      <c r="M24" s="476">
        <f t="shared" si="0"/>
        <v>109091095</v>
      </c>
      <c r="N24" s="476">
        <f t="shared" si="0"/>
        <v>79928469</v>
      </c>
      <c r="O24" s="476">
        <f t="shared" si="0"/>
        <v>9970808</v>
      </c>
      <c r="P24" s="24">
        <f t="shared" si="1"/>
        <v>3446978007</v>
      </c>
      <c r="Q24" s="157" t="str">
        <f t="shared" si="2"/>
        <v>Line 210 + Line 310</v>
      </c>
      <c r="R24" s="127">
        <f t="shared" si="3"/>
        <v>110</v>
      </c>
    </row>
    <row r="25" spans="1:18">
      <c r="A25" s="127">
        <f t="shared" si="4"/>
        <v>111</v>
      </c>
      <c r="B25" s="149" t="s">
        <v>439</v>
      </c>
      <c r="C25" s="155">
        <f>'1-BaseTRR'!$G$2</f>
        <v>2021</v>
      </c>
      <c r="D25" s="476">
        <f t="shared" si="0"/>
        <v>-11704</v>
      </c>
      <c r="E25" s="476">
        <f t="shared" si="0"/>
        <v>76057826</v>
      </c>
      <c r="F25" s="476">
        <f t="shared" si="0"/>
        <v>115657596</v>
      </c>
      <c r="G25" s="476">
        <f t="shared" si="0"/>
        <v>19325100</v>
      </c>
      <c r="H25" s="476">
        <f t="shared" si="0"/>
        <v>1725565238</v>
      </c>
      <c r="I25" s="476">
        <f t="shared" si="0"/>
        <v>16607265</v>
      </c>
      <c r="J25" s="476">
        <f t="shared" si="0"/>
        <v>359494243</v>
      </c>
      <c r="K25" s="476">
        <f t="shared" si="0"/>
        <v>410505971</v>
      </c>
      <c r="L25" s="476">
        <f t="shared" si="0"/>
        <v>529516161</v>
      </c>
      <c r="M25" s="476">
        <f t="shared" si="0"/>
        <v>109751969</v>
      </c>
      <c r="N25" s="476">
        <f t="shared" si="0"/>
        <v>80413297</v>
      </c>
      <c r="O25" s="476">
        <f t="shared" si="0"/>
        <v>10226833</v>
      </c>
      <c r="P25" s="24">
        <f t="shared" si="1"/>
        <v>3453109795</v>
      </c>
      <c r="Q25" s="157" t="str">
        <f t="shared" si="2"/>
        <v>Line 211 + Line 311</v>
      </c>
      <c r="R25" s="127">
        <f t="shared" si="3"/>
        <v>111</v>
      </c>
    </row>
    <row r="26" spans="1:18">
      <c r="A26" s="127">
        <f t="shared" si="4"/>
        <v>112</v>
      </c>
      <c r="B26" s="158" t="s">
        <v>428</v>
      </c>
      <c r="C26" s="159">
        <f>'1-BaseTRR'!$G$2</f>
        <v>2021</v>
      </c>
      <c r="D26" s="477">
        <f t="shared" si="0"/>
        <v>205288</v>
      </c>
      <c r="E26" s="477">
        <f t="shared" si="0"/>
        <v>76296408</v>
      </c>
      <c r="F26" s="477">
        <f t="shared" si="0"/>
        <v>116187686</v>
      </c>
      <c r="G26" s="477">
        <f t="shared" si="0"/>
        <v>19478026</v>
      </c>
      <c r="H26" s="477">
        <f t="shared" si="0"/>
        <v>1740070041</v>
      </c>
      <c r="I26" s="477">
        <f t="shared" si="0"/>
        <v>16600888</v>
      </c>
      <c r="J26" s="477">
        <f t="shared" si="0"/>
        <v>365099162</v>
      </c>
      <c r="K26" s="477">
        <f t="shared" si="0"/>
        <v>408078566</v>
      </c>
      <c r="L26" s="477">
        <f t="shared" si="0"/>
        <v>520519966</v>
      </c>
      <c r="M26" s="477">
        <f t="shared" si="0"/>
        <v>110427376</v>
      </c>
      <c r="N26" s="477">
        <f t="shared" si="0"/>
        <v>80894385</v>
      </c>
      <c r="O26" s="477">
        <f t="shared" si="0"/>
        <v>10635394</v>
      </c>
      <c r="P26" s="477">
        <f t="shared" si="1"/>
        <v>3464493186</v>
      </c>
      <c r="Q26" s="157" t="str">
        <f t="shared" si="2"/>
        <v>Line 212 + Line 312</v>
      </c>
      <c r="R26" s="127">
        <f t="shared" si="3"/>
        <v>112</v>
      </c>
    </row>
    <row r="27" spans="1:18">
      <c r="A27" s="127">
        <f t="shared" si="4"/>
        <v>113</v>
      </c>
      <c r="B27" s="545" t="s">
        <v>702</v>
      </c>
      <c r="C27" s="168"/>
      <c r="D27" s="546">
        <f>SUM(D14:D26)/13</f>
        <v>5040.6923076923076</v>
      </c>
      <c r="E27" s="546">
        <f>SUM(E14:E26)/13</f>
        <v>74418552.769230768</v>
      </c>
      <c r="F27" s="546">
        <f>SUM(F14:F26)/13</f>
        <v>112891864.07692307</v>
      </c>
      <c r="G27" s="546">
        <f>SUM(G14:G26)/13</f>
        <v>18831514.307692308</v>
      </c>
      <c r="H27" s="546">
        <f t="shared" ref="H27:P27" si="5">SUM(H14:H26)/13</f>
        <v>1663890315.1538463</v>
      </c>
      <c r="I27" s="546">
        <f t="shared" si="5"/>
        <v>16301368.23076923</v>
      </c>
      <c r="J27" s="546">
        <f t="shared" si="5"/>
        <v>354127322.61538464</v>
      </c>
      <c r="K27" s="546">
        <f t="shared" si="5"/>
        <v>395869667.23076922</v>
      </c>
      <c r="L27" s="546">
        <f t="shared" si="5"/>
        <v>530933522.38461536</v>
      </c>
      <c r="M27" s="546">
        <f t="shared" si="5"/>
        <v>106489625.3076923</v>
      </c>
      <c r="N27" s="546">
        <f t="shared" si="5"/>
        <v>78033172.384615391</v>
      </c>
      <c r="O27" s="546">
        <f t="shared" si="5"/>
        <v>12650098.615384616</v>
      </c>
      <c r="P27" s="352">
        <f t="shared" si="5"/>
        <v>3364442063.7692308</v>
      </c>
      <c r="Q27" s="157"/>
      <c r="R27" s="127">
        <f t="shared" si="3"/>
        <v>113</v>
      </c>
    </row>
    <row r="28" spans="1:18">
      <c r="A28" s="8"/>
      <c r="B28" s="8"/>
      <c r="C28" s="8"/>
      <c r="D28" s="8"/>
      <c r="E28" s="8"/>
      <c r="F28" s="8"/>
      <c r="G28" s="8"/>
      <c r="H28" s="8"/>
      <c r="I28" s="8"/>
      <c r="J28" s="8"/>
      <c r="K28" s="8"/>
      <c r="L28" s="8"/>
      <c r="M28" s="8"/>
      <c r="R28" s="127"/>
    </row>
    <row r="29" spans="1:18">
      <c r="A29" s="8"/>
      <c r="B29" s="8"/>
      <c r="C29" s="8"/>
      <c r="D29" s="8"/>
      <c r="E29" s="8"/>
      <c r="F29" s="8"/>
      <c r="G29" s="8"/>
      <c r="H29" s="8"/>
      <c r="I29" s="8"/>
      <c r="J29" s="8"/>
      <c r="K29" s="8"/>
      <c r="L29" s="8"/>
      <c r="M29" s="8"/>
      <c r="R29" s="127"/>
    </row>
    <row r="30" spans="1:18">
      <c r="B30" s="50" t="s">
        <v>818</v>
      </c>
      <c r="C30" s="50"/>
      <c r="D30" s="140"/>
      <c r="E30" s="140"/>
      <c r="F30" s="140"/>
      <c r="G30" s="140"/>
      <c r="H30" s="140"/>
      <c r="I30" s="140"/>
      <c r="J30" s="140"/>
      <c r="K30" s="140"/>
      <c r="L30" s="140"/>
      <c r="M30" s="140"/>
      <c r="N30" s="47"/>
      <c r="O30" s="47"/>
      <c r="P30" s="47"/>
      <c r="Q30" s="47"/>
      <c r="R30" s="127"/>
    </row>
    <row r="31" spans="1:18">
      <c r="B31" s="149" t="s">
        <v>819</v>
      </c>
    </row>
    <row r="32" spans="1:18">
      <c r="B32" t="s">
        <v>820</v>
      </c>
    </row>
    <row r="34" spans="1:18" ht="13.5" customHeight="1">
      <c r="A34" s="2"/>
      <c r="D34" s="118" t="s">
        <v>371</v>
      </c>
      <c r="E34" s="118" t="s">
        <v>372</v>
      </c>
      <c r="F34" s="118" t="s">
        <v>373</v>
      </c>
      <c r="G34" s="118" t="s">
        <v>374</v>
      </c>
      <c r="H34" s="118" t="s">
        <v>375</v>
      </c>
      <c r="I34" s="118" t="s">
        <v>376</v>
      </c>
      <c r="J34" s="118" t="s">
        <v>377</v>
      </c>
      <c r="K34" s="118" t="s">
        <v>378</v>
      </c>
      <c r="L34" s="118" t="s">
        <v>409</v>
      </c>
      <c r="M34" s="118" t="s">
        <v>525</v>
      </c>
      <c r="N34" s="118" t="s">
        <v>526</v>
      </c>
      <c r="O34" s="118" t="s">
        <v>527</v>
      </c>
      <c r="P34" s="118" t="s">
        <v>528</v>
      </c>
      <c r="Q34" s="118"/>
      <c r="R34" s="127"/>
    </row>
    <row r="35" spans="1:18" ht="13.5" customHeight="1">
      <c r="A35" s="2"/>
      <c r="D35" s="118"/>
      <c r="E35" s="118"/>
      <c r="F35" s="118"/>
      <c r="G35" s="118"/>
      <c r="H35" s="118"/>
      <c r="I35" s="118"/>
      <c r="J35" s="118"/>
      <c r="K35" s="118"/>
      <c r="L35" s="118"/>
      <c r="M35" s="118"/>
      <c r="N35" s="118"/>
      <c r="O35" s="118"/>
      <c r="P35" s="152" t="s">
        <v>688</v>
      </c>
      <c r="Q35" s="152"/>
      <c r="R35" s="127"/>
    </row>
    <row r="36" spans="1:18">
      <c r="B36" s="4"/>
      <c r="C36" s="4"/>
      <c r="R36" s="127"/>
    </row>
    <row r="37" spans="1:18">
      <c r="A37" s="201"/>
      <c r="B37" s="127"/>
      <c r="C37" s="126" t="s">
        <v>689</v>
      </c>
      <c r="D37" s="119">
        <v>350.01</v>
      </c>
      <c r="E37" s="119">
        <v>350.02</v>
      </c>
      <c r="F37" s="119">
        <v>352.01</v>
      </c>
      <c r="G37" s="119">
        <v>352.02</v>
      </c>
      <c r="H37" s="119">
        <v>353.01</v>
      </c>
      <c r="I37" s="119">
        <v>353.02</v>
      </c>
      <c r="J37" s="119">
        <v>354</v>
      </c>
      <c r="K37" s="119">
        <v>355</v>
      </c>
      <c r="L37" s="119">
        <v>356</v>
      </c>
      <c r="M37" s="119">
        <v>357</v>
      </c>
      <c r="N37" s="119">
        <v>358</v>
      </c>
      <c r="O37" s="119">
        <v>359</v>
      </c>
      <c r="R37" s="127"/>
    </row>
    <row r="38" spans="1:18">
      <c r="A38" s="115" t="s">
        <v>100</v>
      </c>
      <c r="B38" s="115" t="s">
        <v>384</v>
      </c>
      <c r="C38" s="115" t="s">
        <v>420</v>
      </c>
      <c r="D38" s="118" t="s">
        <v>690</v>
      </c>
      <c r="E38" s="118" t="s">
        <v>691</v>
      </c>
      <c r="F38" s="118" t="s">
        <v>692</v>
      </c>
      <c r="G38" s="118" t="s">
        <v>693</v>
      </c>
      <c r="H38" s="118" t="s">
        <v>694</v>
      </c>
      <c r="I38" s="118" t="s">
        <v>695</v>
      </c>
      <c r="J38" s="118" t="s">
        <v>696</v>
      </c>
      <c r="K38" s="118" t="s">
        <v>697</v>
      </c>
      <c r="L38" s="118" t="s">
        <v>698</v>
      </c>
      <c r="M38" s="118" t="s">
        <v>699</v>
      </c>
      <c r="N38" s="118" t="s">
        <v>700</v>
      </c>
      <c r="O38" s="118" t="s">
        <v>701</v>
      </c>
      <c r="P38" s="115" t="s">
        <v>465</v>
      </c>
      <c r="Q38" s="115"/>
      <c r="R38" s="115" t="str">
        <f>A38</f>
        <v>Line</v>
      </c>
    </row>
    <row r="39" spans="1:18">
      <c r="A39" s="127">
        <v>200</v>
      </c>
      <c r="B39" s="149" t="s">
        <v>428</v>
      </c>
      <c r="C39" s="155">
        <f>'1-BaseTRR'!$G$2-1</f>
        <v>2020</v>
      </c>
      <c r="D39" s="478">
        <v>-5156</v>
      </c>
      <c r="E39" s="478">
        <v>35359845</v>
      </c>
      <c r="F39" s="478">
        <v>52430975</v>
      </c>
      <c r="G39" s="478">
        <v>7247659</v>
      </c>
      <c r="H39" s="478">
        <v>782912231</v>
      </c>
      <c r="I39" s="478">
        <v>4060499</v>
      </c>
      <c r="J39" s="478">
        <v>190251149</v>
      </c>
      <c r="K39" s="478">
        <v>60662091</v>
      </c>
      <c r="L39" s="478">
        <v>190960059</v>
      </c>
      <c r="M39" s="478">
        <v>68545295</v>
      </c>
      <c r="N39" s="478">
        <v>29378361</v>
      </c>
      <c r="O39" s="478">
        <v>4890630</v>
      </c>
      <c r="P39" s="156">
        <f>SUM(D39:O39)</f>
        <v>1426693638</v>
      </c>
      <c r="Q39" s="157"/>
      <c r="R39" s="127">
        <f t="shared" ref="R39:R52" si="6">A39</f>
        <v>200</v>
      </c>
    </row>
    <row r="40" spans="1:18">
      <c r="A40" s="127">
        <f>A39+1</f>
        <v>201</v>
      </c>
      <c r="B40" s="149" t="s">
        <v>430</v>
      </c>
      <c r="C40" s="155">
        <f>'1-BaseTRR'!$G$2</f>
        <v>2021</v>
      </c>
      <c r="D40" s="478">
        <v>-8785</v>
      </c>
      <c r="E40" s="478">
        <v>34697281</v>
      </c>
      <c r="F40" s="478">
        <v>58567426</v>
      </c>
      <c r="G40" s="478">
        <v>6228686</v>
      </c>
      <c r="H40" s="478">
        <v>531743793</v>
      </c>
      <c r="I40" s="478">
        <v>2300651</v>
      </c>
      <c r="J40" s="478">
        <v>236309018</v>
      </c>
      <c r="K40" s="478">
        <v>27166723</v>
      </c>
      <c r="L40" s="478">
        <v>228241741</v>
      </c>
      <c r="M40" s="478">
        <v>61419090</v>
      </c>
      <c r="N40" s="478">
        <v>34040771</v>
      </c>
      <c r="O40" s="478">
        <v>5210590</v>
      </c>
      <c r="P40" s="156">
        <f t="shared" ref="P40:P51" si="7">SUM(D40:O40)</f>
        <v>1225916985</v>
      </c>
      <c r="Q40" s="157"/>
      <c r="R40" s="127">
        <f t="shared" si="6"/>
        <v>201</v>
      </c>
    </row>
    <row r="41" spans="1:18">
      <c r="A41" s="127">
        <f t="shared" ref="A41:A52" si="8">A40+1</f>
        <v>202</v>
      </c>
      <c r="B41" s="149" t="s">
        <v>431</v>
      </c>
      <c r="C41" s="155">
        <f>'1-BaseTRR'!$G$2</f>
        <v>2021</v>
      </c>
      <c r="D41" s="478">
        <v>-8791</v>
      </c>
      <c r="E41" s="478">
        <v>34854169</v>
      </c>
      <c r="F41" s="478">
        <v>58775615</v>
      </c>
      <c r="G41" s="478">
        <v>6272473</v>
      </c>
      <c r="H41" s="478">
        <v>537013207</v>
      </c>
      <c r="I41" s="478">
        <v>2306353</v>
      </c>
      <c r="J41" s="478">
        <v>236601166</v>
      </c>
      <c r="K41" s="478">
        <v>27166828</v>
      </c>
      <c r="L41" s="478">
        <v>228776040</v>
      </c>
      <c r="M41" s="478">
        <v>61862582</v>
      </c>
      <c r="N41" s="478">
        <v>34238360</v>
      </c>
      <c r="O41" s="478">
        <v>6299193</v>
      </c>
      <c r="P41" s="156">
        <f t="shared" si="7"/>
        <v>1234157195</v>
      </c>
      <c r="Q41" s="157"/>
      <c r="R41" s="127">
        <f t="shared" si="6"/>
        <v>202</v>
      </c>
    </row>
    <row r="42" spans="1:18">
      <c r="A42" s="127">
        <f t="shared" si="8"/>
        <v>203</v>
      </c>
      <c r="B42" s="149" t="s">
        <v>432</v>
      </c>
      <c r="C42" s="155">
        <f>'1-BaseTRR'!$G$2</f>
        <v>2021</v>
      </c>
      <c r="D42" s="478">
        <v>-8793</v>
      </c>
      <c r="E42" s="478">
        <v>34997653</v>
      </c>
      <c r="F42" s="478">
        <v>58981485</v>
      </c>
      <c r="G42" s="478">
        <v>6316737</v>
      </c>
      <c r="H42" s="478">
        <v>542287199</v>
      </c>
      <c r="I42" s="478">
        <v>2312106</v>
      </c>
      <c r="J42" s="478">
        <v>236442851</v>
      </c>
      <c r="K42" s="478">
        <v>26760601</v>
      </c>
      <c r="L42" s="478">
        <v>227575763</v>
      </c>
      <c r="M42" s="478">
        <v>62312536</v>
      </c>
      <c r="N42" s="478">
        <v>34442294</v>
      </c>
      <c r="O42" s="478">
        <v>6392607</v>
      </c>
      <c r="P42" s="156">
        <f t="shared" si="7"/>
        <v>1238813039</v>
      </c>
      <c r="Q42" s="157"/>
      <c r="R42" s="127">
        <f t="shared" si="6"/>
        <v>203</v>
      </c>
    </row>
    <row r="43" spans="1:18">
      <c r="A43" s="127">
        <f t="shared" si="8"/>
        <v>204</v>
      </c>
      <c r="B43" s="149" t="s">
        <v>433</v>
      </c>
      <c r="C43" s="155">
        <f>'1-BaseTRR'!$G$2</f>
        <v>2021</v>
      </c>
      <c r="D43" s="478">
        <v>-8799</v>
      </c>
      <c r="E43" s="478">
        <v>35132668</v>
      </c>
      <c r="F43" s="478">
        <v>59157536</v>
      </c>
      <c r="G43" s="478">
        <v>6361119</v>
      </c>
      <c r="H43" s="478">
        <v>545848035</v>
      </c>
      <c r="I43" s="478">
        <v>2317968</v>
      </c>
      <c r="J43" s="478">
        <v>236308860</v>
      </c>
      <c r="K43" s="478">
        <v>26494088</v>
      </c>
      <c r="L43" s="478">
        <v>227319499</v>
      </c>
      <c r="M43" s="478">
        <v>62754210</v>
      </c>
      <c r="N43" s="478">
        <v>34642241</v>
      </c>
      <c r="O43" s="478">
        <v>6485764</v>
      </c>
      <c r="P43" s="156">
        <f t="shared" si="7"/>
        <v>1242813189</v>
      </c>
      <c r="Q43" s="157"/>
      <c r="R43" s="127">
        <f t="shared" si="6"/>
        <v>204</v>
      </c>
    </row>
    <row r="44" spans="1:18">
      <c r="A44" s="127">
        <f t="shared" si="8"/>
        <v>205</v>
      </c>
      <c r="B44" s="149" t="s">
        <v>395</v>
      </c>
      <c r="C44" s="155">
        <f>'1-BaseTRR'!$G$2</f>
        <v>2021</v>
      </c>
      <c r="D44" s="478">
        <v>-8807</v>
      </c>
      <c r="E44" s="478">
        <v>35281673</v>
      </c>
      <c r="F44" s="478">
        <v>59322096</v>
      </c>
      <c r="G44" s="478">
        <v>6401126</v>
      </c>
      <c r="H44" s="478">
        <v>550944372</v>
      </c>
      <c r="I44" s="478">
        <v>2323826</v>
      </c>
      <c r="J44" s="478">
        <v>234589461</v>
      </c>
      <c r="K44" s="478">
        <v>26061092</v>
      </c>
      <c r="L44" s="478">
        <v>227893816</v>
      </c>
      <c r="M44" s="478">
        <v>63188549</v>
      </c>
      <c r="N44" s="478">
        <v>34822983</v>
      </c>
      <c r="O44" s="478">
        <v>6572513</v>
      </c>
      <c r="P44" s="156">
        <f t="shared" si="7"/>
        <v>1247392700</v>
      </c>
      <c r="Q44" s="157"/>
      <c r="R44" s="127">
        <f t="shared" si="6"/>
        <v>205</v>
      </c>
    </row>
    <row r="45" spans="1:18">
      <c r="A45" s="127">
        <f t="shared" si="8"/>
        <v>206</v>
      </c>
      <c r="B45" s="149" t="s">
        <v>531</v>
      </c>
      <c r="C45" s="155">
        <f>'1-BaseTRR'!$G$2</f>
        <v>2021</v>
      </c>
      <c r="D45" s="478">
        <v>-8816</v>
      </c>
      <c r="E45" s="478">
        <v>35436787</v>
      </c>
      <c r="F45" s="478">
        <v>59493069</v>
      </c>
      <c r="G45" s="478">
        <v>6444748</v>
      </c>
      <c r="H45" s="478">
        <v>555359404</v>
      </c>
      <c r="I45" s="478">
        <v>2329676</v>
      </c>
      <c r="J45" s="478">
        <v>234686418</v>
      </c>
      <c r="K45" s="478">
        <v>27147129</v>
      </c>
      <c r="L45" s="478">
        <v>228739819</v>
      </c>
      <c r="M45" s="478">
        <v>63647051</v>
      </c>
      <c r="N45" s="478">
        <v>35021395</v>
      </c>
      <c r="O45" s="478">
        <v>3737133</v>
      </c>
      <c r="P45" s="156">
        <f t="shared" si="7"/>
        <v>1252033813</v>
      </c>
      <c r="Q45" s="157"/>
      <c r="R45" s="127">
        <f t="shared" si="6"/>
        <v>206</v>
      </c>
    </row>
    <row r="46" spans="1:18">
      <c r="A46" s="127">
        <f t="shared" si="8"/>
        <v>207</v>
      </c>
      <c r="B46" s="149" t="s">
        <v>435</v>
      </c>
      <c r="C46" s="155">
        <f>'1-BaseTRR'!$G$2</f>
        <v>2021</v>
      </c>
      <c r="D46" s="478">
        <v>-8610</v>
      </c>
      <c r="E46" s="478">
        <v>35591763</v>
      </c>
      <c r="F46" s="478">
        <v>59659030</v>
      </c>
      <c r="G46" s="478">
        <v>6497283</v>
      </c>
      <c r="H46" s="478">
        <v>559722188</v>
      </c>
      <c r="I46" s="478">
        <v>2335582</v>
      </c>
      <c r="J46" s="478">
        <v>241070336</v>
      </c>
      <c r="K46" s="478">
        <v>25911453</v>
      </c>
      <c r="L46" s="478">
        <v>228205302</v>
      </c>
      <c r="M46" s="478">
        <v>64095739</v>
      </c>
      <c r="N46" s="478">
        <v>35220474</v>
      </c>
      <c r="O46" s="478">
        <v>3925691</v>
      </c>
      <c r="P46" s="156">
        <f t="shared" si="7"/>
        <v>1262226231</v>
      </c>
      <c r="Q46" s="157"/>
      <c r="R46" s="127">
        <f t="shared" si="6"/>
        <v>207</v>
      </c>
    </row>
    <row r="47" spans="1:18">
      <c r="A47" s="127">
        <f t="shared" si="8"/>
        <v>208</v>
      </c>
      <c r="B47" s="149" t="s">
        <v>436</v>
      </c>
      <c r="C47" s="155">
        <f>'1-BaseTRR'!$G$2</f>
        <v>2021</v>
      </c>
      <c r="D47" s="478">
        <v>-8568</v>
      </c>
      <c r="E47" s="478">
        <v>35748576</v>
      </c>
      <c r="F47" s="478">
        <v>59774554</v>
      </c>
      <c r="G47" s="478">
        <v>6543245</v>
      </c>
      <c r="H47" s="478">
        <v>564946082</v>
      </c>
      <c r="I47" s="478">
        <v>2348032</v>
      </c>
      <c r="J47" s="478">
        <v>241561872</v>
      </c>
      <c r="K47" s="478">
        <v>26125612</v>
      </c>
      <c r="L47" s="478">
        <v>227199789</v>
      </c>
      <c r="M47" s="478">
        <v>64603869</v>
      </c>
      <c r="N47" s="478">
        <v>35481599</v>
      </c>
      <c r="O47" s="478">
        <v>4105626</v>
      </c>
      <c r="P47" s="156">
        <f t="shared" si="7"/>
        <v>1268430288</v>
      </c>
      <c r="Q47" s="157"/>
      <c r="R47" s="127">
        <f t="shared" si="6"/>
        <v>208</v>
      </c>
    </row>
    <row r="48" spans="1:18">
      <c r="A48" s="127">
        <f t="shared" si="8"/>
        <v>209</v>
      </c>
      <c r="B48" s="149" t="s">
        <v>437</v>
      </c>
      <c r="C48" s="155">
        <f>'1-BaseTRR'!$G$2</f>
        <v>2021</v>
      </c>
      <c r="D48" s="478">
        <v>-8618</v>
      </c>
      <c r="E48" s="478">
        <v>35900703</v>
      </c>
      <c r="F48" s="478">
        <v>59976104</v>
      </c>
      <c r="G48" s="478">
        <v>6446310</v>
      </c>
      <c r="H48" s="478">
        <v>571437058</v>
      </c>
      <c r="I48" s="478">
        <v>2343793</v>
      </c>
      <c r="J48" s="478">
        <v>241434339</v>
      </c>
      <c r="K48" s="478">
        <v>26060067</v>
      </c>
      <c r="L48" s="478">
        <v>226133314</v>
      </c>
      <c r="M48" s="478">
        <v>64996303</v>
      </c>
      <c r="N48" s="478">
        <v>35618588</v>
      </c>
      <c r="O48" s="478">
        <v>4199047</v>
      </c>
      <c r="P48" s="156">
        <f t="shared" si="7"/>
        <v>1274537008</v>
      </c>
      <c r="Q48" s="157"/>
      <c r="R48" s="127">
        <f t="shared" si="6"/>
        <v>209</v>
      </c>
    </row>
    <row r="49" spans="1:19">
      <c r="A49" s="127">
        <f t="shared" si="8"/>
        <v>210</v>
      </c>
      <c r="B49" s="149" t="s">
        <v>438</v>
      </c>
      <c r="C49" s="155">
        <f>'1-BaseTRR'!$G$2</f>
        <v>2021</v>
      </c>
      <c r="D49" s="478">
        <v>-8667</v>
      </c>
      <c r="E49" s="478">
        <v>36056832</v>
      </c>
      <c r="F49" s="478">
        <v>60177962</v>
      </c>
      <c r="G49" s="478">
        <v>6489861</v>
      </c>
      <c r="H49" s="478">
        <v>577165262</v>
      </c>
      <c r="I49" s="478">
        <v>2349359</v>
      </c>
      <c r="J49" s="478">
        <v>241807178</v>
      </c>
      <c r="K49" s="478">
        <v>26522743</v>
      </c>
      <c r="L49" s="478">
        <v>227160936</v>
      </c>
      <c r="M49" s="478">
        <v>65436396</v>
      </c>
      <c r="N49" s="478">
        <v>35818524</v>
      </c>
      <c r="O49" s="478">
        <v>4305977</v>
      </c>
      <c r="P49" s="156">
        <f t="shared" si="7"/>
        <v>1283282363</v>
      </c>
      <c r="Q49" s="157"/>
      <c r="R49" s="127">
        <f t="shared" si="6"/>
        <v>210</v>
      </c>
    </row>
    <row r="50" spans="1:19">
      <c r="A50" s="127">
        <f t="shared" si="8"/>
        <v>211</v>
      </c>
      <c r="B50" s="149" t="s">
        <v>439</v>
      </c>
      <c r="C50" s="155">
        <f>'1-BaseTRR'!$G$2</f>
        <v>2021</v>
      </c>
      <c r="D50" s="478">
        <v>-8649</v>
      </c>
      <c r="E50" s="478">
        <v>36222365</v>
      </c>
      <c r="F50" s="478">
        <v>60361821</v>
      </c>
      <c r="G50" s="478">
        <v>6533531</v>
      </c>
      <c r="H50" s="478">
        <v>579294133</v>
      </c>
      <c r="I50" s="478">
        <v>2356948</v>
      </c>
      <c r="J50" s="478">
        <v>242163363</v>
      </c>
      <c r="K50" s="478">
        <v>26254131</v>
      </c>
      <c r="L50" s="478">
        <v>225622565</v>
      </c>
      <c r="M50" s="478">
        <v>65886810</v>
      </c>
      <c r="N50" s="478">
        <v>36019334</v>
      </c>
      <c r="O50" s="478">
        <v>4417968</v>
      </c>
      <c r="P50" s="156">
        <f t="shared" si="7"/>
        <v>1285124320</v>
      </c>
      <c r="Q50" s="157"/>
      <c r="R50" s="127">
        <f t="shared" si="6"/>
        <v>211</v>
      </c>
    </row>
    <row r="51" spans="1:19">
      <c r="A51" s="127">
        <f t="shared" si="8"/>
        <v>212</v>
      </c>
      <c r="B51" s="158" t="s">
        <v>428</v>
      </c>
      <c r="C51" s="159">
        <f>'1-BaseTRR'!$G$2</f>
        <v>2021</v>
      </c>
      <c r="D51" s="479">
        <v>117087</v>
      </c>
      <c r="E51" s="479">
        <v>36299687</v>
      </c>
      <c r="F51" s="479">
        <v>62311187</v>
      </c>
      <c r="G51" s="479">
        <v>6830513</v>
      </c>
      <c r="H51" s="479">
        <v>584897560</v>
      </c>
      <c r="I51" s="479">
        <v>2367287</v>
      </c>
      <c r="J51" s="479">
        <v>244020243</v>
      </c>
      <c r="K51" s="479">
        <v>24685326</v>
      </c>
      <c r="L51" s="479">
        <v>220693126</v>
      </c>
      <c r="M51" s="479">
        <v>66329558</v>
      </c>
      <c r="N51" s="479">
        <v>36199236</v>
      </c>
      <c r="O51" s="479">
        <v>4630645</v>
      </c>
      <c r="P51" s="202">
        <f t="shared" si="7"/>
        <v>1289381455</v>
      </c>
      <c r="Q51" s="203"/>
      <c r="R51" s="127">
        <f t="shared" si="6"/>
        <v>212</v>
      </c>
    </row>
    <row r="52" spans="1:19">
      <c r="A52" s="127">
        <f t="shared" si="8"/>
        <v>213</v>
      </c>
      <c r="B52" s="545" t="s">
        <v>702</v>
      </c>
      <c r="C52" s="168"/>
      <c r="D52" s="546">
        <f>SUM(D39:D51)/13</f>
        <v>1232.9230769230769</v>
      </c>
      <c r="E52" s="546">
        <f>SUM(E39:E51)/13</f>
        <v>35506154</v>
      </c>
      <c r="F52" s="546">
        <f>SUM(F39:F51)/13</f>
        <v>59152989.230769232</v>
      </c>
      <c r="G52" s="546">
        <f>SUM(G39:G51)/13</f>
        <v>6508714.692307692</v>
      </c>
      <c r="H52" s="546">
        <f t="shared" ref="H52:P52" si="9">SUM(H39:H51)/13</f>
        <v>575659271.07692313</v>
      </c>
      <c r="I52" s="546">
        <f t="shared" si="9"/>
        <v>2465544.6153846155</v>
      </c>
      <c r="J52" s="546">
        <f t="shared" si="9"/>
        <v>235172788.76923078</v>
      </c>
      <c r="K52" s="546">
        <f t="shared" si="9"/>
        <v>29001375.692307692</v>
      </c>
      <c r="L52" s="546">
        <f t="shared" si="9"/>
        <v>224193982.23076922</v>
      </c>
      <c r="M52" s="546">
        <f t="shared" si="9"/>
        <v>64236768.307692304</v>
      </c>
      <c r="N52" s="546">
        <f t="shared" si="9"/>
        <v>34688012.307692304</v>
      </c>
      <c r="O52" s="546">
        <f t="shared" si="9"/>
        <v>5013337.230769231</v>
      </c>
      <c r="P52" s="547">
        <f t="shared" si="9"/>
        <v>1271600171.0769231</v>
      </c>
      <c r="Q52" s="157"/>
      <c r="R52" s="127">
        <f t="shared" si="6"/>
        <v>213</v>
      </c>
    </row>
    <row r="53" spans="1:19">
      <c r="A53" s="8"/>
      <c r="B53" s="8"/>
      <c r="C53" s="8"/>
      <c r="D53" s="8"/>
      <c r="E53" s="8"/>
      <c r="F53" s="8"/>
      <c r="G53" s="8"/>
      <c r="H53" s="8"/>
      <c r="I53" s="8"/>
      <c r="J53" s="8"/>
      <c r="K53" s="8"/>
      <c r="L53" s="8"/>
      <c r="M53" s="8"/>
      <c r="R53" s="127"/>
    </row>
    <row r="54" spans="1:19">
      <c r="A54" s="8"/>
      <c r="B54" s="8"/>
      <c r="C54" s="8"/>
      <c r="D54" s="8"/>
      <c r="E54" s="8"/>
      <c r="F54" s="8"/>
      <c r="G54" s="8"/>
      <c r="H54" s="8"/>
      <c r="I54" s="8"/>
      <c r="J54" s="8"/>
      <c r="K54" s="8"/>
      <c r="L54" s="8"/>
      <c r="M54" s="8"/>
      <c r="R54" s="127"/>
    </row>
    <row r="55" spans="1:19">
      <c r="A55" s="8"/>
      <c r="B55" s="50" t="s">
        <v>821</v>
      </c>
      <c r="C55" s="50"/>
      <c r="D55" s="140"/>
      <c r="E55" s="140"/>
      <c r="F55" s="140"/>
      <c r="G55" s="140"/>
      <c r="H55" s="140"/>
      <c r="I55" s="140"/>
      <c r="J55" s="140"/>
      <c r="K55" s="140"/>
      <c r="L55" s="140"/>
      <c r="M55" s="140"/>
      <c r="N55" s="47"/>
      <c r="O55" s="47"/>
      <c r="P55" s="47"/>
      <c r="Q55" s="47"/>
      <c r="R55" s="127"/>
    </row>
    <row r="56" spans="1:19">
      <c r="A56" s="8"/>
      <c r="B56" s="149" t="s">
        <v>822</v>
      </c>
      <c r="C56" s="8"/>
      <c r="D56" s="8"/>
      <c r="E56" s="8"/>
      <c r="F56" s="8"/>
      <c r="G56" s="8"/>
      <c r="H56" s="8"/>
      <c r="I56" s="8"/>
      <c r="J56" s="8"/>
      <c r="K56" s="8"/>
      <c r="L56" s="8"/>
      <c r="M56" s="8"/>
      <c r="N56" s="8"/>
      <c r="O56" s="8"/>
      <c r="P56" s="8"/>
      <c r="Q56" s="8"/>
      <c r="R56" s="8"/>
      <c r="S56" s="8"/>
    </row>
    <row r="57" spans="1:19">
      <c r="A57" s="8"/>
      <c r="B57" t="s">
        <v>823</v>
      </c>
      <c r="C57" s="8"/>
      <c r="D57" s="8"/>
      <c r="E57" s="8"/>
      <c r="F57" s="8"/>
      <c r="G57" s="8"/>
      <c r="H57" s="8"/>
      <c r="I57" s="8"/>
      <c r="J57" s="8"/>
      <c r="K57" s="8"/>
      <c r="L57" s="8"/>
      <c r="M57" s="8"/>
      <c r="N57" s="8"/>
      <c r="O57" s="8"/>
      <c r="P57" s="8"/>
      <c r="Q57" s="8"/>
      <c r="R57" s="8"/>
      <c r="S57" s="8"/>
    </row>
    <row r="58" spans="1:19">
      <c r="A58" s="8"/>
      <c r="C58" s="8"/>
      <c r="D58" s="8"/>
      <c r="E58" s="8"/>
      <c r="F58" s="8"/>
      <c r="G58" s="8"/>
      <c r="H58" s="8"/>
      <c r="I58" s="8"/>
      <c r="J58" s="8"/>
      <c r="K58" s="8"/>
      <c r="L58" s="8"/>
      <c r="M58" s="8"/>
      <c r="N58" s="8"/>
      <c r="O58" s="8"/>
      <c r="P58" s="8"/>
      <c r="Q58" s="8"/>
      <c r="R58" s="8"/>
      <c r="S58" s="8"/>
    </row>
    <row r="59" spans="1:19">
      <c r="A59" s="2"/>
      <c r="D59" s="118" t="s">
        <v>371</v>
      </c>
      <c r="E59" s="118" t="s">
        <v>372</v>
      </c>
      <c r="F59" s="118" t="s">
        <v>373</v>
      </c>
      <c r="G59" s="118" t="s">
        <v>374</v>
      </c>
      <c r="H59" s="118" t="s">
        <v>375</v>
      </c>
      <c r="I59" s="118" t="s">
        <v>376</v>
      </c>
      <c r="J59" s="118" t="s">
        <v>377</v>
      </c>
      <c r="K59" s="118" t="s">
        <v>378</v>
      </c>
      <c r="L59" s="118" t="s">
        <v>409</v>
      </c>
      <c r="M59" s="118" t="s">
        <v>525</v>
      </c>
      <c r="N59" s="118" t="s">
        <v>526</v>
      </c>
      <c r="O59" s="118" t="s">
        <v>527</v>
      </c>
      <c r="P59" s="118" t="s">
        <v>528</v>
      </c>
      <c r="Q59" s="118"/>
      <c r="R59" s="127"/>
    </row>
    <row r="60" spans="1:19">
      <c r="A60" s="2"/>
      <c r="D60" s="118"/>
      <c r="E60" s="118"/>
      <c r="F60" s="118"/>
      <c r="G60" s="118"/>
      <c r="H60" s="118"/>
      <c r="I60" s="118"/>
      <c r="J60" s="118"/>
      <c r="K60" s="118"/>
      <c r="L60" s="118"/>
      <c r="M60" s="118"/>
      <c r="N60" s="118"/>
      <c r="O60" s="118"/>
      <c r="P60" s="152" t="s">
        <v>688</v>
      </c>
      <c r="Q60" s="152"/>
      <c r="R60" s="127"/>
    </row>
    <row r="61" spans="1:19">
      <c r="B61" s="4"/>
      <c r="C61" s="4"/>
      <c r="N61" s="21"/>
      <c r="P61" s="21"/>
      <c r="Q61" s="21"/>
      <c r="R61" s="127"/>
    </row>
    <row r="62" spans="1:19">
      <c r="A62" s="201"/>
      <c r="B62" s="127"/>
      <c r="C62" s="126" t="s">
        <v>689</v>
      </c>
      <c r="D62" s="119">
        <v>350.01</v>
      </c>
      <c r="E62" s="119">
        <v>350.02</v>
      </c>
      <c r="F62" s="119">
        <v>352.01</v>
      </c>
      <c r="G62" s="119">
        <v>352.02</v>
      </c>
      <c r="H62" s="119">
        <v>353.01</v>
      </c>
      <c r="I62" s="119">
        <v>353.02</v>
      </c>
      <c r="J62" s="119">
        <v>354</v>
      </c>
      <c r="K62" s="119">
        <v>355</v>
      </c>
      <c r="L62" s="119">
        <v>356</v>
      </c>
      <c r="M62" s="119">
        <v>357</v>
      </c>
      <c r="N62" s="119">
        <v>358</v>
      </c>
      <c r="O62" s="119">
        <v>359</v>
      </c>
      <c r="R62" s="127"/>
    </row>
    <row r="63" spans="1:19">
      <c r="A63" s="115" t="s">
        <v>100</v>
      </c>
      <c r="B63" s="115" t="s">
        <v>384</v>
      </c>
      <c r="C63" s="115" t="s">
        <v>420</v>
      </c>
      <c r="D63" s="118" t="s">
        <v>690</v>
      </c>
      <c r="E63" s="118" t="s">
        <v>691</v>
      </c>
      <c r="F63" s="118" t="s">
        <v>692</v>
      </c>
      <c r="G63" s="118" t="s">
        <v>693</v>
      </c>
      <c r="H63" s="118" t="s">
        <v>694</v>
      </c>
      <c r="I63" s="118" t="s">
        <v>695</v>
      </c>
      <c r="J63" s="118" t="s">
        <v>696</v>
      </c>
      <c r="K63" s="118" t="s">
        <v>697</v>
      </c>
      <c r="L63" s="118" t="s">
        <v>698</v>
      </c>
      <c r="M63" s="118" t="s">
        <v>699</v>
      </c>
      <c r="N63" s="118" t="s">
        <v>700</v>
      </c>
      <c r="O63" s="118" t="s">
        <v>701</v>
      </c>
      <c r="P63" s="115" t="s">
        <v>465</v>
      </c>
      <c r="Q63" s="115"/>
      <c r="R63" s="115" t="str">
        <f>A63</f>
        <v>Line</v>
      </c>
    </row>
    <row r="64" spans="1:19">
      <c r="A64" s="127">
        <v>300</v>
      </c>
      <c r="B64" s="149" t="s">
        <v>428</v>
      </c>
      <c r="C64" s="155">
        <f>'1-BaseTRR'!$G$2-1</f>
        <v>2020</v>
      </c>
      <c r="D64" s="478">
        <v>-2673</v>
      </c>
      <c r="E64" s="478">
        <v>37134888</v>
      </c>
      <c r="F64" s="478">
        <v>57275945</v>
      </c>
      <c r="G64" s="478">
        <v>10775956</v>
      </c>
      <c r="H64" s="478">
        <v>809044718</v>
      </c>
      <c r="I64" s="478">
        <v>11905869</v>
      </c>
      <c r="J64" s="478">
        <v>157335941</v>
      </c>
      <c r="K64" s="478">
        <v>318544082</v>
      </c>
      <c r="L64" s="478">
        <v>336604694</v>
      </c>
      <c r="M64" s="478">
        <v>34020582</v>
      </c>
      <c r="N64" s="478">
        <v>45789888</v>
      </c>
      <c r="O64" s="478">
        <v>10402307</v>
      </c>
      <c r="P64" s="24">
        <f>SUM(D64:O64)</f>
        <v>1828832197</v>
      </c>
      <c r="Q64" s="157"/>
      <c r="R64" s="127">
        <f t="shared" ref="R64:R77" si="10">A64</f>
        <v>300</v>
      </c>
    </row>
    <row r="65" spans="1:18">
      <c r="A65" s="127">
        <f>A64+1</f>
        <v>301</v>
      </c>
      <c r="B65" s="149" t="s">
        <v>430</v>
      </c>
      <c r="C65" s="155">
        <f>'1-BaseTRR'!$G$2</f>
        <v>2021</v>
      </c>
      <c r="D65" s="478">
        <v>-3367</v>
      </c>
      <c r="E65" s="478">
        <v>38122792</v>
      </c>
      <c r="F65" s="478">
        <v>51545490</v>
      </c>
      <c r="G65" s="478">
        <v>11955511</v>
      </c>
      <c r="H65" s="478">
        <v>1067932136</v>
      </c>
      <c r="I65" s="478">
        <v>13721566</v>
      </c>
      <c r="J65" s="478">
        <v>113242670</v>
      </c>
      <c r="K65" s="478">
        <v>355826392</v>
      </c>
      <c r="L65" s="478">
        <v>302638482</v>
      </c>
      <c r="M65" s="478">
        <v>41785710</v>
      </c>
      <c r="N65" s="478">
        <v>41595223</v>
      </c>
      <c r="O65" s="478">
        <v>10560966</v>
      </c>
      <c r="P65" s="24">
        <f t="shared" ref="P65:P76" si="11">SUM(D65:O65)</f>
        <v>2048923571</v>
      </c>
      <c r="Q65" s="157"/>
      <c r="R65" s="127">
        <f t="shared" si="10"/>
        <v>301</v>
      </c>
    </row>
    <row r="66" spans="1:18">
      <c r="A66" s="127">
        <f t="shared" ref="A66:A77" si="12">A65+1</f>
        <v>302</v>
      </c>
      <c r="B66" s="149" t="s">
        <v>431</v>
      </c>
      <c r="C66" s="155">
        <f>'1-BaseTRR'!$G$2</f>
        <v>2021</v>
      </c>
      <c r="D66" s="478">
        <v>-3362</v>
      </c>
      <c r="E66" s="478">
        <v>38290475</v>
      </c>
      <c r="F66" s="478">
        <v>51895287</v>
      </c>
      <c r="G66" s="478">
        <v>12066598</v>
      </c>
      <c r="H66" s="478">
        <v>1077020820</v>
      </c>
      <c r="I66" s="478">
        <v>13770478</v>
      </c>
      <c r="J66" s="478">
        <v>113872030</v>
      </c>
      <c r="K66" s="478">
        <v>358918675</v>
      </c>
      <c r="L66" s="478">
        <v>303845115</v>
      </c>
      <c r="M66" s="478">
        <v>41994169</v>
      </c>
      <c r="N66" s="478">
        <v>41879795</v>
      </c>
      <c r="O66" s="478">
        <v>9692525</v>
      </c>
      <c r="P66" s="24">
        <f t="shared" si="11"/>
        <v>2063242605</v>
      </c>
      <c r="Q66" s="157"/>
      <c r="R66" s="127">
        <f t="shared" si="10"/>
        <v>302</v>
      </c>
    </row>
    <row r="67" spans="1:18">
      <c r="A67" s="127">
        <f t="shared" si="12"/>
        <v>303</v>
      </c>
      <c r="B67" s="149" t="s">
        <v>432</v>
      </c>
      <c r="C67" s="155">
        <f>'1-BaseTRR'!$G$2</f>
        <v>2021</v>
      </c>
      <c r="D67" s="478">
        <v>-3361</v>
      </c>
      <c r="E67" s="478">
        <v>38447966</v>
      </c>
      <c r="F67" s="478">
        <v>52245182</v>
      </c>
      <c r="G67" s="478">
        <v>12178346</v>
      </c>
      <c r="H67" s="478">
        <v>1086290227</v>
      </c>
      <c r="I67" s="478">
        <v>13819329</v>
      </c>
      <c r="J67" s="478">
        <v>112105414</v>
      </c>
      <c r="K67" s="478">
        <v>361324937</v>
      </c>
      <c r="L67" s="478">
        <v>303129500</v>
      </c>
      <c r="M67" s="478">
        <v>42207147</v>
      </c>
      <c r="N67" s="478">
        <v>42159581</v>
      </c>
      <c r="O67" s="478">
        <v>9842021</v>
      </c>
      <c r="P67" s="24">
        <f t="shared" si="11"/>
        <v>2073746289</v>
      </c>
      <c r="Q67" s="157"/>
      <c r="R67" s="127">
        <f t="shared" si="10"/>
        <v>303</v>
      </c>
    </row>
    <row r="68" spans="1:18">
      <c r="A68" s="127">
        <f t="shared" si="12"/>
        <v>304</v>
      </c>
      <c r="B68" s="149" t="s">
        <v>433</v>
      </c>
      <c r="C68" s="155">
        <f>'1-BaseTRR'!$G$2</f>
        <v>2021</v>
      </c>
      <c r="D68" s="478">
        <v>-3357</v>
      </c>
      <c r="E68" s="478">
        <v>38627865</v>
      </c>
      <c r="F68" s="478">
        <v>52624879</v>
      </c>
      <c r="G68" s="478">
        <v>12290352</v>
      </c>
      <c r="H68" s="478">
        <v>1090833978</v>
      </c>
      <c r="I68" s="478">
        <v>13868474</v>
      </c>
      <c r="J68" s="478">
        <v>112301599</v>
      </c>
      <c r="K68" s="478">
        <v>363624865</v>
      </c>
      <c r="L68" s="478">
        <v>303113850</v>
      </c>
      <c r="M68" s="478">
        <v>42414420</v>
      </c>
      <c r="N68" s="478">
        <v>42442559</v>
      </c>
      <c r="O68" s="478">
        <v>9991506</v>
      </c>
      <c r="P68" s="24">
        <f t="shared" si="11"/>
        <v>2082130990</v>
      </c>
      <c r="Q68" s="157"/>
      <c r="R68" s="127">
        <f t="shared" si="10"/>
        <v>304</v>
      </c>
    </row>
    <row r="69" spans="1:18">
      <c r="A69" s="127">
        <f t="shared" si="12"/>
        <v>305</v>
      </c>
      <c r="B69" s="149" t="s">
        <v>395</v>
      </c>
      <c r="C69" s="155">
        <f>'1-BaseTRR'!$G$2</f>
        <v>2021</v>
      </c>
      <c r="D69" s="478">
        <v>-3355</v>
      </c>
      <c r="E69" s="478">
        <v>38798557</v>
      </c>
      <c r="F69" s="478">
        <v>52980856</v>
      </c>
      <c r="G69" s="478">
        <v>12405603</v>
      </c>
      <c r="H69" s="478">
        <v>1100274962</v>
      </c>
      <c r="I69" s="478">
        <v>13917230</v>
      </c>
      <c r="J69" s="478">
        <v>111911806</v>
      </c>
      <c r="K69" s="478">
        <v>366882843</v>
      </c>
      <c r="L69" s="478">
        <v>304637237</v>
      </c>
      <c r="M69" s="478">
        <v>42617391</v>
      </c>
      <c r="N69" s="478">
        <v>42699669</v>
      </c>
      <c r="O69" s="478">
        <v>10161980</v>
      </c>
      <c r="P69" s="24">
        <f t="shared" si="11"/>
        <v>2097284779</v>
      </c>
      <c r="Q69" s="157"/>
      <c r="R69" s="127">
        <f t="shared" si="10"/>
        <v>305</v>
      </c>
    </row>
    <row r="70" spans="1:18">
      <c r="A70" s="127">
        <f t="shared" si="12"/>
        <v>306</v>
      </c>
      <c r="B70" s="149" t="s">
        <v>531</v>
      </c>
      <c r="C70" s="155">
        <f>'1-BaseTRR'!$G$2</f>
        <v>2021</v>
      </c>
      <c r="D70" s="478">
        <v>-3349</v>
      </c>
      <c r="E70" s="478">
        <v>38972813</v>
      </c>
      <c r="F70" s="478">
        <v>53365072</v>
      </c>
      <c r="G70" s="478">
        <v>12501922</v>
      </c>
      <c r="H70" s="478">
        <v>1103528483</v>
      </c>
      <c r="I70" s="478">
        <v>13965408</v>
      </c>
      <c r="J70" s="478">
        <v>122990343</v>
      </c>
      <c r="K70" s="478">
        <v>369397963</v>
      </c>
      <c r="L70" s="478">
        <v>306706338</v>
      </c>
      <c r="M70" s="478">
        <v>42820778</v>
      </c>
      <c r="N70" s="478">
        <v>42981197</v>
      </c>
      <c r="O70" s="478">
        <v>4942367</v>
      </c>
      <c r="P70" s="24">
        <f t="shared" si="11"/>
        <v>2112169335</v>
      </c>
      <c r="Q70" s="157"/>
      <c r="R70" s="127">
        <f t="shared" si="10"/>
        <v>306</v>
      </c>
    </row>
    <row r="71" spans="1:18">
      <c r="A71" s="127">
        <f t="shared" si="12"/>
        <v>307</v>
      </c>
      <c r="B71" s="149" t="s">
        <v>435</v>
      </c>
      <c r="C71" s="155">
        <f>'1-BaseTRR'!$G$2</f>
        <v>2021</v>
      </c>
      <c r="D71" s="478">
        <v>-3565</v>
      </c>
      <c r="E71" s="478">
        <v>39147156</v>
      </c>
      <c r="F71" s="478">
        <v>53762104</v>
      </c>
      <c r="G71" s="478">
        <v>12608469</v>
      </c>
      <c r="H71" s="478">
        <v>1112215202</v>
      </c>
      <c r="I71" s="478">
        <v>14013750</v>
      </c>
      <c r="J71" s="478">
        <v>115492674</v>
      </c>
      <c r="K71" s="478">
        <v>372816375</v>
      </c>
      <c r="L71" s="478">
        <v>306061132</v>
      </c>
      <c r="M71" s="478">
        <v>43030353</v>
      </c>
      <c r="N71" s="478">
        <v>43262850</v>
      </c>
      <c r="O71" s="478">
        <v>5315957</v>
      </c>
      <c r="P71" s="24">
        <f t="shared" si="11"/>
        <v>2117722457</v>
      </c>
      <c r="Q71" s="157"/>
      <c r="R71" s="127">
        <f t="shared" si="10"/>
        <v>307</v>
      </c>
    </row>
    <row r="72" spans="1:18">
      <c r="A72" s="127">
        <f t="shared" si="12"/>
        <v>308</v>
      </c>
      <c r="B72" s="149" t="s">
        <v>436</v>
      </c>
      <c r="C72" s="155">
        <f>'1-BaseTRR'!$G$2</f>
        <v>2021</v>
      </c>
      <c r="D72" s="478">
        <v>-3136</v>
      </c>
      <c r="E72" s="478">
        <v>39322274</v>
      </c>
      <c r="F72" s="478">
        <v>54214351</v>
      </c>
      <c r="G72" s="478">
        <v>12720605</v>
      </c>
      <c r="H72" s="478">
        <v>1121464430</v>
      </c>
      <c r="I72" s="478">
        <v>14093565</v>
      </c>
      <c r="J72" s="478">
        <v>115925276</v>
      </c>
      <c r="K72" s="478">
        <v>376427342</v>
      </c>
      <c r="L72" s="478">
        <v>307543790</v>
      </c>
      <c r="M72" s="478">
        <v>43328329</v>
      </c>
      <c r="N72" s="478">
        <v>43650476</v>
      </c>
      <c r="O72" s="478">
        <v>5370655</v>
      </c>
      <c r="P72" s="24">
        <f t="shared" si="11"/>
        <v>2134057957</v>
      </c>
      <c r="Q72" s="157"/>
      <c r="R72" s="127">
        <f t="shared" si="10"/>
        <v>308</v>
      </c>
    </row>
    <row r="73" spans="1:18">
      <c r="A73" s="127">
        <f t="shared" si="12"/>
        <v>309</v>
      </c>
      <c r="B73" s="149" t="s">
        <v>437</v>
      </c>
      <c r="C73" s="155">
        <f>'1-BaseTRR'!$G$2</f>
        <v>2021</v>
      </c>
      <c r="D73" s="478">
        <v>-3082</v>
      </c>
      <c r="E73" s="478">
        <v>39494834</v>
      </c>
      <c r="F73" s="478">
        <v>54579478</v>
      </c>
      <c r="G73" s="478">
        <v>12572034</v>
      </c>
      <c r="H73" s="478">
        <v>1133315334</v>
      </c>
      <c r="I73" s="478">
        <v>14129305</v>
      </c>
      <c r="J73" s="478">
        <v>116099016</v>
      </c>
      <c r="K73" s="478">
        <v>375313039</v>
      </c>
      <c r="L73" s="478">
        <v>303745076</v>
      </c>
      <c r="M73" s="478">
        <v>43450586</v>
      </c>
      <c r="N73" s="478">
        <v>43826786</v>
      </c>
      <c r="O73" s="478">
        <v>5519169</v>
      </c>
      <c r="P73" s="24">
        <f t="shared" si="11"/>
        <v>2142041575</v>
      </c>
      <c r="Q73" s="157"/>
      <c r="R73" s="127">
        <f t="shared" si="10"/>
        <v>309</v>
      </c>
    </row>
    <row r="74" spans="1:18">
      <c r="A74" s="127">
        <f t="shared" si="12"/>
        <v>310</v>
      </c>
      <c r="B74" s="149" t="s">
        <v>438</v>
      </c>
      <c r="C74" s="155">
        <f>'1-BaseTRR'!$G$2</f>
        <v>2021</v>
      </c>
      <c r="D74" s="478">
        <v>-3038</v>
      </c>
      <c r="E74" s="478">
        <v>39669382</v>
      </c>
      <c r="F74" s="478">
        <v>54944455</v>
      </c>
      <c r="G74" s="478">
        <v>12681917</v>
      </c>
      <c r="H74" s="478">
        <v>1143639697</v>
      </c>
      <c r="I74" s="478">
        <v>14176815</v>
      </c>
      <c r="J74" s="478">
        <v>116722372</v>
      </c>
      <c r="K74" s="478">
        <v>382566197</v>
      </c>
      <c r="L74" s="478">
        <v>305868372</v>
      </c>
      <c r="M74" s="478">
        <v>43654699</v>
      </c>
      <c r="N74" s="478">
        <v>44109945</v>
      </c>
      <c r="O74" s="478">
        <v>5664831</v>
      </c>
      <c r="P74" s="24">
        <f t="shared" si="11"/>
        <v>2163695644</v>
      </c>
      <c r="Q74" s="157"/>
      <c r="R74" s="127">
        <f t="shared" si="10"/>
        <v>310</v>
      </c>
    </row>
    <row r="75" spans="1:18">
      <c r="A75" s="127">
        <f t="shared" si="12"/>
        <v>311</v>
      </c>
      <c r="B75" s="149" t="s">
        <v>439</v>
      </c>
      <c r="C75" s="155">
        <f>'1-BaseTRR'!$G$2</f>
        <v>2021</v>
      </c>
      <c r="D75" s="478">
        <v>-3055</v>
      </c>
      <c r="E75" s="478">
        <v>39835461</v>
      </c>
      <c r="F75" s="478">
        <v>55295775</v>
      </c>
      <c r="G75" s="478">
        <v>12791569</v>
      </c>
      <c r="H75" s="478">
        <v>1146271105</v>
      </c>
      <c r="I75" s="478">
        <v>14250317</v>
      </c>
      <c r="J75" s="478">
        <v>117330880</v>
      </c>
      <c r="K75" s="478">
        <v>384251840</v>
      </c>
      <c r="L75" s="478">
        <v>303893596</v>
      </c>
      <c r="M75" s="478">
        <v>43865159</v>
      </c>
      <c r="N75" s="478">
        <v>44393963</v>
      </c>
      <c r="O75" s="478">
        <v>5808865</v>
      </c>
      <c r="P75" s="24">
        <f t="shared" si="11"/>
        <v>2167985475</v>
      </c>
      <c r="Q75" s="157"/>
      <c r="R75" s="127">
        <f t="shared" si="10"/>
        <v>311</v>
      </c>
    </row>
    <row r="76" spans="1:18">
      <c r="A76" s="127">
        <f t="shared" si="12"/>
        <v>312</v>
      </c>
      <c r="B76" s="149" t="s">
        <v>428</v>
      </c>
      <c r="C76" s="155">
        <f>'1-BaseTRR'!$G$2</f>
        <v>2021</v>
      </c>
      <c r="D76" s="432">
        <v>88201</v>
      </c>
      <c r="E76" s="432">
        <v>39996721</v>
      </c>
      <c r="F76" s="432">
        <v>53876499</v>
      </c>
      <c r="G76" s="432">
        <v>12647513</v>
      </c>
      <c r="H76" s="432">
        <v>1155172481</v>
      </c>
      <c r="I76" s="432">
        <v>14233601</v>
      </c>
      <c r="J76" s="432">
        <v>121078919</v>
      </c>
      <c r="K76" s="432">
        <v>383393240</v>
      </c>
      <c r="L76" s="432">
        <v>299826840</v>
      </c>
      <c r="M76" s="432">
        <v>44097818</v>
      </c>
      <c r="N76" s="432">
        <v>44695149</v>
      </c>
      <c r="O76" s="432">
        <v>6004749</v>
      </c>
      <c r="P76" s="504">
        <f t="shared" si="11"/>
        <v>2175111731</v>
      </c>
      <c r="Q76" s="203"/>
      <c r="R76" s="127">
        <f t="shared" si="10"/>
        <v>312</v>
      </c>
    </row>
    <row r="77" spans="1:18">
      <c r="A77" s="127">
        <f t="shared" si="12"/>
        <v>313</v>
      </c>
      <c r="B77" s="632" t="s">
        <v>702</v>
      </c>
      <c r="C77" s="633"/>
      <c r="D77" s="634">
        <f>SUM(D64:D76)/13</f>
        <v>3807.7692307692309</v>
      </c>
      <c r="E77" s="634">
        <f>SUM(E64:E76)/13</f>
        <v>38912398.769230768</v>
      </c>
      <c r="F77" s="634">
        <f>SUM(F64:F76)/13</f>
        <v>53738874.846153848</v>
      </c>
      <c r="G77" s="634">
        <f>SUM(G64:G76)/13</f>
        <v>12322799.615384616</v>
      </c>
      <c r="H77" s="634">
        <f t="shared" ref="H77:P77" si="13">SUM(H64:H76)/13</f>
        <v>1088231044.0769231</v>
      </c>
      <c r="I77" s="634">
        <f t="shared" si="13"/>
        <v>13835823.615384616</v>
      </c>
      <c r="J77" s="634">
        <f t="shared" si="13"/>
        <v>118954533.84615384</v>
      </c>
      <c r="K77" s="634">
        <f t="shared" si="13"/>
        <v>366868291.53846157</v>
      </c>
      <c r="L77" s="634">
        <f t="shared" si="13"/>
        <v>306739540.15384614</v>
      </c>
      <c r="M77" s="634">
        <f t="shared" si="13"/>
        <v>42252857</v>
      </c>
      <c r="N77" s="634">
        <f t="shared" si="13"/>
        <v>43345160.07692308</v>
      </c>
      <c r="O77" s="634">
        <f t="shared" si="13"/>
        <v>7636761.384615385</v>
      </c>
      <c r="P77" s="635">
        <f t="shared" si="13"/>
        <v>2092841892.6923077</v>
      </c>
      <c r="Q77" s="157"/>
      <c r="R77" s="127">
        <f t="shared" si="10"/>
        <v>313</v>
      </c>
    </row>
    <row r="78" spans="1:18">
      <c r="A78" s="127"/>
      <c r="B78" s="160"/>
      <c r="C78" s="160"/>
      <c r="D78" s="11"/>
      <c r="E78" s="11"/>
      <c r="F78" s="11"/>
      <c r="G78" s="11"/>
      <c r="H78" s="11"/>
      <c r="I78" s="11"/>
      <c r="J78" s="11"/>
      <c r="K78" s="11"/>
      <c r="L78" s="11"/>
      <c r="M78" s="11"/>
      <c r="N78" s="11"/>
      <c r="R78" s="127"/>
    </row>
    <row r="79" spans="1:18">
      <c r="A79" s="127"/>
      <c r="B79" s="160"/>
      <c r="C79" s="160"/>
      <c r="D79" s="11"/>
      <c r="E79" s="11"/>
      <c r="F79" s="11"/>
      <c r="G79" s="11"/>
      <c r="H79" s="11"/>
      <c r="I79" s="11"/>
      <c r="J79" s="11"/>
      <c r="K79" s="11"/>
      <c r="L79" s="11"/>
      <c r="M79" s="11"/>
      <c r="N79" s="11"/>
      <c r="R79" s="127"/>
    </row>
    <row r="80" spans="1:18">
      <c r="B80" s="50" t="s">
        <v>824</v>
      </c>
      <c r="C80" s="50"/>
      <c r="D80" s="140"/>
      <c r="E80" s="140"/>
      <c r="F80" s="140"/>
      <c r="G80" s="140"/>
      <c r="H80" s="140"/>
      <c r="I80" s="140"/>
      <c r="J80" s="140"/>
      <c r="K80" s="140"/>
      <c r="L80" s="140"/>
      <c r="M80" s="140"/>
      <c r="N80" s="47"/>
      <c r="O80" s="47"/>
      <c r="P80" s="47"/>
      <c r="Q80" s="47"/>
      <c r="R80" s="127"/>
    </row>
    <row r="81" spans="1:18">
      <c r="B81" s="149" t="s">
        <v>825</v>
      </c>
      <c r="R81" s="127"/>
    </row>
    <row r="82" spans="1:18">
      <c r="R82" s="127"/>
    </row>
    <row r="83" spans="1:18">
      <c r="A83" s="2"/>
      <c r="D83" s="118" t="s">
        <v>371</v>
      </c>
      <c r="E83" s="118" t="s">
        <v>372</v>
      </c>
      <c r="F83" s="118" t="s">
        <v>373</v>
      </c>
      <c r="G83" s="118"/>
      <c r="H83" s="118"/>
      <c r="I83" s="118"/>
      <c r="J83" s="118"/>
      <c r="K83" s="118"/>
      <c r="L83" s="118"/>
      <c r="M83" s="118"/>
      <c r="N83" s="118"/>
      <c r="R83" s="127"/>
    </row>
    <row r="84" spans="1:18">
      <c r="A84" s="2"/>
      <c r="D84" s="136" t="s">
        <v>711</v>
      </c>
      <c r="E84" s="152" t="s">
        <v>111</v>
      </c>
      <c r="F84" s="152" t="s">
        <v>111</v>
      </c>
      <c r="G84" s="118"/>
      <c r="H84" s="118"/>
      <c r="I84" s="118"/>
      <c r="J84" s="118"/>
      <c r="K84" s="118"/>
      <c r="L84" s="118"/>
      <c r="M84" s="118"/>
      <c r="N84" s="118"/>
      <c r="R84" s="127"/>
    </row>
    <row r="85" spans="1:18">
      <c r="B85" s="4"/>
      <c r="C85" s="4"/>
      <c r="N85" s="21"/>
      <c r="R85" s="127"/>
    </row>
    <row r="86" spans="1:18">
      <c r="A86" s="115" t="s">
        <v>100</v>
      </c>
      <c r="B86" s="115" t="s">
        <v>384</v>
      </c>
      <c r="C86" s="115" t="s">
        <v>420</v>
      </c>
      <c r="D86" s="118" t="s">
        <v>826</v>
      </c>
      <c r="E86" s="118" t="s">
        <v>715</v>
      </c>
      <c r="F86" s="118" t="s">
        <v>716</v>
      </c>
      <c r="G86" s="118"/>
      <c r="H86" s="118"/>
      <c r="I86" s="118"/>
      <c r="J86" s="118"/>
      <c r="K86" s="118"/>
      <c r="L86" s="118"/>
      <c r="M86" s="118"/>
      <c r="N86" s="115"/>
      <c r="R86" s="115" t="str">
        <f>A86</f>
        <v>Line</v>
      </c>
    </row>
    <row r="87" spans="1:18">
      <c r="A87" s="127">
        <v>400</v>
      </c>
      <c r="B87" s="149" t="s">
        <v>428</v>
      </c>
      <c r="C87" s="155">
        <f>'1-BaseTRR'!$G$2-1</f>
        <v>2020</v>
      </c>
      <c r="D87" s="476">
        <f>+E87+F87</f>
        <v>320152032.88</v>
      </c>
      <c r="E87" s="478">
        <v>140214618.29686186</v>
      </c>
      <c r="F87" s="478">
        <v>179937414.58313817</v>
      </c>
      <c r="G87" s="163" t="s">
        <v>827</v>
      </c>
      <c r="H87" s="163"/>
      <c r="I87" s="163"/>
      <c r="J87" s="163"/>
      <c r="K87" s="163"/>
      <c r="L87" s="163"/>
      <c r="M87" s="163"/>
      <c r="N87" s="11"/>
      <c r="R87" s="127">
        <f t="shared" ref="R87:R89" si="14">A87</f>
        <v>400</v>
      </c>
    </row>
    <row r="88" spans="1:18">
      <c r="A88" s="127">
        <f>+A87+1</f>
        <v>401</v>
      </c>
      <c r="B88" s="158" t="s">
        <v>428</v>
      </c>
      <c r="C88" s="159">
        <f>'1-BaseTRR'!$G$2</f>
        <v>2021</v>
      </c>
      <c r="D88" s="477">
        <f>+E88+F88</f>
        <v>334009022.54999995</v>
      </c>
      <c r="E88" s="479">
        <v>121844420.64098677</v>
      </c>
      <c r="F88" s="479">
        <v>212164601.90901318</v>
      </c>
      <c r="G88" s="163" t="s">
        <v>828</v>
      </c>
      <c r="H88" s="164"/>
      <c r="I88" s="164"/>
      <c r="J88" s="164"/>
      <c r="K88" s="164"/>
      <c r="L88" s="164"/>
      <c r="M88" s="164"/>
      <c r="N88" s="164"/>
      <c r="R88" s="127">
        <f t="shared" si="14"/>
        <v>401</v>
      </c>
    </row>
    <row r="89" spans="1:18">
      <c r="A89" s="127">
        <f t="shared" ref="A89" si="15">A88+1</f>
        <v>402</v>
      </c>
      <c r="B89" s="168" t="s">
        <v>719</v>
      </c>
      <c r="C89" s="168"/>
      <c r="D89" s="548">
        <f t="shared" ref="D89:F89" si="16">AVERAGE(D87:D88)</f>
        <v>327080527.71499997</v>
      </c>
      <c r="E89" s="548">
        <f t="shared" si="16"/>
        <v>131029519.46892431</v>
      </c>
      <c r="F89" s="548">
        <f t="shared" si="16"/>
        <v>196051008.24607569</v>
      </c>
      <c r="G89" s="11" t="s">
        <v>720</v>
      </c>
      <c r="H89" s="11"/>
      <c r="I89" s="11"/>
      <c r="J89" s="11"/>
      <c r="K89" s="11"/>
      <c r="L89" s="11"/>
      <c r="M89" s="11"/>
      <c r="N89" s="11"/>
      <c r="R89" s="127">
        <f t="shared" si="14"/>
        <v>402</v>
      </c>
    </row>
    <row r="90" spans="1:18">
      <c r="A90" s="127"/>
      <c r="B90" s="160"/>
      <c r="C90" s="160"/>
      <c r="D90" s="11"/>
      <c r="E90" s="11"/>
      <c r="F90" s="11"/>
      <c r="G90" s="11"/>
      <c r="H90" s="11"/>
      <c r="I90" s="11"/>
      <c r="J90" s="11"/>
      <c r="K90" s="11"/>
      <c r="L90" s="11"/>
      <c r="M90" s="11"/>
      <c r="N90" s="11"/>
      <c r="R90" s="127"/>
    </row>
    <row r="91" spans="1:18">
      <c r="A91" s="127"/>
      <c r="B91" s="160"/>
      <c r="C91" s="160"/>
      <c r="D91" s="11"/>
      <c r="E91" s="11"/>
      <c r="F91" s="11"/>
      <c r="G91" s="11"/>
      <c r="H91" s="11"/>
      <c r="I91" s="11"/>
      <c r="J91" s="11"/>
      <c r="K91" s="11"/>
      <c r="L91" s="11"/>
      <c r="M91" s="11"/>
      <c r="N91" s="11"/>
      <c r="R91" s="127"/>
    </row>
    <row r="92" spans="1:18">
      <c r="B92" s="50" t="s">
        <v>829</v>
      </c>
      <c r="C92" s="50"/>
      <c r="D92" s="140"/>
      <c r="E92" s="140"/>
      <c r="F92" s="140"/>
      <c r="G92" s="140"/>
      <c r="H92" s="140"/>
      <c r="I92" s="140"/>
      <c r="J92" s="140"/>
      <c r="K92" s="140"/>
      <c r="L92" s="140"/>
      <c r="M92" s="140"/>
      <c r="N92" s="47"/>
      <c r="O92" s="47"/>
      <c r="P92" s="47"/>
      <c r="Q92" s="47"/>
      <c r="R92" s="127"/>
    </row>
    <row r="93" spans="1:18">
      <c r="B93" s="149" t="s">
        <v>830</v>
      </c>
    </row>
    <row r="95" spans="1:18">
      <c r="A95" s="2"/>
      <c r="D95" s="118" t="s">
        <v>371</v>
      </c>
      <c r="E95" s="118" t="s">
        <v>372</v>
      </c>
      <c r="F95" s="118" t="s">
        <v>373</v>
      </c>
      <c r="G95" s="118" t="s">
        <v>374</v>
      </c>
      <c r="H95" s="118" t="s">
        <v>375</v>
      </c>
      <c r="I95" s="118"/>
      <c r="J95" s="118"/>
      <c r="K95" s="118"/>
      <c r="L95" s="118"/>
      <c r="M95" s="118"/>
      <c r="N95" s="118"/>
      <c r="R95" s="127"/>
    </row>
    <row r="96" spans="1:18" ht="30">
      <c r="A96" s="2"/>
      <c r="D96" s="152" t="s">
        <v>203</v>
      </c>
      <c r="E96" s="152" t="s">
        <v>723</v>
      </c>
      <c r="F96" s="165" t="s">
        <v>724</v>
      </c>
      <c r="G96" s="152" t="s">
        <v>725</v>
      </c>
      <c r="H96" s="152" t="s">
        <v>726</v>
      </c>
      <c r="I96" s="118"/>
      <c r="J96" s="118"/>
      <c r="K96" s="118"/>
      <c r="L96" s="118"/>
      <c r="M96" s="118"/>
      <c r="N96" s="118"/>
      <c r="R96" s="127"/>
    </row>
    <row r="97" spans="1:18">
      <c r="A97" s="2"/>
      <c r="D97" s="118"/>
      <c r="E97" s="118"/>
      <c r="F97" s="118"/>
      <c r="G97" s="118"/>
      <c r="H97" s="118"/>
      <c r="I97" s="118"/>
      <c r="J97" s="118"/>
      <c r="K97" s="118"/>
      <c r="L97" s="118"/>
      <c r="M97" s="118"/>
      <c r="N97" s="118"/>
      <c r="R97" s="127"/>
    </row>
    <row r="98" spans="1:18">
      <c r="A98" s="2"/>
      <c r="D98" s="118"/>
      <c r="E98" s="4" t="s">
        <v>727</v>
      </c>
      <c r="F98" s="4" t="s">
        <v>727</v>
      </c>
      <c r="G98" s="118"/>
      <c r="H98" s="118"/>
      <c r="I98" s="118"/>
      <c r="J98" s="118"/>
      <c r="K98" s="118"/>
      <c r="L98" s="118"/>
      <c r="M98" s="118"/>
      <c r="N98" s="118"/>
      <c r="R98" s="127"/>
    </row>
    <row r="99" spans="1:18">
      <c r="B99" s="4"/>
      <c r="C99" s="4"/>
      <c r="D99" s="119" t="s">
        <v>728</v>
      </c>
      <c r="E99" s="4" t="s">
        <v>385</v>
      </c>
      <c r="F99" s="4" t="s">
        <v>385</v>
      </c>
      <c r="N99" s="21"/>
      <c r="R99" s="127"/>
    </row>
    <row r="100" spans="1:18">
      <c r="A100" s="115" t="s">
        <v>100</v>
      </c>
      <c r="B100" s="115" t="s">
        <v>384</v>
      </c>
      <c r="C100" s="115" t="s">
        <v>420</v>
      </c>
      <c r="D100" s="167" t="s">
        <v>729</v>
      </c>
      <c r="E100" s="167" t="s">
        <v>730</v>
      </c>
      <c r="F100" s="162" t="s">
        <v>731</v>
      </c>
      <c r="G100" s="118" t="s">
        <v>715</v>
      </c>
      <c r="H100" s="118" t="s">
        <v>716</v>
      </c>
      <c r="I100" s="118"/>
      <c r="J100" s="118"/>
      <c r="K100" s="118"/>
      <c r="L100" s="118"/>
      <c r="M100" s="118"/>
      <c r="N100" s="115"/>
      <c r="R100" s="115" t="str">
        <f>A100</f>
        <v>Line</v>
      </c>
    </row>
    <row r="101" spans="1:18">
      <c r="A101" s="127">
        <v>500</v>
      </c>
      <c r="B101" s="149" t="s">
        <v>428</v>
      </c>
      <c r="C101" s="155">
        <f>'1-BaseTRR'!$G$2-1</f>
        <v>2020</v>
      </c>
      <c r="D101" s="44">
        <v>1172448838.7099996</v>
      </c>
      <c r="E101" s="22">
        <f>'24-Allocators'!$C$24</f>
        <v>0.10327848903946341</v>
      </c>
      <c r="F101" s="476">
        <f>+D101*E101</f>
        <v>121088744.53804229</v>
      </c>
      <c r="G101" s="480">
        <f>+F101*'24-Allocators'!$C$43</f>
        <v>42726906.706765205</v>
      </c>
      <c r="H101" s="480">
        <f>+F101*'24-Allocators'!$C$44</f>
        <v>78361837.831277087</v>
      </c>
      <c r="I101" s="163" t="s">
        <v>831</v>
      </c>
      <c r="J101" s="163"/>
      <c r="K101" s="163"/>
      <c r="L101" s="163"/>
      <c r="M101" s="163"/>
      <c r="N101" s="11"/>
      <c r="R101" s="127">
        <f t="shared" ref="R101:R103" si="17">A101</f>
        <v>500</v>
      </c>
    </row>
    <row r="102" spans="1:18">
      <c r="A102" s="127">
        <f>+A101+1</f>
        <v>501</v>
      </c>
      <c r="B102" s="158" t="s">
        <v>428</v>
      </c>
      <c r="C102" s="159">
        <f>'1-BaseTRR'!$G$2</f>
        <v>2021</v>
      </c>
      <c r="D102" s="41">
        <v>1006714730.6500001</v>
      </c>
      <c r="E102" s="32">
        <f>'24-Allocators'!$C$24</f>
        <v>0.10327848903946341</v>
      </c>
      <c r="F102" s="477">
        <f>+D102*E102</f>
        <v>103971976.2753024</v>
      </c>
      <c r="G102" s="477">
        <f>+F102*'24-Allocators'!$C$43</f>
        <v>36687149.969064116</v>
      </c>
      <c r="H102" s="477">
        <f>+F102*'24-Allocators'!$C$44</f>
        <v>67284826.306238279</v>
      </c>
      <c r="I102" s="163" t="s">
        <v>832</v>
      </c>
      <c r="J102" s="164"/>
      <c r="K102" s="164"/>
      <c r="L102" s="164"/>
      <c r="M102" s="164"/>
      <c r="N102" s="164"/>
      <c r="R102" s="127">
        <f t="shared" si="17"/>
        <v>501</v>
      </c>
    </row>
    <row r="103" spans="1:18">
      <c r="A103" s="127">
        <f t="shared" ref="A103" si="18">A102+1</f>
        <v>502</v>
      </c>
      <c r="B103" s="168" t="s">
        <v>719</v>
      </c>
      <c r="C103" s="168"/>
      <c r="D103" s="548">
        <f>AVERAGE(D101:D102)</f>
        <v>1089581784.6799998</v>
      </c>
      <c r="E103" s="2"/>
      <c r="F103" s="548">
        <f>AVERAGE(F101:F102)</f>
        <v>112530360.40667234</v>
      </c>
      <c r="G103" s="548">
        <f t="shared" ref="G103:H103" si="19">AVERAGE(G101:G102)</f>
        <v>39707028.337914661</v>
      </c>
      <c r="H103" s="548">
        <f t="shared" si="19"/>
        <v>72823332.068757683</v>
      </c>
      <c r="I103" s="11" t="s">
        <v>734</v>
      </c>
      <c r="J103" s="11"/>
      <c r="K103" s="11"/>
      <c r="L103" s="11"/>
      <c r="M103" s="11"/>
      <c r="N103" s="11"/>
      <c r="R103" s="127">
        <f t="shared" si="17"/>
        <v>502</v>
      </c>
    </row>
    <row r="104" spans="1:18">
      <c r="A104" s="127"/>
      <c r="B104" s="149"/>
      <c r="C104" s="149"/>
      <c r="D104" s="11"/>
      <c r="E104" s="11"/>
      <c r="F104" s="11"/>
      <c r="G104" s="11"/>
      <c r="H104" s="11"/>
      <c r="I104" s="11"/>
      <c r="J104" s="11"/>
      <c r="K104" s="11"/>
      <c r="L104" s="11"/>
      <c r="M104" s="11"/>
      <c r="N104" s="11"/>
      <c r="R104" s="127"/>
    </row>
    <row r="105" spans="1:18">
      <c r="A105" s="127"/>
      <c r="B105" s="149"/>
      <c r="C105" s="149"/>
      <c r="D105" s="11"/>
      <c r="E105" s="11"/>
      <c r="F105" s="11"/>
      <c r="G105" s="11"/>
      <c r="H105" s="11"/>
      <c r="I105" s="11"/>
      <c r="J105" s="11"/>
      <c r="K105" s="11"/>
      <c r="L105" s="11"/>
      <c r="M105" s="11"/>
      <c r="N105" s="11"/>
      <c r="R105" s="127"/>
    </row>
    <row r="106" spans="1:18">
      <c r="B106" s="50" t="s">
        <v>833</v>
      </c>
      <c r="C106" s="50"/>
      <c r="D106" s="140"/>
      <c r="E106" s="140"/>
      <c r="F106" s="140"/>
      <c r="G106" s="140"/>
      <c r="H106" s="140"/>
      <c r="I106" s="140"/>
      <c r="J106" s="140"/>
      <c r="K106" s="140"/>
      <c r="L106" s="140"/>
      <c r="M106" s="140"/>
      <c r="N106" s="47"/>
      <c r="O106" s="47"/>
      <c r="P106" s="47"/>
      <c r="Q106" s="47"/>
      <c r="R106" s="127"/>
    </row>
    <row r="107" spans="1:18">
      <c r="B107" s="149" t="s">
        <v>834</v>
      </c>
    </row>
    <row r="109" spans="1:18">
      <c r="A109" s="2"/>
      <c r="D109" s="118" t="s">
        <v>371</v>
      </c>
      <c r="E109" s="118" t="s">
        <v>372</v>
      </c>
      <c r="F109" s="118" t="s">
        <v>373</v>
      </c>
      <c r="G109" s="118" t="s">
        <v>374</v>
      </c>
      <c r="H109" s="118" t="s">
        <v>375</v>
      </c>
      <c r="I109" s="118"/>
      <c r="J109" s="118"/>
      <c r="K109" s="118"/>
      <c r="L109" s="118"/>
      <c r="M109" s="118"/>
      <c r="N109" s="118"/>
      <c r="R109" s="127"/>
    </row>
    <row r="110" spans="1:18" ht="30">
      <c r="A110" s="2"/>
      <c r="D110" s="152" t="s">
        <v>251</v>
      </c>
      <c r="E110" s="152" t="s">
        <v>737</v>
      </c>
      <c r="F110" s="165" t="s">
        <v>724</v>
      </c>
      <c r="G110" s="152" t="s">
        <v>725</v>
      </c>
      <c r="H110" s="152" t="s">
        <v>726</v>
      </c>
      <c r="I110" s="118"/>
      <c r="J110" s="118"/>
      <c r="K110" s="118"/>
      <c r="L110" s="118"/>
      <c r="M110" s="118"/>
      <c r="N110" s="118"/>
      <c r="R110" s="127"/>
    </row>
    <row r="111" spans="1:18">
      <c r="A111" s="2"/>
      <c r="D111" s="118"/>
      <c r="E111" s="118"/>
      <c r="F111" s="118"/>
      <c r="G111" s="118"/>
      <c r="H111" s="118"/>
      <c r="I111" s="118"/>
      <c r="J111" s="118"/>
      <c r="K111" s="118"/>
      <c r="L111" s="118"/>
      <c r="M111" s="118"/>
      <c r="N111" s="118"/>
      <c r="R111" s="127"/>
    </row>
    <row r="112" spans="1:18">
      <c r="A112" s="2"/>
      <c r="D112" s="118"/>
      <c r="E112" s="4" t="s">
        <v>727</v>
      </c>
      <c r="F112" s="4" t="s">
        <v>727</v>
      </c>
      <c r="G112" s="118"/>
      <c r="H112" s="118"/>
      <c r="I112" s="118"/>
      <c r="J112" s="118"/>
      <c r="K112" s="118"/>
      <c r="L112" s="118"/>
      <c r="M112" s="118"/>
      <c r="N112" s="118"/>
      <c r="R112" s="127"/>
    </row>
    <row r="113" spans="1:18">
      <c r="B113" s="4"/>
      <c r="C113" s="4"/>
      <c r="D113" s="119" t="s">
        <v>738</v>
      </c>
      <c r="E113" s="4" t="s">
        <v>385</v>
      </c>
      <c r="F113" s="4" t="s">
        <v>385</v>
      </c>
      <c r="N113" s="21"/>
      <c r="R113" s="127"/>
    </row>
    <row r="114" spans="1:18">
      <c r="A114" s="115" t="s">
        <v>100</v>
      </c>
      <c r="B114" s="115" t="s">
        <v>384</v>
      </c>
      <c r="C114" s="115" t="s">
        <v>420</v>
      </c>
      <c r="D114" s="167" t="s">
        <v>729</v>
      </c>
      <c r="E114" s="167" t="s">
        <v>730</v>
      </c>
      <c r="F114" s="162" t="s">
        <v>731</v>
      </c>
      <c r="G114" s="118" t="s">
        <v>715</v>
      </c>
      <c r="H114" s="118" t="s">
        <v>716</v>
      </c>
      <c r="I114" s="118"/>
      <c r="J114" s="118"/>
      <c r="K114" s="118"/>
      <c r="L114" s="118"/>
      <c r="M114" s="118"/>
      <c r="N114" s="115"/>
      <c r="R114" s="115" t="str">
        <f>A114</f>
        <v>Line</v>
      </c>
    </row>
    <row r="115" spans="1:18">
      <c r="A115" s="127">
        <v>600</v>
      </c>
      <c r="B115" s="149" t="s">
        <v>428</v>
      </c>
      <c r="C115" s="155">
        <f>'1-BaseTRR'!$G$2-1</f>
        <v>2020</v>
      </c>
      <c r="D115" s="44">
        <v>66401654.049999997</v>
      </c>
      <c r="E115" s="22">
        <f>'24-Allocators'!$C$23</f>
        <v>0.14690087374748809</v>
      </c>
      <c r="F115" s="476">
        <f>+D115*E115</f>
        <v>9754460.9982234314</v>
      </c>
      <c r="G115" s="480">
        <f>+F115*'24-Allocators'!$C$43</f>
        <v>3441921.4323832863</v>
      </c>
      <c r="H115" s="480">
        <f>+F115*'24-Allocators'!$C$44</f>
        <v>6312539.5658401456</v>
      </c>
      <c r="I115" s="163" t="s">
        <v>835</v>
      </c>
      <c r="J115" s="163"/>
      <c r="K115" s="163"/>
      <c r="L115" s="163"/>
      <c r="M115" s="163"/>
      <c r="N115" s="11"/>
      <c r="R115" s="127">
        <f t="shared" ref="R115:R117" si="20">A115</f>
        <v>600</v>
      </c>
    </row>
    <row r="116" spans="1:18">
      <c r="A116" s="127">
        <f>+A115+1</f>
        <v>601</v>
      </c>
      <c r="B116" s="158" t="s">
        <v>428</v>
      </c>
      <c r="C116" s="159">
        <f>'1-BaseTRR'!$G$2</f>
        <v>2021</v>
      </c>
      <c r="D116" s="41">
        <v>77287812.320000023</v>
      </c>
      <c r="E116" s="32">
        <f>'24-Allocators'!$C$23</f>
        <v>0.14690087374748809</v>
      </c>
      <c r="F116" s="477">
        <f>+D116*E116</f>
        <v>11353647.159839878</v>
      </c>
      <c r="G116" s="477">
        <f>+F116*'24-Allocators'!$C$43</f>
        <v>4006204.0847041984</v>
      </c>
      <c r="H116" s="477">
        <f>+F116*'24-Allocators'!$C$44</f>
        <v>7347443.0751356799</v>
      </c>
      <c r="I116" s="163" t="s">
        <v>836</v>
      </c>
      <c r="J116" s="164"/>
      <c r="K116" s="164"/>
      <c r="L116" s="164"/>
      <c r="M116" s="164"/>
      <c r="N116" s="164"/>
      <c r="R116" s="127">
        <f t="shared" si="20"/>
        <v>601</v>
      </c>
    </row>
    <row r="117" spans="1:18">
      <c r="A117" s="127">
        <f t="shared" ref="A117" si="21">A116+1</f>
        <v>602</v>
      </c>
      <c r="B117" s="168" t="s">
        <v>719</v>
      </c>
      <c r="C117" s="168"/>
      <c r="D117" s="548">
        <f>AVERAGE(D115:D116)</f>
        <v>71844733.185000002</v>
      </c>
      <c r="E117" s="2"/>
      <c r="F117" s="548">
        <f>AVERAGE(F115:F116)</f>
        <v>10554054.079031654</v>
      </c>
      <c r="G117" s="548">
        <f t="shared" ref="G117:H117" si="22">AVERAGE(G115:G116)</f>
        <v>3724062.7585437424</v>
      </c>
      <c r="H117" s="548">
        <f t="shared" si="22"/>
        <v>6829991.3204879127</v>
      </c>
      <c r="I117" s="11" t="s">
        <v>741</v>
      </c>
      <c r="J117" s="11"/>
      <c r="K117" s="11"/>
      <c r="L117" s="11"/>
      <c r="M117" s="11"/>
      <c r="N117" s="11"/>
      <c r="R117" s="127">
        <f t="shared" si="20"/>
        <v>602</v>
      </c>
    </row>
    <row r="118" spans="1:18">
      <c r="A118" s="127"/>
      <c r="B118" s="160"/>
      <c r="C118" s="160"/>
      <c r="D118" s="204"/>
      <c r="E118" s="204"/>
      <c r="F118" s="204"/>
      <c r="G118" s="11"/>
      <c r="H118" s="11"/>
      <c r="I118" s="11"/>
      <c r="J118" s="11"/>
      <c r="K118" s="11"/>
      <c r="L118" s="11"/>
      <c r="M118" s="11"/>
      <c r="N118" s="11"/>
      <c r="R118" s="127"/>
    </row>
    <row r="119" spans="1:18">
      <c r="A119" s="127"/>
      <c r="B119" s="160"/>
      <c r="C119" s="160"/>
      <c r="D119" s="204"/>
      <c r="E119" s="204"/>
      <c r="F119" s="204"/>
      <c r="G119" s="11"/>
      <c r="H119" s="11"/>
      <c r="I119" s="11"/>
      <c r="J119" s="11"/>
      <c r="K119" s="11"/>
      <c r="L119" s="11"/>
      <c r="M119" s="11"/>
      <c r="N119" s="11"/>
      <c r="R119" s="127"/>
    </row>
    <row r="120" spans="1:18">
      <c r="B120" s="205" t="s">
        <v>837</v>
      </c>
      <c r="C120" s="205"/>
      <c r="D120" s="52"/>
      <c r="E120" s="52"/>
      <c r="F120" s="52"/>
      <c r="G120" s="52"/>
      <c r="H120" s="52"/>
      <c r="I120" s="52"/>
      <c r="J120" s="52"/>
      <c r="K120" s="52"/>
      <c r="L120" s="52"/>
      <c r="M120" s="52"/>
      <c r="N120" s="52"/>
      <c r="O120" s="47"/>
      <c r="P120" s="47"/>
      <c r="Q120" s="47"/>
      <c r="R120" s="127"/>
    </row>
    <row r="121" spans="1:18">
      <c r="B121" s="149" t="s">
        <v>838</v>
      </c>
    </row>
    <row r="123" spans="1:18">
      <c r="A123" s="2"/>
      <c r="D123" s="118" t="s">
        <v>371</v>
      </c>
      <c r="E123" s="118" t="s">
        <v>372</v>
      </c>
      <c r="F123" s="118" t="s">
        <v>373</v>
      </c>
      <c r="G123" s="11"/>
      <c r="H123" s="11"/>
      <c r="I123" s="11"/>
      <c r="J123" s="11"/>
      <c r="K123" s="11"/>
      <c r="L123" s="11"/>
      <c r="M123" s="11"/>
      <c r="N123" s="11"/>
      <c r="R123" s="127"/>
    </row>
    <row r="124" spans="1:18" ht="30">
      <c r="B124" s="4"/>
      <c r="C124" s="4"/>
      <c r="D124" s="152" t="s">
        <v>744</v>
      </c>
      <c r="E124" s="152" t="s">
        <v>744</v>
      </c>
      <c r="F124" s="152" t="s">
        <v>744</v>
      </c>
      <c r="G124" s="11"/>
      <c r="H124" s="11"/>
      <c r="I124" s="11"/>
      <c r="J124" s="11"/>
      <c r="K124" s="11"/>
      <c r="L124" s="11"/>
      <c r="M124" s="11"/>
      <c r="N124" s="11"/>
      <c r="R124" s="127"/>
    </row>
    <row r="125" spans="1:18">
      <c r="B125" s="4"/>
      <c r="C125" s="4"/>
      <c r="D125" s="152"/>
      <c r="E125" s="152"/>
      <c r="F125" s="152"/>
      <c r="G125" s="11"/>
      <c r="H125" s="11"/>
      <c r="I125" s="11"/>
      <c r="J125" s="11"/>
      <c r="K125" s="11"/>
      <c r="L125" s="11"/>
      <c r="M125" s="11"/>
      <c r="N125" s="11"/>
      <c r="R125" s="127"/>
    </row>
    <row r="126" spans="1:18">
      <c r="A126" s="115" t="s">
        <v>100</v>
      </c>
      <c r="B126" s="115" t="s">
        <v>384</v>
      </c>
      <c r="C126" s="115" t="s">
        <v>420</v>
      </c>
      <c r="D126" s="118" t="s">
        <v>826</v>
      </c>
      <c r="E126" s="118" t="s">
        <v>715</v>
      </c>
      <c r="F126" s="118" t="s">
        <v>716</v>
      </c>
      <c r="G126" s="118" t="s">
        <v>135</v>
      </c>
      <c r="H126" s="11"/>
      <c r="I126" s="11"/>
      <c r="J126" s="11"/>
      <c r="K126" s="11"/>
      <c r="L126" s="11"/>
      <c r="M126" s="11"/>
      <c r="N126" s="11"/>
      <c r="R126" s="115" t="str">
        <f>A126</f>
        <v>Line</v>
      </c>
    </row>
    <row r="127" spans="1:18">
      <c r="A127" s="127">
        <v>700</v>
      </c>
      <c r="B127" s="149" t="s">
        <v>428</v>
      </c>
      <c r="C127" s="155">
        <f>'1-BaseTRR'!$G$2-1</f>
        <v>2020</v>
      </c>
      <c r="D127" s="476">
        <f t="shared" ref="D127:F128" si="23">+D87+F101+F115</f>
        <v>450995238.41626573</v>
      </c>
      <c r="E127" s="476">
        <f t="shared" si="23"/>
        <v>186383446.43601036</v>
      </c>
      <c r="F127" s="476">
        <f t="shared" si="23"/>
        <v>264611791.9802554</v>
      </c>
      <c r="G127" s="163" t="s">
        <v>750</v>
      </c>
      <c r="H127" s="164"/>
      <c r="I127" s="164"/>
      <c r="J127" s="164"/>
      <c r="K127" s="164"/>
      <c r="L127" s="164"/>
      <c r="M127" s="164"/>
      <c r="N127" s="164"/>
      <c r="R127" s="127">
        <f t="shared" ref="R127:R129" si="24">A127</f>
        <v>700</v>
      </c>
    </row>
    <row r="128" spans="1:18">
      <c r="A128" s="127">
        <f>+A127+1</f>
        <v>701</v>
      </c>
      <c r="B128" s="158" t="s">
        <v>428</v>
      </c>
      <c r="C128" s="159">
        <f>'1-BaseTRR'!$G$2</f>
        <v>2021</v>
      </c>
      <c r="D128" s="477">
        <f t="shared" si="23"/>
        <v>449334645.98514223</v>
      </c>
      <c r="E128" s="477">
        <f t="shared" si="23"/>
        <v>162537774.69475508</v>
      </c>
      <c r="F128" s="477">
        <f t="shared" si="23"/>
        <v>286796871.29038715</v>
      </c>
      <c r="G128" s="163" t="s">
        <v>751</v>
      </c>
      <c r="H128" s="11"/>
      <c r="I128" s="11"/>
      <c r="J128" s="11"/>
      <c r="K128" s="11"/>
      <c r="L128" s="11"/>
      <c r="M128" s="11"/>
      <c r="N128" s="11"/>
      <c r="R128" s="127">
        <f t="shared" si="24"/>
        <v>701</v>
      </c>
    </row>
    <row r="129" spans="1:18">
      <c r="A129" s="127">
        <f t="shared" ref="A129" si="25">A128+1</f>
        <v>702</v>
      </c>
      <c r="B129" s="168" t="s">
        <v>719</v>
      </c>
      <c r="C129" s="168"/>
      <c r="D129" s="548">
        <f>AVERAGE(D127:D128)</f>
        <v>450164942.20070398</v>
      </c>
      <c r="E129" s="548">
        <f t="shared" ref="E129:F129" si="26">AVERAGE(E127:E128)</f>
        <v>174460610.56538272</v>
      </c>
      <c r="F129" s="548">
        <f t="shared" si="26"/>
        <v>275704331.63532126</v>
      </c>
      <c r="G129" s="11" t="s">
        <v>752</v>
      </c>
      <c r="H129" s="11"/>
      <c r="I129" s="11"/>
      <c r="J129" s="11"/>
      <c r="K129" s="11"/>
      <c r="L129" s="11"/>
      <c r="M129" s="11"/>
      <c r="N129" s="11"/>
      <c r="R129" s="127">
        <f t="shared" si="24"/>
        <v>702</v>
      </c>
    </row>
    <row r="130" spans="1:18">
      <c r="A130" s="127"/>
      <c r="B130" s="160"/>
      <c r="C130" s="160"/>
      <c r="D130" s="11"/>
      <c r="E130" s="11"/>
      <c r="F130" s="11"/>
      <c r="G130" s="11"/>
      <c r="H130" s="11"/>
      <c r="I130" s="11"/>
      <c r="J130" s="11"/>
      <c r="K130" s="11"/>
      <c r="L130" s="11"/>
      <c r="M130" s="11"/>
      <c r="N130" s="11"/>
    </row>
    <row r="131" spans="1:18">
      <c r="A131" s="127"/>
      <c r="B131" s="160"/>
      <c r="C131" s="160"/>
      <c r="D131" s="11"/>
      <c r="E131" s="11"/>
      <c r="F131" s="11"/>
      <c r="G131" s="11"/>
      <c r="H131" s="11"/>
      <c r="I131" s="11"/>
      <c r="J131" s="11"/>
      <c r="K131" s="11"/>
      <c r="L131" s="11"/>
      <c r="M131" s="11"/>
      <c r="N131" s="11"/>
    </row>
    <row r="132" spans="1:18" ht="15" customHeight="1">
      <c r="B132" s="7" t="s">
        <v>306</v>
      </c>
      <c r="C132" s="160"/>
      <c r="D132" s="11"/>
      <c r="E132" s="11"/>
      <c r="F132" s="11"/>
      <c r="G132" s="11"/>
      <c r="H132" s="11"/>
      <c r="I132" s="11"/>
      <c r="J132" s="11"/>
      <c r="K132" s="11"/>
      <c r="L132" s="11"/>
      <c r="M132" s="11"/>
      <c r="N132" s="11"/>
    </row>
    <row r="133" spans="1:18">
      <c r="A133" s="206"/>
      <c r="B133" s="819" t="s">
        <v>839</v>
      </c>
      <c r="C133" s="819"/>
      <c r="D133" s="819"/>
      <c r="E133" s="819"/>
      <c r="F133" s="819"/>
      <c r="G133" s="819"/>
      <c r="H133" s="819"/>
      <c r="I133" s="819"/>
      <c r="J133" s="819"/>
      <c r="K133" s="819"/>
      <c r="L133" s="819"/>
      <c r="M133" s="819"/>
      <c r="N133" s="819"/>
      <c r="O133" s="819"/>
      <c r="P133" s="819"/>
      <c r="Q133" s="819"/>
    </row>
    <row r="134" spans="1:18">
      <c r="A134" s="127"/>
      <c r="B134" s="819" t="s">
        <v>840</v>
      </c>
      <c r="C134" s="819"/>
      <c r="D134" s="819"/>
      <c r="E134" s="819"/>
      <c r="F134" s="819"/>
      <c r="G134" s="819"/>
      <c r="H134" s="819"/>
      <c r="I134" s="819"/>
      <c r="J134" s="819"/>
      <c r="K134" s="819"/>
      <c r="L134" s="819"/>
      <c r="M134" s="819"/>
      <c r="N134" s="819"/>
      <c r="O134" s="819"/>
      <c r="P134" s="819"/>
      <c r="Q134" s="819"/>
    </row>
    <row r="135" spans="1:18">
      <c r="A135" s="127"/>
      <c r="B135" s="819" t="s">
        <v>841</v>
      </c>
      <c r="C135" s="819"/>
      <c r="D135" s="819"/>
      <c r="E135" s="819"/>
      <c r="F135" s="819"/>
      <c r="G135" s="819"/>
      <c r="H135" s="819"/>
      <c r="I135" s="819"/>
      <c r="J135" s="819"/>
      <c r="K135" s="819"/>
      <c r="L135" s="819"/>
      <c r="M135" s="819"/>
      <c r="N135" s="819"/>
      <c r="O135" s="819"/>
      <c r="P135" s="819"/>
      <c r="Q135" s="819"/>
    </row>
    <row r="136" spans="1:18">
      <c r="A136" s="127"/>
      <c r="B136" s="819" t="s">
        <v>684</v>
      </c>
      <c r="C136" s="819"/>
      <c r="D136" s="819"/>
      <c r="E136" s="819"/>
      <c r="F136" s="819"/>
      <c r="G136" s="819"/>
      <c r="H136" s="819"/>
      <c r="I136" s="819"/>
      <c r="J136" s="819"/>
      <c r="K136" s="819"/>
      <c r="L136" s="819"/>
      <c r="M136" s="819"/>
      <c r="N136" s="819"/>
      <c r="O136" s="819"/>
      <c r="P136" s="819"/>
      <c r="Q136" s="819"/>
    </row>
    <row r="137" spans="1:18">
      <c r="A137" s="127"/>
      <c r="B137" s="160"/>
      <c r="C137" s="160"/>
      <c r="D137" s="207"/>
      <c r="E137" s="207"/>
      <c r="F137" s="207"/>
      <c r="G137" s="207"/>
      <c r="H137" s="207"/>
      <c r="I137" s="207"/>
      <c r="J137" s="207"/>
      <c r="K137" s="207"/>
      <c r="L137" s="207"/>
      <c r="M137" s="207"/>
      <c r="N137" s="208"/>
    </row>
    <row r="138" spans="1:18">
      <c r="A138" s="127"/>
      <c r="B138" s="160"/>
      <c r="C138" s="160"/>
      <c r="D138" s="207"/>
      <c r="E138" s="207"/>
      <c r="F138" s="207"/>
      <c r="G138" s="207"/>
      <c r="H138" s="207"/>
      <c r="I138" s="207"/>
      <c r="J138" s="207"/>
      <c r="K138" s="207"/>
      <c r="L138" s="207"/>
      <c r="M138" s="207"/>
      <c r="N138" s="208"/>
    </row>
    <row r="139" spans="1:18">
      <c r="A139" s="127"/>
      <c r="B139" s="160"/>
      <c r="C139" s="160"/>
      <c r="D139" s="207"/>
      <c r="E139" s="207"/>
      <c r="F139" s="207"/>
      <c r="G139" s="207"/>
      <c r="H139" s="207"/>
      <c r="I139" s="207"/>
      <c r="J139" s="207"/>
      <c r="K139" s="207"/>
      <c r="L139" s="207"/>
      <c r="M139" s="207"/>
      <c r="N139" s="208"/>
    </row>
    <row r="140" spans="1:18">
      <c r="A140" s="127"/>
      <c r="B140" s="160"/>
      <c r="C140" s="160"/>
      <c r="D140" s="207"/>
      <c r="E140" s="207"/>
      <c r="F140" s="207"/>
      <c r="G140" s="207"/>
      <c r="H140" s="207"/>
      <c r="I140" s="207"/>
      <c r="J140" s="207"/>
      <c r="K140" s="207"/>
      <c r="L140" s="207"/>
      <c r="M140" s="207"/>
      <c r="N140" s="208"/>
    </row>
    <row r="141" spans="1:18">
      <c r="A141" s="127"/>
      <c r="B141" s="160"/>
      <c r="C141" s="160"/>
      <c r="D141" s="207"/>
      <c r="E141" s="207"/>
      <c r="F141" s="207"/>
      <c r="G141" s="207"/>
      <c r="H141" s="207"/>
      <c r="I141" s="207"/>
      <c r="J141" s="207"/>
      <c r="K141" s="207"/>
      <c r="L141" s="207"/>
      <c r="M141" s="207"/>
      <c r="N141" s="208"/>
    </row>
    <row r="142" spans="1:18">
      <c r="A142" s="127"/>
      <c r="B142" s="160"/>
      <c r="C142" s="160"/>
      <c r="D142" s="207"/>
      <c r="E142" s="207"/>
      <c r="F142" s="207"/>
      <c r="G142" s="207"/>
      <c r="H142" s="207"/>
      <c r="I142" s="207"/>
      <c r="J142" s="207"/>
      <c r="K142" s="207"/>
      <c r="L142" s="207"/>
      <c r="M142" s="207"/>
      <c r="N142" s="208"/>
    </row>
    <row r="143" spans="1:18">
      <c r="A143" s="127"/>
      <c r="B143" s="160"/>
      <c r="C143" s="160"/>
      <c r="D143" s="207"/>
      <c r="E143" s="207"/>
      <c r="F143" s="207"/>
      <c r="G143" s="207"/>
      <c r="H143" s="207"/>
      <c r="I143" s="207"/>
      <c r="J143" s="207"/>
      <c r="K143" s="207"/>
      <c r="L143" s="207"/>
      <c r="M143" s="207"/>
      <c r="N143" s="208"/>
    </row>
    <row r="144" spans="1:18">
      <c r="A144" s="127"/>
      <c r="B144" s="160"/>
      <c r="C144" s="160"/>
      <c r="D144" s="207"/>
      <c r="E144" s="207"/>
      <c r="F144" s="207"/>
      <c r="G144" s="207"/>
      <c r="H144" s="207"/>
      <c r="I144" s="207"/>
      <c r="J144" s="207"/>
      <c r="K144" s="207"/>
      <c r="L144" s="207"/>
      <c r="M144" s="207"/>
      <c r="N144" s="208"/>
    </row>
    <row r="145" spans="1:18">
      <c r="A145" s="127"/>
      <c r="B145" s="160"/>
      <c r="C145" s="160"/>
      <c r="D145" s="207"/>
      <c r="E145" s="207"/>
      <c r="F145" s="207"/>
      <c r="G145" s="207"/>
      <c r="H145" s="207"/>
      <c r="I145" s="207"/>
      <c r="J145" s="207"/>
      <c r="K145" s="207"/>
      <c r="L145" s="207"/>
      <c r="M145" s="207"/>
      <c r="N145" s="208"/>
    </row>
    <row r="146" spans="1:18">
      <c r="A146" s="127"/>
      <c r="B146" s="160"/>
      <c r="C146" s="160"/>
      <c r="D146" s="207"/>
      <c r="E146" s="207"/>
      <c r="F146" s="207"/>
      <c r="G146" s="207"/>
      <c r="H146" s="207"/>
      <c r="I146" s="207"/>
      <c r="J146" s="207"/>
      <c r="K146" s="207"/>
      <c r="L146" s="207"/>
      <c r="M146" s="207"/>
      <c r="N146" s="208"/>
    </row>
    <row r="147" spans="1:18">
      <c r="A147" s="127"/>
      <c r="B147" s="160"/>
      <c r="C147" s="160"/>
      <c r="D147" s="11"/>
      <c r="E147" s="11"/>
      <c r="F147" s="11"/>
      <c r="G147" s="11"/>
      <c r="H147" s="11"/>
      <c r="I147" s="11"/>
      <c r="J147" s="11"/>
      <c r="K147" s="11"/>
      <c r="L147" s="11"/>
      <c r="M147" s="11"/>
      <c r="N147" s="11"/>
    </row>
    <row r="148" spans="1:18">
      <c r="B148" s="138"/>
      <c r="C148" s="138"/>
    </row>
    <row r="150" spans="1:18">
      <c r="A150" s="2"/>
      <c r="B150" s="118"/>
      <c r="C150" s="118"/>
      <c r="D150" s="118"/>
      <c r="E150" s="118"/>
      <c r="F150" s="118"/>
      <c r="G150" s="118"/>
      <c r="H150" s="118"/>
      <c r="I150" s="118"/>
      <c r="J150" s="118"/>
      <c r="K150" s="118"/>
      <c r="L150" s="118"/>
      <c r="M150" s="118"/>
      <c r="N150" s="118"/>
    </row>
    <row r="151" spans="1:18">
      <c r="B151" s="21"/>
      <c r="C151" s="21"/>
      <c r="N151" s="21"/>
    </row>
    <row r="152" spans="1:18">
      <c r="A152" s="206"/>
      <c r="B152" s="115"/>
      <c r="C152" s="115"/>
      <c r="D152" s="118"/>
      <c r="E152" s="118"/>
      <c r="F152" s="118"/>
      <c r="G152" s="118"/>
      <c r="H152" s="118"/>
      <c r="I152" s="118"/>
      <c r="J152" s="118"/>
      <c r="K152" s="118"/>
      <c r="L152" s="118"/>
      <c r="M152" s="118"/>
      <c r="N152" s="115"/>
    </row>
    <row r="153" spans="1:18">
      <c r="A153" s="127"/>
      <c r="B153" s="160"/>
      <c r="C153" s="160"/>
      <c r="D153" s="209"/>
      <c r="E153" s="209"/>
      <c r="F153" s="209"/>
      <c r="G153" s="209"/>
      <c r="H153" s="209"/>
      <c r="I153" s="209"/>
      <c r="J153" s="209"/>
      <c r="K153" s="209"/>
      <c r="L153" s="209"/>
      <c r="M153" s="209"/>
      <c r="N153" s="209"/>
      <c r="R153" s="11"/>
    </row>
    <row r="154" spans="1:18">
      <c r="A154" s="127"/>
      <c r="B154" s="160"/>
      <c r="C154" s="160"/>
      <c r="D154" s="209"/>
      <c r="E154" s="209"/>
      <c r="F154" s="209"/>
      <c r="G154" s="209"/>
      <c r="H154" s="209"/>
      <c r="I154" s="209"/>
      <c r="J154" s="209"/>
      <c r="K154" s="209"/>
      <c r="L154" s="209"/>
      <c r="M154" s="209"/>
      <c r="N154" s="209"/>
      <c r="R154" s="11"/>
    </row>
    <row r="155" spans="1:18">
      <c r="A155" s="127"/>
      <c r="B155" s="160"/>
      <c r="C155" s="160"/>
      <c r="D155" s="209"/>
      <c r="E155" s="209"/>
      <c r="F155" s="209"/>
      <c r="G155" s="209"/>
      <c r="H155" s="209"/>
      <c r="I155" s="209"/>
      <c r="J155" s="209"/>
      <c r="K155" s="209"/>
      <c r="L155" s="209"/>
      <c r="M155" s="209"/>
      <c r="N155" s="209"/>
      <c r="R155" s="11"/>
    </row>
    <row r="156" spans="1:18">
      <c r="A156" s="127"/>
      <c r="B156" s="160"/>
      <c r="C156" s="160"/>
      <c r="D156" s="209"/>
      <c r="E156" s="209"/>
      <c r="F156" s="209"/>
      <c r="G156" s="209"/>
      <c r="H156" s="209"/>
      <c r="I156" s="209"/>
      <c r="J156" s="209"/>
      <c r="K156" s="209"/>
      <c r="L156" s="209"/>
      <c r="M156" s="209"/>
      <c r="N156" s="209"/>
      <c r="R156" s="11"/>
    </row>
    <row r="157" spans="1:18">
      <c r="A157" s="127"/>
      <c r="B157" s="160"/>
      <c r="C157" s="160"/>
      <c r="D157" s="209"/>
      <c r="E157" s="209"/>
      <c r="F157" s="209"/>
      <c r="G157" s="209"/>
      <c r="H157" s="209"/>
      <c r="I157" s="209"/>
      <c r="J157" s="209"/>
      <c r="K157" s="209"/>
      <c r="L157" s="209"/>
      <c r="M157" s="209"/>
      <c r="N157" s="209"/>
      <c r="R157" s="11"/>
    </row>
    <row r="158" spans="1:18">
      <c r="A158" s="127"/>
      <c r="B158" s="160"/>
      <c r="C158" s="160"/>
      <c r="D158" s="209"/>
      <c r="E158" s="209"/>
      <c r="F158" s="209"/>
      <c r="G158" s="209"/>
      <c r="H158" s="209"/>
      <c r="I158" s="209"/>
      <c r="J158" s="209"/>
      <c r="K158" s="209"/>
      <c r="L158" s="209"/>
      <c r="M158" s="209"/>
      <c r="N158" s="209"/>
      <c r="R158" s="11"/>
    </row>
    <row r="159" spans="1:18">
      <c r="A159" s="127"/>
      <c r="B159" s="160"/>
      <c r="C159" s="160"/>
      <c r="D159" s="209"/>
      <c r="E159" s="209"/>
      <c r="F159" s="209"/>
      <c r="G159" s="209"/>
      <c r="H159" s="209"/>
      <c r="I159" s="209"/>
      <c r="J159" s="209"/>
      <c r="K159" s="209"/>
      <c r="L159" s="209"/>
      <c r="M159" s="209"/>
      <c r="N159" s="209"/>
      <c r="R159" s="11"/>
    </row>
    <row r="160" spans="1:18">
      <c r="A160" s="127"/>
      <c r="B160" s="160"/>
      <c r="C160" s="160"/>
      <c r="D160" s="209"/>
      <c r="E160" s="209"/>
      <c r="F160" s="209"/>
      <c r="G160" s="209"/>
      <c r="H160" s="209"/>
      <c r="I160" s="209"/>
      <c r="J160" s="209"/>
      <c r="K160" s="209"/>
      <c r="L160" s="209"/>
      <c r="M160" s="209"/>
      <c r="N160" s="209"/>
      <c r="R160" s="11"/>
    </row>
    <row r="161" spans="1:18">
      <c r="A161" s="127"/>
      <c r="B161" s="160"/>
      <c r="C161" s="160"/>
      <c r="D161" s="209"/>
      <c r="E161" s="209"/>
      <c r="F161" s="209"/>
      <c r="G161" s="209"/>
      <c r="H161" s="209"/>
      <c r="I161" s="209"/>
      <c r="J161" s="209"/>
      <c r="K161" s="209"/>
      <c r="L161" s="209"/>
      <c r="M161" s="209"/>
      <c r="N161" s="209"/>
      <c r="R161" s="11"/>
    </row>
    <row r="162" spans="1:18">
      <c r="A162" s="127"/>
      <c r="B162" s="160"/>
      <c r="C162" s="160"/>
      <c r="D162" s="209"/>
      <c r="E162" s="209"/>
      <c r="F162" s="209"/>
      <c r="G162" s="209"/>
      <c r="H162" s="209"/>
      <c r="I162" s="209"/>
      <c r="J162" s="209"/>
      <c r="K162" s="209"/>
      <c r="L162" s="209"/>
      <c r="M162" s="209"/>
      <c r="N162" s="209"/>
      <c r="R162" s="11"/>
    </row>
    <row r="163" spans="1:18">
      <c r="A163" s="127"/>
      <c r="B163" s="160"/>
      <c r="C163" s="160"/>
      <c r="D163" s="209"/>
      <c r="E163" s="209"/>
      <c r="F163" s="209"/>
      <c r="G163" s="209"/>
      <c r="H163" s="209"/>
      <c r="I163" s="209"/>
      <c r="J163" s="209"/>
      <c r="K163" s="209"/>
      <c r="L163" s="209"/>
      <c r="M163" s="209"/>
      <c r="N163" s="209"/>
      <c r="R163" s="11"/>
    </row>
    <row r="164" spans="1:18">
      <c r="A164" s="127"/>
      <c r="B164" s="160"/>
      <c r="C164" s="160"/>
      <c r="D164" s="210"/>
      <c r="E164" s="210"/>
      <c r="F164" s="210"/>
      <c r="G164" s="210"/>
      <c r="H164" s="210"/>
      <c r="I164" s="210"/>
      <c r="J164" s="210"/>
      <c r="K164" s="210"/>
      <c r="L164" s="210"/>
      <c r="M164" s="210"/>
      <c r="N164" s="210"/>
      <c r="R164" s="11"/>
    </row>
    <row r="165" spans="1:18">
      <c r="A165" s="127"/>
      <c r="B165" s="160"/>
      <c r="C165" s="160"/>
      <c r="D165" s="209"/>
      <c r="E165" s="209"/>
      <c r="F165" s="209"/>
      <c r="G165" s="209"/>
      <c r="H165" s="209"/>
      <c r="I165" s="209"/>
      <c r="J165" s="209"/>
      <c r="K165" s="209"/>
      <c r="L165" s="209"/>
      <c r="M165" s="209"/>
      <c r="N165" s="209"/>
      <c r="R165" s="11"/>
    </row>
    <row r="166" spans="1:18">
      <c r="A166" s="127"/>
      <c r="B166" s="160"/>
      <c r="C166" s="160"/>
      <c r="D166" s="208"/>
      <c r="E166" s="208"/>
      <c r="F166" s="208"/>
      <c r="G166" s="208"/>
      <c r="H166" s="208"/>
      <c r="I166" s="208"/>
      <c r="J166" s="208"/>
      <c r="K166" s="208"/>
      <c r="L166" s="208"/>
      <c r="M166" s="208"/>
      <c r="N166" s="208"/>
    </row>
    <row r="167" spans="1:18">
      <c r="B167" s="120"/>
      <c r="C167" s="120"/>
    </row>
    <row r="169" spans="1:18">
      <c r="A169" s="2"/>
      <c r="B169" s="118"/>
      <c r="C169" s="118"/>
      <c r="D169" s="118"/>
      <c r="E169" s="118"/>
      <c r="F169" s="118"/>
      <c r="G169" s="118"/>
      <c r="H169" s="118"/>
      <c r="I169" s="118"/>
      <c r="J169" s="118"/>
      <c r="K169" s="118"/>
      <c r="L169" s="118"/>
      <c r="M169" s="118"/>
      <c r="N169" s="118"/>
    </row>
    <row r="170" spans="1:18">
      <c r="B170" s="21"/>
      <c r="C170" s="21"/>
      <c r="N170" s="21"/>
    </row>
    <row r="171" spans="1:18">
      <c r="A171" s="206"/>
      <c r="B171" s="115"/>
      <c r="C171" s="115"/>
      <c r="D171" s="118"/>
      <c r="E171" s="118"/>
      <c r="F171" s="118"/>
      <c r="G171" s="118"/>
      <c r="H171" s="118"/>
      <c r="I171" s="118"/>
      <c r="J171" s="118"/>
      <c r="K171" s="118"/>
      <c r="L171" s="118"/>
      <c r="M171" s="118"/>
      <c r="N171" s="115"/>
    </row>
    <row r="172" spans="1:18">
      <c r="A172" s="127"/>
      <c r="B172" s="160"/>
      <c r="C172" s="160"/>
      <c r="D172" s="211"/>
      <c r="E172" s="211"/>
      <c r="F172" s="211"/>
      <c r="G172" s="211"/>
      <c r="H172" s="211"/>
      <c r="I172" s="211"/>
      <c r="J172" s="211"/>
      <c r="K172" s="211"/>
      <c r="L172" s="211"/>
      <c r="M172" s="211"/>
      <c r="N172" s="211"/>
    </row>
    <row r="173" spans="1:18">
      <c r="A173" s="127"/>
      <c r="B173" s="160"/>
      <c r="C173" s="160"/>
      <c r="D173" s="211"/>
      <c r="E173" s="211"/>
      <c r="F173" s="211"/>
      <c r="G173" s="211"/>
      <c r="H173" s="211"/>
      <c r="I173" s="211"/>
      <c r="J173" s="211"/>
      <c r="K173" s="211"/>
      <c r="L173" s="211"/>
      <c r="M173" s="211"/>
      <c r="N173" s="211"/>
    </row>
    <row r="174" spans="1:18">
      <c r="A174" s="127"/>
      <c r="B174" s="160"/>
      <c r="C174" s="160"/>
      <c r="D174" s="211"/>
      <c r="E174" s="211"/>
      <c r="F174" s="211"/>
      <c r="G174" s="211"/>
      <c r="H174" s="211"/>
      <c r="I174" s="211"/>
      <c r="J174" s="211"/>
      <c r="K174" s="211"/>
      <c r="L174" s="211"/>
      <c r="M174" s="211"/>
      <c r="N174" s="211"/>
    </row>
    <row r="175" spans="1:18">
      <c r="A175" s="127"/>
      <c r="B175" s="160"/>
      <c r="C175" s="160"/>
      <c r="D175" s="211"/>
      <c r="E175" s="211"/>
      <c r="F175" s="211"/>
      <c r="G175" s="211"/>
      <c r="H175" s="211"/>
      <c r="I175" s="211"/>
      <c r="J175" s="211"/>
      <c r="K175" s="211"/>
      <c r="L175" s="211"/>
      <c r="M175" s="211"/>
      <c r="N175" s="211"/>
    </row>
    <row r="176" spans="1:18">
      <c r="A176" s="127"/>
      <c r="B176" s="160"/>
      <c r="C176" s="160"/>
      <c r="D176" s="211"/>
      <c r="E176" s="211"/>
      <c r="F176" s="211"/>
      <c r="G176" s="211"/>
      <c r="H176" s="211"/>
      <c r="I176" s="211"/>
      <c r="J176" s="211"/>
      <c r="K176" s="211"/>
      <c r="L176" s="211"/>
      <c r="M176" s="211"/>
      <c r="N176" s="211"/>
    </row>
    <row r="177" spans="1:19">
      <c r="A177" s="127"/>
      <c r="B177" s="160"/>
      <c r="C177" s="160"/>
      <c r="D177" s="211"/>
      <c r="E177" s="211"/>
      <c r="F177" s="211"/>
      <c r="G177" s="211"/>
      <c r="H177" s="211"/>
      <c r="I177" s="211"/>
      <c r="J177" s="211"/>
      <c r="K177" s="211"/>
      <c r="L177" s="211"/>
      <c r="M177" s="211"/>
      <c r="N177" s="211"/>
    </row>
    <row r="178" spans="1:19">
      <c r="A178" s="127"/>
      <c r="B178" s="160"/>
      <c r="C178" s="160"/>
      <c r="D178" s="211"/>
      <c r="E178" s="211"/>
      <c r="F178" s="211"/>
      <c r="G178" s="211"/>
      <c r="H178" s="211"/>
      <c r="I178" s="211"/>
      <c r="J178" s="211"/>
      <c r="K178" s="211"/>
      <c r="L178" s="211"/>
      <c r="M178" s="211"/>
      <c r="N178" s="211"/>
    </row>
    <row r="179" spans="1:19">
      <c r="A179" s="127"/>
      <c r="B179" s="160"/>
      <c r="C179" s="160"/>
      <c r="D179" s="211"/>
      <c r="E179" s="211"/>
      <c r="F179" s="211"/>
      <c r="G179" s="211"/>
      <c r="H179" s="211"/>
      <c r="I179" s="211"/>
      <c r="J179" s="211"/>
      <c r="K179" s="211"/>
      <c r="L179" s="211"/>
      <c r="M179" s="211"/>
      <c r="N179" s="211"/>
    </row>
    <row r="180" spans="1:19">
      <c r="A180" s="127"/>
      <c r="B180" s="160"/>
      <c r="C180" s="160"/>
      <c r="D180" s="211"/>
      <c r="E180" s="211"/>
      <c r="F180" s="211"/>
      <c r="G180" s="211"/>
      <c r="H180" s="211"/>
      <c r="I180" s="211"/>
      <c r="J180" s="211"/>
      <c r="K180" s="211"/>
      <c r="L180" s="211"/>
      <c r="M180" s="211"/>
      <c r="N180" s="211"/>
    </row>
    <row r="181" spans="1:19">
      <c r="A181" s="127"/>
      <c r="B181" s="160"/>
      <c r="C181" s="160"/>
      <c r="D181" s="211"/>
      <c r="E181" s="211"/>
      <c r="F181" s="211"/>
      <c r="G181" s="211"/>
      <c r="H181" s="211"/>
      <c r="I181" s="211"/>
      <c r="J181" s="211"/>
      <c r="K181" s="211"/>
      <c r="L181" s="211"/>
      <c r="M181" s="211"/>
      <c r="N181" s="211"/>
    </row>
    <row r="182" spans="1:19" s="8" customFormat="1">
      <c r="A182" s="127"/>
      <c r="B182" s="160"/>
      <c r="C182" s="160"/>
      <c r="D182" s="211"/>
      <c r="E182" s="211"/>
      <c r="F182" s="211"/>
      <c r="G182" s="211"/>
      <c r="H182" s="211"/>
      <c r="I182" s="211"/>
      <c r="J182" s="211"/>
      <c r="K182" s="211"/>
      <c r="L182" s="211"/>
      <c r="M182" s="211"/>
      <c r="N182" s="211"/>
      <c r="O182"/>
      <c r="P182"/>
      <c r="Q182"/>
      <c r="R182"/>
      <c r="S182"/>
    </row>
    <row r="183" spans="1:19" s="8" customFormat="1">
      <c r="A183" s="127"/>
      <c r="B183" s="160"/>
      <c r="C183" s="160"/>
      <c r="D183" s="212"/>
      <c r="E183" s="212"/>
      <c r="F183" s="212"/>
      <c r="G183" s="212"/>
      <c r="H183" s="212"/>
      <c r="I183" s="212"/>
      <c r="J183" s="212"/>
      <c r="K183" s="212"/>
      <c r="L183" s="212"/>
      <c r="M183" s="212"/>
      <c r="N183" s="212"/>
      <c r="O183"/>
      <c r="P183"/>
      <c r="Q183"/>
      <c r="R183"/>
      <c r="S183"/>
    </row>
    <row r="184" spans="1:19" s="8" customFormat="1">
      <c r="A184" s="127"/>
      <c r="B184" s="160"/>
      <c r="C184" s="160"/>
      <c r="D184" s="211"/>
      <c r="E184" s="211"/>
      <c r="F184" s="211"/>
      <c r="G184" s="211"/>
      <c r="H184" s="211"/>
      <c r="I184" s="211"/>
      <c r="J184" s="211"/>
      <c r="K184" s="211"/>
      <c r="L184" s="211"/>
      <c r="M184" s="211"/>
      <c r="N184" s="211"/>
      <c r="O184"/>
      <c r="P184"/>
      <c r="Q184"/>
      <c r="R184"/>
    </row>
    <row r="185" spans="1:19" s="8" customFormat="1">
      <c r="A185" s="127"/>
      <c r="B185" s="160"/>
      <c r="C185" s="160"/>
      <c r="D185" s="208"/>
      <c r="E185" s="208"/>
      <c r="F185" s="208"/>
      <c r="G185" s="208"/>
      <c r="H185" s="208"/>
      <c r="I185" s="208"/>
      <c r="J185" s="208"/>
      <c r="K185" s="208"/>
      <c r="L185" s="208"/>
      <c r="M185" s="208"/>
      <c r="N185" s="208"/>
      <c r="O185"/>
      <c r="P185"/>
      <c r="Q185"/>
      <c r="R185"/>
    </row>
    <row r="186" spans="1:19" s="8" customFormat="1">
      <c r="B186" s="138"/>
      <c r="C186" s="138"/>
      <c r="N186" s="208"/>
    </row>
    <row r="187" spans="1:19" s="8" customFormat="1">
      <c r="N187" s="208"/>
    </row>
    <row r="188" spans="1:19" s="8" customFormat="1">
      <c r="B188" s="127"/>
      <c r="C188" s="127"/>
      <c r="D188" s="119"/>
      <c r="E188" s="119"/>
      <c r="F188" s="119"/>
      <c r="G188" s="119"/>
      <c r="H188" s="119"/>
      <c r="I188" s="119"/>
      <c r="J188" s="119"/>
      <c r="K188" s="119"/>
      <c r="L188" s="119"/>
      <c r="M188" s="119"/>
      <c r="N188" s="208"/>
    </row>
    <row r="189" spans="1:19" s="8" customFormat="1">
      <c r="A189" s="127"/>
      <c r="B189" s="160"/>
      <c r="C189" s="160"/>
      <c r="D189" s="213"/>
      <c r="E189" s="213"/>
      <c r="F189" s="213"/>
      <c r="G189" s="213"/>
      <c r="H189" s="213"/>
      <c r="I189" s="213"/>
      <c r="J189" s="213"/>
      <c r="K189" s="213"/>
      <c r="L189" s="213"/>
      <c r="M189" s="213"/>
      <c r="N189" s="208"/>
    </row>
    <row r="190" spans="1:19" s="8" customFormat="1">
      <c r="A190" s="127"/>
      <c r="B190" s="160"/>
      <c r="C190" s="160"/>
      <c r="D190" s="213"/>
      <c r="E190" s="213"/>
      <c r="F190" s="213"/>
      <c r="G190" s="213"/>
      <c r="H190" s="213"/>
      <c r="I190" s="213"/>
      <c r="J190" s="213"/>
      <c r="K190" s="213"/>
      <c r="L190" s="213"/>
      <c r="M190" s="213"/>
      <c r="N190" s="208"/>
    </row>
    <row r="191" spans="1:19" s="8" customFormat="1">
      <c r="A191" s="127"/>
      <c r="B191" s="160"/>
      <c r="C191" s="160"/>
      <c r="D191" s="213"/>
      <c r="E191" s="213"/>
      <c r="F191" s="213"/>
      <c r="G191" s="213"/>
      <c r="H191" s="213"/>
      <c r="I191" s="213"/>
      <c r="J191" s="213"/>
      <c r="K191" s="213"/>
      <c r="L191" s="213"/>
      <c r="M191" s="213"/>
      <c r="N191" s="208"/>
    </row>
    <row r="192" spans="1:19" s="8" customFormat="1">
      <c r="A192" s="127"/>
      <c r="B192" s="160"/>
      <c r="C192" s="160"/>
      <c r="D192" s="213"/>
      <c r="E192" s="213"/>
      <c r="F192" s="213"/>
      <c r="G192" s="213"/>
      <c r="H192" s="213"/>
      <c r="I192" s="213"/>
      <c r="J192" s="213"/>
      <c r="K192" s="213"/>
      <c r="L192" s="213"/>
      <c r="M192" s="213"/>
      <c r="N192" s="208"/>
    </row>
    <row r="193" spans="1:19" s="8" customFormat="1">
      <c r="A193" s="127"/>
      <c r="B193" s="160"/>
      <c r="C193" s="160"/>
      <c r="D193" s="213"/>
      <c r="E193" s="213"/>
      <c r="F193" s="213"/>
      <c r="G193" s="213"/>
      <c r="H193" s="213"/>
      <c r="I193" s="213"/>
      <c r="J193" s="213"/>
      <c r="K193" s="213"/>
      <c r="L193" s="213"/>
      <c r="M193" s="213"/>
      <c r="N193" s="208"/>
    </row>
    <row r="194" spans="1:19" s="8" customFormat="1">
      <c r="A194" s="127"/>
      <c r="B194" s="160"/>
      <c r="C194" s="160"/>
      <c r="D194" s="213"/>
      <c r="E194" s="213"/>
      <c r="F194" s="213"/>
      <c r="G194" s="213"/>
      <c r="H194" s="213"/>
      <c r="I194" s="213"/>
      <c r="J194" s="213"/>
      <c r="K194" s="213"/>
      <c r="L194" s="213"/>
      <c r="M194" s="213"/>
      <c r="N194" s="208"/>
    </row>
    <row r="195" spans="1:19" s="8" customFormat="1">
      <c r="A195" s="127"/>
      <c r="B195" s="160"/>
      <c r="C195" s="160"/>
      <c r="D195" s="213"/>
      <c r="E195" s="213"/>
      <c r="F195" s="213"/>
      <c r="G195" s="213"/>
      <c r="H195" s="213"/>
      <c r="I195" s="213"/>
      <c r="J195" s="213"/>
      <c r="K195" s="213"/>
      <c r="L195" s="213"/>
      <c r="M195" s="213"/>
      <c r="N195" s="208"/>
    </row>
    <row r="196" spans="1:19" s="8" customFormat="1">
      <c r="A196" s="127"/>
      <c r="B196" s="160"/>
      <c r="C196" s="160"/>
      <c r="D196" s="213"/>
      <c r="E196" s="213"/>
      <c r="F196" s="213"/>
      <c r="G196" s="213"/>
      <c r="H196" s="213"/>
      <c r="I196" s="213"/>
      <c r="J196" s="213"/>
      <c r="K196" s="213"/>
      <c r="L196" s="213"/>
      <c r="M196" s="213"/>
      <c r="N196" s="208"/>
    </row>
    <row r="197" spans="1:19">
      <c r="A197" s="127"/>
      <c r="B197" s="160"/>
      <c r="C197" s="160"/>
      <c r="D197" s="213"/>
      <c r="E197" s="213"/>
      <c r="F197" s="213"/>
      <c r="G197" s="213"/>
      <c r="H197" s="213"/>
      <c r="I197" s="213"/>
      <c r="J197" s="213"/>
      <c r="K197" s="213"/>
      <c r="L197" s="213"/>
      <c r="M197" s="213"/>
      <c r="N197" s="208"/>
      <c r="O197" s="8"/>
      <c r="P197" s="8"/>
      <c r="Q197" s="8"/>
      <c r="R197" s="8"/>
      <c r="S197" s="8"/>
    </row>
    <row r="198" spans="1:19">
      <c r="A198" s="127"/>
      <c r="B198" s="160"/>
      <c r="C198" s="160"/>
      <c r="D198" s="213"/>
      <c r="E198" s="213"/>
      <c r="F198" s="213"/>
      <c r="G198" s="213"/>
      <c r="H198" s="213"/>
      <c r="I198" s="213"/>
      <c r="J198" s="213"/>
      <c r="K198" s="213"/>
      <c r="L198" s="213"/>
      <c r="M198" s="213"/>
      <c r="N198" s="208"/>
      <c r="O198" s="8"/>
      <c r="P198" s="8"/>
      <c r="Q198" s="8"/>
      <c r="R198" s="8"/>
      <c r="S198" s="8"/>
    </row>
    <row r="199" spans="1:19">
      <c r="A199" s="127"/>
      <c r="B199" s="160"/>
      <c r="C199" s="160"/>
      <c r="D199" s="213"/>
      <c r="E199" s="213"/>
      <c r="F199" s="213"/>
      <c r="G199" s="213"/>
      <c r="H199" s="213"/>
      <c r="I199" s="213"/>
      <c r="J199" s="213"/>
      <c r="K199" s="213"/>
      <c r="L199" s="213"/>
      <c r="M199" s="213"/>
      <c r="N199" s="208"/>
      <c r="O199" s="8"/>
      <c r="P199" s="8"/>
      <c r="Q199" s="8"/>
      <c r="R199" s="8"/>
    </row>
    <row r="200" spans="1:19">
      <c r="A200" s="127"/>
      <c r="B200" s="160"/>
      <c r="C200" s="160"/>
      <c r="D200" s="213"/>
      <c r="E200" s="213"/>
      <c r="F200" s="213"/>
      <c r="G200" s="213"/>
      <c r="H200" s="213"/>
      <c r="I200" s="213"/>
      <c r="J200" s="213"/>
      <c r="K200" s="213"/>
      <c r="L200" s="213"/>
      <c r="M200" s="213"/>
      <c r="N200" s="208"/>
      <c r="O200" s="8"/>
      <c r="P200" s="8"/>
      <c r="Q200" s="8"/>
      <c r="R200" s="8"/>
    </row>
    <row r="202" spans="1:19">
      <c r="B202" s="138"/>
      <c r="C202" s="138"/>
    </row>
    <row r="203" spans="1:19">
      <c r="B203" s="9"/>
      <c r="C203" s="9"/>
    </row>
    <row r="204" spans="1:19">
      <c r="B204" s="26"/>
      <c r="C204" s="26"/>
      <c r="D204" s="118"/>
      <c r="E204" s="118"/>
      <c r="F204" s="118"/>
      <c r="G204" s="118"/>
      <c r="H204" s="118"/>
      <c r="I204" s="118"/>
      <c r="J204" s="118"/>
      <c r="K204" s="118"/>
      <c r="L204" s="118"/>
      <c r="M204" s="118"/>
      <c r="N204" s="115"/>
    </row>
    <row r="205" spans="1:19">
      <c r="A205" s="127"/>
      <c r="B205" s="26"/>
      <c r="C205" s="26"/>
      <c r="D205" s="11"/>
      <c r="E205" s="11"/>
      <c r="F205" s="11"/>
      <c r="G205" s="11"/>
      <c r="H205" s="11"/>
      <c r="I205" s="11"/>
      <c r="J205" s="11"/>
      <c r="K205" s="11"/>
      <c r="L205" s="11"/>
      <c r="M205" s="11"/>
      <c r="N205" s="11"/>
    </row>
    <row r="206" spans="1:19">
      <c r="B206" s="26"/>
      <c r="C206" s="26"/>
      <c r="D206" s="11"/>
      <c r="E206" s="11"/>
      <c r="F206" s="11"/>
      <c r="G206" s="11"/>
      <c r="H206" s="11"/>
      <c r="I206" s="11"/>
      <c r="J206" s="11"/>
      <c r="K206" s="11"/>
      <c r="L206" s="11"/>
      <c r="M206" s="11"/>
      <c r="N206" s="11"/>
    </row>
    <row r="207" spans="1:19">
      <c r="B207" s="9"/>
      <c r="C207" s="9"/>
      <c r="D207" s="11"/>
      <c r="E207" s="11"/>
      <c r="F207" s="11"/>
      <c r="G207" s="11"/>
      <c r="H207" s="11"/>
      <c r="I207" s="11"/>
      <c r="J207" s="11"/>
      <c r="K207" s="11"/>
      <c r="L207" s="11"/>
      <c r="M207" s="11"/>
      <c r="N207" s="11"/>
    </row>
    <row r="208" spans="1:19">
      <c r="B208" s="26"/>
      <c r="C208" s="26"/>
      <c r="D208" s="118"/>
      <c r="E208" s="118"/>
      <c r="F208" s="118"/>
      <c r="G208" s="118"/>
      <c r="H208" s="118"/>
      <c r="I208" s="118"/>
      <c r="J208" s="118"/>
      <c r="K208" s="118"/>
      <c r="L208" s="118"/>
      <c r="M208" s="118"/>
      <c r="N208" s="115"/>
    </row>
    <row r="209" spans="1:14">
      <c r="A209" s="127"/>
      <c r="B209" s="26"/>
      <c r="C209" s="26"/>
      <c r="D209" s="11"/>
      <c r="E209" s="11"/>
      <c r="F209" s="11"/>
      <c r="G209" s="11"/>
      <c r="H209" s="11"/>
      <c r="I209" s="11"/>
      <c r="J209" s="11"/>
      <c r="K209" s="11"/>
      <c r="L209" s="11"/>
      <c r="M209" s="11"/>
      <c r="N209" s="11"/>
    </row>
    <row r="210" spans="1:14">
      <c r="B210" s="26"/>
      <c r="C210" s="26"/>
      <c r="D210" s="11"/>
      <c r="E210" s="11"/>
      <c r="F210" s="11"/>
      <c r="G210" s="11"/>
      <c r="H210" s="11"/>
      <c r="I210" s="11"/>
      <c r="J210" s="11"/>
      <c r="K210" s="11"/>
      <c r="L210" s="11"/>
      <c r="M210" s="11"/>
      <c r="N210" s="11"/>
    </row>
    <row r="211" spans="1:14">
      <c r="B211" s="9"/>
      <c r="C211" s="9"/>
      <c r="D211" s="11"/>
      <c r="E211" s="11"/>
      <c r="F211" s="11"/>
      <c r="G211" s="11"/>
      <c r="H211" s="11"/>
      <c r="I211" s="11"/>
      <c r="J211" s="11"/>
      <c r="K211" s="11"/>
      <c r="L211" s="11"/>
      <c r="M211" s="11"/>
      <c r="N211" s="11"/>
    </row>
    <row r="212" spans="1:14">
      <c r="D212" s="118"/>
      <c r="E212" s="118"/>
      <c r="F212" s="118"/>
      <c r="G212" s="118"/>
      <c r="H212" s="118"/>
      <c r="I212" s="118"/>
      <c r="J212" s="118"/>
      <c r="K212" s="118"/>
      <c r="L212" s="118"/>
      <c r="M212" s="118"/>
      <c r="N212" s="115"/>
    </row>
    <row r="213" spans="1:14">
      <c r="A213" s="127"/>
      <c r="D213" s="11"/>
      <c r="E213" s="11"/>
      <c r="F213" s="11"/>
      <c r="G213" s="11"/>
      <c r="H213" s="11"/>
      <c r="I213" s="11"/>
      <c r="J213" s="11"/>
      <c r="K213" s="11"/>
      <c r="L213" s="11"/>
      <c r="M213" s="11"/>
      <c r="N213" s="11"/>
    </row>
    <row r="215" spans="1:14">
      <c r="B215" s="138"/>
      <c r="C215" s="138"/>
    </row>
    <row r="216" spans="1:14">
      <c r="A216" s="2"/>
      <c r="B216" s="118"/>
      <c r="C216" s="118"/>
      <c r="D216" s="118"/>
      <c r="E216" s="118"/>
      <c r="F216" s="118"/>
      <c r="G216" s="118"/>
      <c r="H216" s="118"/>
      <c r="I216" s="118"/>
      <c r="J216" s="118"/>
      <c r="K216" s="118"/>
      <c r="L216" s="118"/>
      <c r="M216" s="118"/>
      <c r="N216" s="118"/>
    </row>
    <row r="217" spans="1:14">
      <c r="B217" s="4"/>
      <c r="C217" s="4"/>
      <c r="G217" s="214"/>
      <c r="N217" s="21"/>
    </row>
    <row r="218" spans="1:14">
      <c r="B218" s="127"/>
      <c r="C218" s="127"/>
      <c r="D218" s="118"/>
      <c r="E218" s="118"/>
    </row>
    <row r="219" spans="1:14">
      <c r="A219" s="206"/>
      <c r="B219" s="115"/>
      <c r="C219" s="115"/>
      <c r="D219" s="118"/>
      <c r="E219" s="118"/>
      <c r="F219" s="118"/>
      <c r="G219" s="118"/>
      <c r="H219" s="118"/>
      <c r="I219" s="118"/>
      <c r="J219" s="118"/>
      <c r="K219" s="118"/>
      <c r="L219" s="118"/>
      <c r="M219" s="118"/>
      <c r="N219" s="115"/>
    </row>
    <row r="220" spans="1:14">
      <c r="A220" s="127"/>
      <c r="B220" s="160"/>
      <c r="C220" s="160"/>
      <c r="D220" s="163"/>
      <c r="E220" s="163"/>
      <c r="F220" s="163"/>
      <c r="G220" s="163"/>
      <c r="H220" s="163"/>
      <c r="I220" s="163"/>
      <c r="J220" s="163"/>
      <c r="K220" s="163"/>
      <c r="L220" s="163"/>
      <c r="M220" s="163"/>
      <c r="N220" s="163"/>
    </row>
    <row r="221" spans="1:14">
      <c r="A221" s="127"/>
      <c r="B221" s="160"/>
      <c r="C221" s="160"/>
      <c r="D221" s="163"/>
      <c r="E221" s="163"/>
      <c r="F221" s="163"/>
      <c r="G221" s="163"/>
      <c r="H221" s="163"/>
      <c r="I221" s="163"/>
      <c r="J221" s="163"/>
      <c r="K221" s="163"/>
      <c r="L221" s="163"/>
      <c r="M221" s="163"/>
      <c r="N221" s="163"/>
    </row>
    <row r="222" spans="1:14">
      <c r="A222" s="127"/>
      <c r="B222" s="160"/>
      <c r="C222" s="160"/>
      <c r="D222" s="163"/>
      <c r="E222" s="163"/>
      <c r="F222" s="163"/>
      <c r="G222" s="163"/>
      <c r="H222" s="163"/>
      <c r="I222" s="163"/>
      <c r="J222" s="163"/>
      <c r="K222" s="163"/>
      <c r="L222" s="163"/>
      <c r="M222" s="163"/>
      <c r="N222" s="163"/>
    </row>
    <row r="223" spans="1:14">
      <c r="A223" s="127"/>
      <c r="B223" s="160"/>
      <c r="C223" s="160"/>
      <c r="D223" s="163"/>
      <c r="E223" s="163"/>
      <c r="F223" s="163"/>
      <c r="G223" s="163"/>
      <c r="H223" s="163"/>
      <c r="I223" s="163"/>
      <c r="J223" s="163"/>
      <c r="K223" s="163"/>
      <c r="L223" s="163"/>
      <c r="M223" s="163"/>
      <c r="N223" s="163"/>
    </row>
    <row r="224" spans="1:14">
      <c r="A224" s="127"/>
      <c r="B224" s="160"/>
      <c r="C224" s="160"/>
      <c r="D224" s="163"/>
      <c r="E224" s="163"/>
      <c r="F224" s="163"/>
      <c r="G224" s="163"/>
      <c r="H224" s="163"/>
      <c r="I224" s="163"/>
      <c r="J224" s="163"/>
      <c r="K224" s="163"/>
      <c r="L224" s="163"/>
      <c r="M224" s="163"/>
      <c r="N224" s="163"/>
    </row>
    <row r="225" spans="1:19">
      <c r="A225" s="127"/>
      <c r="B225" s="160"/>
      <c r="C225" s="160"/>
      <c r="D225" s="163"/>
      <c r="E225" s="163"/>
      <c r="F225" s="163"/>
      <c r="G225" s="163"/>
      <c r="H225" s="163"/>
      <c r="I225" s="163"/>
      <c r="J225" s="163"/>
      <c r="K225" s="163"/>
      <c r="L225" s="163"/>
      <c r="M225" s="163"/>
      <c r="N225" s="163"/>
    </row>
    <row r="226" spans="1:19">
      <c r="A226" s="127"/>
      <c r="B226" s="160"/>
      <c r="C226" s="160"/>
      <c r="D226" s="163"/>
      <c r="E226" s="163"/>
      <c r="F226" s="163"/>
      <c r="G226" s="163"/>
      <c r="H226" s="163"/>
      <c r="I226" s="163"/>
      <c r="J226" s="163"/>
      <c r="K226" s="163"/>
      <c r="L226" s="163"/>
      <c r="M226" s="163"/>
      <c r="N226" s="163"/>
    </row>
    <row r="227" spans="1:19">
      <c r="A227" s="127"/>
      <c r="B227" s="160"/>
      <c r="C227" s="160"/>
      <c r="D227" s="163"/>
      <c r="E227" s="163"/>
      <c r="F227" s="163"/>
      <c r="G227" s="163"/>
      <c r="H227" s="163"/>
      <c r="I227" s="163"/>
      <c r="J227" s="163"/>
      <c r="K227" s="163"/>
      <c r="L227" s="163"/>
      <c r="M227" s="163"/>
      <c r="N227" s="163"/>
    </row>
    <row r="228" spans="1:19">
      <c r="A228" s="127"/>
      <c r="B228" s="160"/>
      <c r="C228" s="160"/>
      <c r="D228" s="163"/>
      <c r="E228" s="163"/>
      <c r="F228" s="163"/>
      <c r="G228" s="163"/>
      <c r="H228" s="163"/>
      <c r="I228" s="163"/>
      <c r="J228" s="163"/>
      <c r="K228" s="163"/>
      <c r="L228" s="163"/>
      <c r="M228" s="163"/>
      <c r="N228" s="163"/>
    </row>
    <row r="229" spans="1:19">
      <c r="A229" s="127"/>
      <c r="B229" s="160"/>
      <c r="C229" s="160"/>
      <c r="D229" s="163"/>
      <c r="E229" s="163"/>
      <c r="F229" s="163"/>
      <c r="G229" s="163"/>
      <c r="H229" s="163"/>
      <c r="I229" s="163"/>
      <c r="J229" s="163"/>
      <c r="K229" s="163"/>
      <c r="L229" s="163"/>
      <c r="M229" s="163"/>
      <c r="N229" s="163"/>
    </row>
    <row r="230" spans="1:19">
      <c r="A230" s="127"/>
      <c r="B230" s="160"/>
      <c r="C230" s="160"/>
      <c r="D230" s="163"/>
      <c r="E230" s="163"/>
      <c r="F230" s="163"/>
      <c r="G230" s="163"/>
      <c r="H230" s="163"/>
      <c r="I230" s="163"/>
      <c r="J230" s="163"/>
      <c r="K230" s="163"/>
      <c r="L230" s="163"/>
      <c r="M230" s="163"/>
      <c r="N230" s="163"/>
    </row>
    <row r="231" spans="1:19">
      <c r="A231" s="127"/>
      <c r="B231" s="160"/>
      <c r="C231" s="160"/>
      <c r="D231" s="215"/>
      <c r="E231" s="215"/>
      <c r="F231" s="215"/>
      <c r="G231" s="215"/>
      <c r="H231" s="215"/>
      <c r="I231" s="215"/>
      <c r="J231" s="215"/>
      <c r="K231" s="215"/>
      <c r="L231" s="215"/>
      <c r="M231" s="215"/>
      <c r="N231" s="215"/>
    </row>
    <row r="232" spans="1:19">
      <c r="A232" s="127"/>
      <c r="B232" s="160"/>
      <c r="C232" s="160"/>
      <c r="D232" s="11"/>
      <c r="E232" s="11"/>
      <c r="F232" s="11"/>
      <c r="G232" s="11"/>
      <c r="H232" s="11"/>
      <c r="I232" s="11"/>
      <c r="J232" s="11"/>
      <c r="K232" s="11"/>
      <c r="L232" s="11"/>
      <c r="M232" s="11"/>
      <c r="N232" s="163"/>
    </row>
    <row r="234" spans="1:19">
      <c r="B234" s="7"/>
      <c r="C234" s="7"/>
      <c r="S234" s="8"/>
    </row>
    <row r="235" spans="1:19">
      <c r="B235" s="8"/>
      <c r="C235" s="8"/>
    </row>
    <row r="236" spans="1:19">
      <c r="B236" s="216"/>
      <c r="C236" s="216"/>
      <c r="D236" s="8"/>
      <c r="E236" s="8"/>
      <c r="F236" s="8"/>
      <c r="G236" s="8"/>
      <c r="H236" s="8"/>
      <c r="I236" s="8"/>
      <c r="K236" s="8"/>
      <c r="L236" s="8"/>
      <c r="M236" s="8"/>
      <c r="N236" s="8"/>
      <c r="O236" s="8"/>
      <c r="P236" s="8"/>
      <c r="Q236" s="8"/>
      <c r="R236" s="8"/>
    </row>
    <row r="238" spans="1:19">
      <c r="B238" s="9"/>
      <c r="C238" s="9"/>
    </row>
    <row r="239" spans="1:19">
      <c r="B239" s="9"/>
      <c r="C239" s="9"/>
    </row>
    <row r="240" spans="1:19">
      <c r="B240" s="26"/>
      <c r="C240" s="26"/>
    </row>
    <row r="241" spans="2:3">
      <c r="B241" s="8"/>
      <c r="C241" s="8"/>
    </row>
    <row r="242" spans="2:3">
      <c r="B242" s="9"/>
      <c r="C242" s="9"/>
    </row>
    <row r="243" spans="2:3">
      <c r="B243" s="9"/>
      <c r="C243" s="9"/>
    </row>
    <row r="244" spans="2:3">
      <c r="B244" s="9"/>
      <c r="C244" s="9"/>
    </row>
    <row r="245" spans="2:3">
      <c r="B245" s="8"/>
      <c r="C245" s="8"/>
    </row>
    <row r="246" spans="2:3">
      <c r="B246" s="9"/>
      <c r="C246" s="9"/>
    </row>
    <row r="247" spans="2:3">
      <c r="B247" s="217"/>
      <c r="C247" s="217"/>
    </row>
    <row r="248" spans="2:3">
      <c r="B248" s="8"/>
      <c r="C248" s="8"/>
    </row>
    <row r="249" spans="2:3">
      <c r="B249" s="8"/>
      <c r="C249" s="8"/>
    </row>
    <row r="251" spans="2:3">
      <c r="B251" s="8"/>
      <c r="C251" s="8"/>
    </row>
    <row r="252" spans="2:3">
      <c r="B252" s="8"/>
      <c r="C252" s="8"/>
    </row>
    <row r="256" spans="2:3">
      <c r="B256" s="8"/>
      <c r="C256" s="8"/>
    </row>
    <row r="257" spans="2:3">
      <c r="B257" s="9"/>
      <c r="C257" s="9"/>
    </row>
    <row r="258" spans="2:3">
      <c r="B258" s="9"/>
      <c r="C258" s="9"/>
    </row>
  </sheetData>
  <mergeCells count="4">
    <mergeCell ref="B133:Q133"/>
    <mergeCell ref="B134:Q134"/>
    <mergeCell ref="B135:Q135"/>
    <mergeCell ref="B136:Q136"/>
  </mergeCells>
  <printOptions horizontalCentered="1"/>
  <pageMargins left="1" right="1" top="1" bottom="1" header="0.5" footer="0.5"/>
  <pageSetup scale="39" fitToHeight="0" orientation="landscape" r:id="rId1"/>
  <headerFooter>
    <oddHeader>&amp;C&amp;"-,Bold"&amp;12Pacific Gas and Electric Company
Formula Rate Model
Schedule 10-AccDep&amp;"-,Regular"</oddHeader>
  </headerFooter>
  <rowBreaks count="2" manualBreakCount="2">
    <brk id="52" max="17" man="1"/>
    <brk id="117" max="17" man="1"/>
  </rowBreaks>
  <customProperties>
    <customPr name="_pios_id" r:id="rId2"/>
    <customPr name="EpmWorksheetKeyString_GUID"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40"/>
  <sheetViews>
    <sheetView view="pageBreakPreview" topLeftCell="A13" zoomScale="90" zoomScaleNormal="75" zoomScaleSheetLayoutView="90" zoomScalePageLayoutView="55" workbookViewId="0">
      <selection activeCell="L46" sqref="L46"/>
    </sheetView>
  </sheetViews>
  <sheetFormatPr defaultColWidth="8.85546875" defaultRowHeight="15"/>
  <cols>
    <col min="1" max="1" width="6.85546875" style="21" bestFit="1" customWidth="1"/>
    <col min="2" max="3" width="16.28515625" customWidth="1"/>
    <col min="4" max="15" width="17.28515625" customWidth="1"/>
    <col min="16" max="16" width="20" customWidth="1"/>
    <col min="17" max="17" width="6.85546875" bestFit="1" customWidth="1"/>
  </cols>
  <sheetData>
    <row r="1" spans="1:17">
      <c r="B1" s="2" t="s">
        <v>34</v>
      </c>
      <c r="G1" s="139"/>
      <c r="I1" s="8"/>
      <c r="N1" s="6"/>
      <c r="O1" s="4"/>
      <c r="P1" s="6" t="str">
        <f>CONCATENATE("Prior Year: ",'1-BaseTRR'!$G$2)</f>
        <v>Prior Year: 2021</v>
      </c>
    </row>
    <row r="2" spans="1:17">
      <c r="B2" s="113" t="s">
        <v>131</v>
      </c>
      <c r="C2" s="42"/>
      <c r="I2" s="8"/>
      <c r="N2" s="6"/>
      <c r="O2" s="4"/>
    </row>
    <row r="3" spans="1:17">
      <c r="A3" s="4"/>
    </row>
    <row r="4" spans="1:17">
      <c r="B4" s="114" t="s">
        <v>842</v>
      </c>
      <c r="C4" s="140"/>
      <c r="D4" s="140"/>
      <c r="E4" s="140"/>
      <c r="F4" s="140"/>
      <c r="G4" s="140"/>
      <c r="H4" s="140"/>
      <c r="I4" s="218"/>
      <c r="J4" s="219"/>
      <c r="K4" s="140"/>
      <c r="L4" s="140"/>
      <c r="M4" s="47"/>
      <c r="N4" s="47"/>
      <c r="O4" s="47"/>
      <c r="P4" s="47"/>
    </row>
    <row r="5" spans="1:17">
      <c r="B5" t="s">
        <v>843</v>
      </c>
    </row>
    <row r="6" spans="1:17">
      <c r="B6" t="s">
        <v>844</v>
      </c>
    </row>
    <row r="8" spans="1:17">
      <c r="A8" s="127"/>
      <c r="C8" s="118" t="s">
        <v>371</v>
      </c>
      <c r="D8" s="118" t="s">
        <v>372</v>
      </c>
      <c r="E8" s="118" t="s">
        <v>373</v>
      </c>
      <c r="F8" s="118" t="s">
        <v>374</v>
      </c>
      <c r="G8" s="118" t="s">
        <v>375</v>
      </c>
      <c r="H8" s="118" t="s">
        <v>376</v>
      </c>
      <c r="I8" s="118" t="s">
        <v>377</v>
      </c>
      <c r="J8" s="118" t="s">
        <v>378</v>
      </c>
      <c r="K8" s="118" t="s">
        <v>409</v>
      </c>
      <c r="L8" s="118" t="s">
        <v>525</v>
      </c>
      <c r="M8" s="118" t="s">
        <v>526</v>
      </c>
      <c r="N8" s="118" t="s">
        <v>527</v>
      </c>
      <c r="O8" s="118" t="s">
        <v>528</v>
      </c>
      <c r="P8" s="118"/>
    </row>
    <row r="9" spans="1:17">
      <c r="A9" s="127"/>
      <c r="C9" s="18"/>
      <c r="D9" s="18"/>
      <c r="E9" s="18"/>
      <c r="F9" s="18"/>
      <c r="G9" s="18"/>
      <c r="H9" s="18"/>
      <c r="I9" s="18"/>
      <c r="J9" s="18"/>
      <c r="K9" s="18"/>
      <c r="L9" s="18"/>
      <c r="M9" s="18"/>
      <c r="N9" s="18"/>
      <c r="O9" s="152" t="s">
        <v>688</v>
      </c>
      <c r="P9" s="18"/>
    </row>
    <row r="10" spans="1:17">
      <c r="A10" s="127"/>
      <c r="C10" s="18"/>
      <c r="D10" s="18"/>
      <c r="E10" s="18"/>
      <c r="F10" s="18"/>
      <c r="G10" s="18"/>
      <c r="H10" s="18"/>
      <c r="I10" s="18"/>
      <c r="J10" s="18"/>
      <c r="K10" s="18"/>
      <c r="L10" s="18"/>
      <c r="M10" s="18"/>
      <c r="N10" s="18"/>
      <c r="O10" s="18"/>
      <c r="P10" s="18"/>
    </row>
    <row r="11" spans="1:17">
      <c r="B11" s="126" t="s">
        <v>689</v>
      </c>
      <c r="C11" s="119">
        <v>350.01</v>
      </c>
      <c r="D11" s="119">
        <v>350.02</v>
      </c>
      <c r="E11" s="119">
        <v>352.01</v>
      </c>
      <c r="F11" s="119">
        <v>352.02</v>
      </c>
      <c r="G11" s="119">
        <v>353.01</v>
      </c>
      <c r="H11" s="119">
        <v>353.02</v>
      </c>
      <c r="I11" s="119">
        <v>354</v>
      </c>
      <c r="J11" s="119">
        <v>355</v>
      </c>
      <c r="K11" s="119">
        <v>356</v>
      </c>
      <c r="L11" s="119">
        <v>357</v>
      </c>
      <c r="M11" s="119">
        <v>358</v>
      </c>
      <c r="N11" s="119">
        <v>359</v>
      </c>
    </row>
    <row r="12" spans="1:17">
      <c r="A12" s="115" t="s">
        <v>100</v>
      </c>
      <c r="B12" s="115" t="s">
        <v>770</v>
      </c>
      <c r="C12" s="118" t="s">
        <v>690</v>
      </c>
      <c r="D12" s="118" t="s">
        <v>691</v>
      </c>
      <c r="E12" s="118" t="s">
        <v>692</v>
      </c>
      <c r="F12" s="118" t="s">
        <v>693</v>
      </c>
      <c r="G12" s="118" t="s">
        <v>694</v>
      </c>
      <c r="H12" s="118" t="s">
        <v>695</v>
      </c>
      <c r="I12" s="118" t="s">
        <v>696</v>
      </c>
      <c r="J12" s="118" t="s">
        <v>697</v>
      </c>
      <c r="K12" s="118" t="s">
        <v>698</v>
      </c>
      <c r="L12" s="118" t="s">
        <v>699</v>
      </c>
      <c r="M12" s="118" t="s">
        <v>700</v>
      </c>
      <c r="N12" s="118" t="s">
        <v>701</v>
      </c>
      <c r="O12" s="118" t="s">
        <v>465</v>
      </c>
      <c r="P12" s="118"/>
      <c r="Q12" s="115" t="str">
        <f>A12</f>
        <v>Line</v>
      </c>
    </row>
    <row r="13" spans="1:17">
      <c r="A13" s="127">
        <v>100</v>
      </c>
      <c r="B13" s="8" t="s">
        <v>715</v>
      </c>
      <c r="C13" s="481">
        <v>0</v>
      </c>
      <c r="D13" s="481">
        <v>1860639.3269553303</v>
      </c>
      <c r="E13" s="481">
        <v>2799275.8202379746</v>
      </c>
      <c r="F13" s="481">
        <v>595264.93464955443</v>
      </c>
      <c r="G13" s="481">
        <v>84931815.960986823</v>
      </c>
      <c r="H13" s="481">
        <v>44414.008661419903</v>
      </c>
      <c r="I13" s="481">
        <v>11984643.598527912</v>
      </c>
      <c r="J13" s="481">
        <v>4168592.995651674</v>
      </c>
      <c r="K13" s="481">
        <v>22264584.914173316</v>
      </c>
      <c r="L13" s="481">
        <v>5342038.0819587149</v>
      </c>
      <c r="M13" s="481">
        <v>2319545.8965628361</v>
      </c>
      <c r="N13" s="481">
        <v>1238076.9435859846</v>
      </c>
      <c r="O13" s="475">
        <f>SUM(C13:N13)</f>
        <v>137548892.48195153</v>
      </c>
      <c r="P13" s="220"/>
      <c r="Q13" s="127">
        <f>A13</f>
        <v>100</v>
      </c>
    </row>
    <row r="14" spans="1:17">
      <c r="A14" s="127">
        <f>+A13+1</f>
        <v>101</v>
      </c>
      <c r="B14" s="221" t="s">
        <v>716</v>
      </c>
      <c r="C14" s="474">
        <v>0</v>
      </c>
      <c r="D14" s="474">
        <v>2017396.9496927797</v>
      </c>
      <c r="E14" s="474">
        <v>3917595.4004332973</v>
      </c>
      <c r="F14" s="474">
        <v>1280618.1867817761</v>
      </c>
      <c r="G14" s="474">
        <v>142550213.90555453</v>
      </c>
      <c r="H14" s="474">
        <v>287119.86340596573</v>
      </c>
      <c r="I14" s="474">
        <v>11247595.973864675</v>
      </c>
      <c r="J14" s="474">
        <v>59058933.270722605</v>
      </c>
      <c r="K14" s="474">
        <v>38217379.934236042</v>
      </c>
      <c r="L14" s="474">
        <v>2535837.9503344628</v>
      </c>
      <c r="M14" s="474">
        <v>3265651.1119966563</v>
      </c>
      <c r="N14" s="474">
        <v>1677929.4060906076</v>
      </c>
      <c r="O14" s="562">
        <f>SUM(C14:N14)</f>
        <v>266056271.95311341</v>
      </c>
      <c r="P14" s="220"/>
      <c r="Q14" s="127">
        <f>A14</f>
        <v>101</v>
      </c>
    </row>
    <row r="15" spans="1:17">
      <c r="A15" s="127">
        <f>+A14+1</f>
        <v>102</v>
      </c>
      <c r="B15" s="138" t="s">
        <v>465</v>
      </c>
      <c r="C15" s="199">
        <f>SUM(C13:C14)</f>
        <v>0</v>
      </c>
      <c r="D15" s="199">
        <f t="shared" ref="D15:N15" si="0">SUM(D13:D14)</f>
        <v>3878036.2766481098</v>
      </c>
      <c r="E15" s="199">
        <f t="shared" si="0"/>
        <v>6716871.2206712719</v>
      </c>
      <c r="F15" s="199">
        <f t="shared" si="0"/>
        <v>1875883.1214313307</v>
      </c>
      <c r="G15" s="199">
        <f t="shared" si="0"/>
        <v>227482029.86654136</v>
      </c>
      <c r="H15" s="199">
        <f t="shared" si="0"/>
        <v>331533.87206738564</v>
      </c>
      <c r="I15" s="199">
        <f t="shared" si="0"/>
        <v>23232239.572392587</v>
      </c>
      <c r="J15" s="199">
        <f t="shared" si="0"/>
        <v>63227526.266374283</v>
      </c>
      <c r="K15" s="199">
        <f t="shared" si="0"/>
        <v>60481964.848409355</v>
      </c>
      <c r="L15" s="199">
        <f t="shared" si="0"/>
        <v>7877876.0322931781</v>
      </c>
      <c r="M15" s="199">
        <f t="shared" si="0"/>
        <v>5585197.0085594924</v>
      </c>
      <c r="N15" s="199">
        <f t="shared" si="0"/>
        <v>2916006.3496765923</v>
      </c>
      <c r="O15" s="465">
        <f>SUM(C15:N15)</f>
        <v>403605164.43506497</v>
      </c>
      <c r="P15" s="222"/>
      <c r="Q15" s="127">
        <f>A15</f>
        <v>102</v>
      </c>
    </row>
    <row r="16" spans="1:17">
      <c r="A16" s="18"/>
      <c r="B16" s="8"/>
      <c r="C16" s="8"/>
      <c r="D16" s="8"/>
      <c r="E16" s="8"/>
      <c r="F16" s="8"/>
      <c r="G16" s="8"/>
      <c r="H16" s="8"/>
      <c r="I16" s="8"/>
      <c r="J16" s="8"/>
      <c r="K16" s="8"/>
      <c r="L16" s="8"/>
      <c r="Q16" s="21"/>
    </row>
    <row r="17" spans="1:17">
      <c r="A17" s="18"/>
      <c r="B17" s="8"/>
      <c r="C17" s="8"/>
      <c r="D17" s="8"/>
      <c r="E17" s="8"/>
      <c r="F17" s="8"/>
      <c r="G17" s="8"/>
      <c r="H17" s="8"/>
      <c r="I17" s="8"/>
      <c r="J17" s="8"/>
      <c r="K17" s="8"/>
      <c r="L17" s="8"/>
      <c r="Q17" s="21"/>
    </row>
    <row r="18" spans="1:17">
      <c r="B18" s="50" t="s">
        <v>845</v>
      </c>
      <c r="C18" s="140"/>
      <c r="D18" s="140"/>
      <c r="E18" s="140"/>
      <c r="F18" s="140"/>
      <c r="G18" s="140"/>
      <c r="H18" s="140"/>
      <c r="I18" s="140"/>
      <c r="J18" s="140"/>
      <c r="K18" s="140"/>
      <c r="L18" s="140"/>
      <c r="M18" s="47"/>
      <c r="N18" s="47"/>
      <c r="O18" s="47"/>
      <c r="P18" s="47"/>
      <c r="Q18" s="21"/>
    </row>
    <row r="19" spans="1:17">
      <c r="B19" s="149" t="s">
        <v>846</v>
      </c>
    </row>
    <row r="21" spans="1:17">
      <c r="A21" s="18"/>
      <c r="B21" s="8"/>
      <c r="C21" s="118" t="s">
        <v>371</v>
      </c>
      <c r="D21" s="118" t="s">
        <v>372</v>
      </c>
      <c r="E21" s="118" t="s">
        <v>373</v>
      </c>
      <c r="F21" s="8"/>
      <c r="G21" s="8"/>
      <c r="H21" s="8"/>
      <c r="I21" s="8"/>
      <c r="J21" s="8"/>
      <c r="K21" s="8"/>
      <c r="L21" s="8"/>
      <c r="Q21" s="21"/>
    </row>
    <row r="22" spans="1:17">
      <c r="C22" s="136" t="s">
        <v>711</v>
      </c>
      <c r="D22" s="152" t="s">
        <v>111</v>
      </c>
      <c r="E22" s="152" t="s">
        <v>111</v>
      </c>
      <c r="F22" s="8"/>
      <c r="G22" s="8"/>
      <c r="H22" s="8"/>
      <c r="I22" s="8"/>
      <c r="J22" s="8"/>
      <c r="K22" s="8"/>
      <c r="L22" s="8"/>
      <c r="Q22" s="21"/>
    </row>
    <row r="23" spans="1:17">
      <c r="D23" s="21"/>
      <c r="E23" s="21"/>
      <c r="F23" s="8"/>
      <c r="G23" s="8"/>
      <c r="H23" s="8"/>
      <c r="I23" s="8"/>
      <c r="J23" s="8"/>
      <c r="K23" s="8"/>
      <c r="L23" s="8"/>
      <c r="Q23" s="21"/>
    </row>
    <row r="24" spans="1:17">
      <c r="A24" s="115" t="s">
        <v>100</v>
      </c>
      <c r="B24" s="115" t="s">
        <v>420</v>
      </c>
      <c r="C24" s="118" t="s">
        <v>826</v>
      </c>
      <c r="D24" s="118" t="s">
        <v>715</v>
      </c>
      <c r="E24" s="118" t="s">
        <v>716</v>
      </c>
      <c r="F24" s="8"/>
      <c r="G24" s="8"/>
      <c r="H24" s="8"/>
      <c r="I24" s="8"/>
      <c r="J24" s="8"/>
      <c r="K24" s="8"/>
      <c r="L24" s="8"/>
      <c r="Q24" s="115" t="str">
        <f>A24</f>
        <v>Line</v>
      </c>
    </row>
    <row r="25" spans="1:17">
      <c r="A25" s="127">
        <v>200</v>
      </c>
      <c r="B25" s="155">
        <f>'1-BaseTRR'!$G$2</f>
        <v>2021</v>
      </c>
      <c r="C25" s="23">
        <f>D25+E25</f>
        <v>68025653.669177383</v>
      </c>
      <c r="D25" s="470">
        <v>24116421.01904403</v>
      </c>
      <c r="E25" s="470">
        <v>43909232.650133349</v>
      </c>
      <c r="F25" s="8"/>
      <c r="G25" s="8"/>
      <c r="H25" s="8"/>
      <c r="I25" s="8"/>
      <c r="J25" s="8"/>
      <c r="K25" s="8"/>
      <c r="L25" s="8"/>
      <c r="Q25" s="127">
        <f>A25</f>
        <v>200</v>
      </c>
    </row>
    <row r="26" spans="1:17">
      <c r="A26" s="154"/>
      <c r="B26" s="11"/>
      <c r="C26" s="11"/>
      <c r="D26" s="11"/>
      <c r="E26" s="8"/>
      <c r="F26" s="8"/>
      <c r="G26" s="8"/>
      <c r="H26" s="8"/>
      <c r="I26" s="8"/>
      <c r="J26" s="8"/>
      <c r="K26" s="8"/>
      <c r="L26" s="8"/>
      <c r="Q26" s="21"/>
    </row>
    <row r="27" spans="1:17">
      <c r="A27" s="154"/>
      <c r="B27" s="11"/>
      <c r="C27" s="11"/>
      <c r="D27" s="11"/>
      <c r="E27" s="8"/>
      <c r="F27" s="8"/>
      <c r="G27" s="8"/>
      <c r="H27" s="8"/>
      <c r="I27" s="8"/>
      <c r="J27" s="8"/>
      <c r="K27" s="8"/>
      <c r="L27" s="8"/>
      <c r="Q27" s="21"/>
    </row>
    <row r="28" spans="1:17">
      <c r="B28" s="50" t="s">
        <v>847</v>
      </c>
      <c r="C28" s="140"/>
      <c r="D28" s="140"/>
      <c r="E28" s="140"/>
      <c r="F28" s="140"/>
      <c r="G28" s="140"/>
      <c r="H28" s="140"/>
      <c r="I28" s="140"/>
      <c r="J28" s="140"/>
      <c r="K28" s="140"/>
      <c r="L28" s="140"/>
      <c r="M28" s="47"/>
      <c r="N28" s="47"/>
      <c r="O28" s="47"/>
      <c r="P28" s="47"/>
      <c r="Q28" s="21"/>
    </row>
    <row r="29" spans="1:17">
      <c r="B29" s="149" t="s">
        <v>848</v>
      </c>
    </row>
    <row r="31" spans="1:17">
      <c r="B31" s="8"/>
      <c r="C31" s="118" t="s">
        <v>371</v>
      </c>
      <c r="D31" s="118" t="s">
        <v>372</v>
      </c>
      <c r="E31" s="118" t="s">
        <v>373</v>
      </c>
      <c r="F31" s="118" t="s">
        <v>374</v>
      </c>
      <c r="G31" s="118" t="s">
        <v>375</v>
      </c>
      <c r="H31" s="8"/>
      <c r="I31" s="8"/>
      <c r="J31" s="8"/>
      <c r="K31" s="8"/>
      <c r="L31" s="8"/>
      <c r="Q31" s="21"/>
    </row>
    <row r="32" spans="1:17" ht="30">
      <c r="A32" s="161"/>
      <c r="B32" s="223"/>
      <c r="C32" s="152" t="s">
        <v>203</v>
      </c>
      <c r="D32" s="152" t="s">
        <v>723</v>
      </c>
      <c r="E32" s="165" t="s">
        <v>724</v>
      </c>
      <c r="F32" s="152" t="s">
        <v>725</v>
      </c>
      <c r="G32" s="152" t="s">
        <v>726</v>
      </c>
      <c r="H32" s="224"/>
      <c r="I32" s="224"/>
      <c r="J32" s="224"/>
      <c r="K32" s="224"/>
      <c r="L32" s="224"/>
      <c r="M32" s="223"/>
      <c r="N32" s="223"/>
      <c r="O32" s="223"/>
      <c r="P32" s="223"/>
      <c r="Q32" s="21"/>
    </row>
    <row r="33" spans="1:17">
      <c r="D33" s="225"/>
      <c r="F33" s="225"/>
      <c r="G33" s="225"/>
      <c r="H33" s="8"/>
      <c r="I33" s="8"/>
      <c r="J33" s="8"/>
      <c r="K33" s="8"/>
      <c r="L33" s="8"/>
      <c r="Q33" s="21"/>
    </row>
    <row r="34" spans="1:17">
      <c r="F34" s="225"/>
      <c r="G34" s="225"/>
      <c r="H34" s="8"/>
      <c r="I34" s="8"/>
      <c r="J34" s="8"/>
      <c r="K34" s="8"/>
      <c r="L34" s="8"/>
      <c r="Q34" s="21"/>
    </row>
    <row r="35" spans="1:17">
      <c r="C35" s="119" t="s">
        <v>728</v>
      </c>
      <c r="D35" s="4" t="s">
        <v>727</v>
      </c>
      <c r="E35" s="4" t="s">
        <v>385</v>
      </c>
      <c r="H35" s="8"/>
      <c r="I35" s="8"/>
      <c r="J35" s="8"/>
      <c r="K35" s="8"/>
      <c r="L35" s="8"/>
      <c r="Q35" s="21"/>
    </row>
    <row r="36" spans="1:17">
      <c r="C36" s="4" t="s">
        <v>849</v>
      </c>
      <c r="D36" s="4" t="s">
        <v>385</v>
      </c>
      <c r="E36" s="4" t="s">
        <v>850</v>
      </c>
      <c r="F36" s="119" t="s">
        <v>715</v>
      </c>
      <c r="G36" s="119" t="s">
        <v>716</v>
      </c>
      <c r="H36" s="8"/>
      <c r="I36" s="8"/>
      <c r="J36" s="8"/>
      <c r="K36" s="8"/>
      <c r="L36" s="8"/>
      <c r="Q36" s="21"/>
    </row>
    <row r="37" spans="1:17">
      <c r="A37" s="115" t="s">
        <v>100</v>
      </c>
      <c r="B37" s="115" t="s">
        <v>420</v>
      </c>
      <c r="C37" s="167" t="s">
        <v>729</v>
      </c>
      <c r="D37" s="167" t="s">
        <v>730</v>
      </c>
      <c r="E37" s="167" t="s">
        <v>731</v>
      </c>
      <c r="F37" s="167" t="s">
        <v>731</v>
      </c>
      <c r="G37" s="167" t="s">
        <v>731</v>
      </c>
      <c r="H37" s="8"/>
      <c r="I37" s="8"/>
      <c r="J37" s="8"/>
      <c r="K37" s="8"/>
      <c r="L37" s="8"/>
      <c r="Q37" s="115" t="str">
        <f>A37</f>
        <v>Line</v>
      </c>
    </row>
    <row r="38" spans="1:17">
      <c r="A38" s="127">
        <v>300</v>
      </c>
      <c r="B38" s="155">
        <f>'1-BaseTRR'!$G$2</f>
        <v>2021</v>
      </c>
      <c r="C38" s="470">
        <v>247599424.99509788</v>
      </c>
      <c r="D38" s="214">
        <f>'24-Allocators'!$C$24</f>
        <v>0.10327848903946341</v>
      </c>
      <c r="E38" s="23">
        <f>+D38*C38</f>
        <v>25571694.500533659</v>
      </c>
      <c r="F38" s="482">
        <f>+E38*'24-Allocators'!$C$43</f>
        <v>9023129.3538181987</v>
      </c>
      <c r="G38" s="23">
        <f>+E38*'24-Allocators'!$C$44</f>
        <v>16548565.146715462</v>
      </c>
      <c r="H38" s="8"/>
      <c r="I38" s="8"/>
      <c r="J38" s="8"/>
      <c r="K38" s="8"/>
      <c r="L38" s="8"/>
      <c r="Q38" s="127">
        <f>A38</f>
        <v>300</v>
      </c>
    </row>
    <row r="39" spans="1:17">
      <c r="A39" s="127"/>
      <c r="B39" s="149"/>
      <c r="C39" s="163"/>
      <c r="D39" s="226"/>
      <c r="E39" s="11"/>
      <c r="F39" s="8"/>
      <c r="G39" s="8"/>
      <c r="H39" s="8"/>
      <c r="I39" s="8"/>
      <c r="J39" s="8"/>
      <c r="K39" s="8"/>
      <c r="L39" s="8"/>
      <c r="Q39" s="21"/>
    </row>
    <row r="40" spans="1:17">
      <c r="A40" s="127"/>
      <c r="B40" s="149"/>
      <c r="C40" s="163"/>
      <c r="D40" s="226"/>
      <c r="E40" s="11"/>
      <c r="F40" s="8"/>
      <c r="G40" s="8"/>
      <c r="H40" s="8"/>
      <c r="I40" s="8"/>
      <c r="J40" s="8"/>
      <c r="K40" s="8"/>
      <c r="L40" s="8"/>
      <c r="Q40" s="21"/>
    </row>
    <row r="41" spans="1:17">
      <c r="B41" s="50" t="s">
        <v>851</v>
      </c>
      <c r="C41" s="140"/>
      <c r="D41" s="140"/>
      <c r="E41" s="140"/>
      <c r="F41" s="140"/>
      <c r="G41" s="140"/>
      <c r="H41" s="140"/>
      <c r="I41" s="140"/>
      <c r="J41" s="140"/>
      <c r="K41" s="140"/>
      <c r="L41" s="140"/>
      <c r="M41" s="47"/>
      <c r="N41" s="47"/>
      <c r="O41" s="47"/>
      <c r="P41" s="47"/>
      <c r="Q41" s="21"/>
    </row>
    <row r="42" spans="1:17">
      <c r="B42" s="149" t="s">
        <v>852</v>
      </c>
    </row>
    <row r="44" spans="1:17">
      <c r="B44" s="8"/>
      <c r="C44" s="118" t="s">
        <v>371</v>
      </c>
      <c r="D44" s="118" t="s">
        <v>372</v>
      </c>
      <c r="E44" s="118" t="s">
        <v>373</v>
      </c>
      <c r="F44" s="118" t="s">
        <v>374</v>
      </c>
      <c r="G44" s="118" t="s">
        <v>375</v>
      </c>
      <c r="H44" s="8"/>
      <c r="I44" s="8"/>
      <c r="J44" s="8"/>
      <c r="K44" s="8"/>
      <c r="L44" s="8"/>
      <c r="Q44" s="21"/>
    </row>
    <row r="45" spans="1:17" ht="30">
      <c r="A45" s="161"/>
      <c r="B45" s="223"/>
      <c r="C45" s="152" t="s">
        <v>251</v>
      </c>
      <c r="D45" s="152" t="s">
        <v>737</v>
      </c>
      <c r="E45" s="165" t="s">
        <v>724</v>
      </c>
      <c r="F45" s="152" t="s">
        <v>725</v>
      </c>
      <c r="G45" s="152" t="s">
        <v>726</v>
      </c>
      <c r="H45" s="224"/>
      <c r="I45" s="224"/>
      <c r="J45" s="224"/>
      <c r="K45" s="224"/>
      <c r="L45" s="224"/>
      <c r="M45" s="223"/>
      <c r="N45" s="223"/>
      <c r="O45" s="223"/>
      <c r="P45" s="223"/>
      <c r="Q45" s="21"/>
    </row>
    <row r="46" spans="1:17">
      <c r="D46" s="225"/>
      <c r="E46" s="21"/>
      <c r="F46" s="225"/>
      <c r="G46" s="225"/>
      <c r="H46" s="8"/>
      <c r="I46" s="8"/>
      <c r="J46" s="8"/>
      <c r="K46" s="8"/>
      <c r="L46" s="8"/>
      <c r="Q46" s="21"/>
    </row>
    <row r="47" spans="1:17">
      <c r="H47" s="8"/>
      <c r="I47" s="8"/>
      <c r="J47" s="8"/>
      <c r="K47" s="8"/>
      <c r="L47" s="8"/>
      <c r="Q47" s="21"/>
    </row>
    <row r="48" spans="1:17">
      <c r="D48" s="4" t="s">
        <v>727</v>
      </c>
      <c r="E48" s="4" t="s">
        <v>385</v>
      </c>
      <c r="H48" s="8"/>
      <c r="I48" s="8"/>
      <c r="J48" s="8"/>
      <c r="K48" s="8"/>
      <c r="L48" s="8"/>
      <c r="Q48" s="21"/>
    </row>
    <row r="49" spans="1:18">
      <c r="C49" s="119" t="s">
        <v>853</v>
      </c>
      <c r="D49" s="4" t="s">
        <v>385</v>
      </c>
      <c r="E49" s="4" t="s">
        <v>850</v>
      </c>
      <c r="F49" s="119" t="s">
        <v>715</v>
      </c>
      <c r="G49" s="119" t="s">
        <v>716</v>
      </c>
      <c r="H49" s="8"/>
      <c r="I49" s="8"/>
      <c r="J49" s="8"/>
      <c r="K49" s="8"/>
      <c r="L49" s="8"/>
      <c r="Q49" s="21"/>
    </row>
    <row r="50" spans="1:18">
      <c r="A50" s="115" t="s">
        <v>100</v>
      </c>
      <c r="B50" s="115" t="s">
        <v>420</v>
      </c>
      <c r="C50" s="167" t="s">
        <v>729</v>
      </c>
      <c r="D50" s="167" t="s">
        <v>730</v>
      </c>
      <c r="E50" s="167" t="s">
        <v>854</v>
      </c>
      <c r="F50" s="167" t="s">
        <v>854</v>
      </c>
      <c r="G50" s="167" t="s">
        <v>854</v>
      </c>
      <c r="H50" s="8"/>
      <c r="I50" s="8"/>
      <c r="J50" s="8"/>
      <c r="K50" s="8"/>
      <c r="L50" s="8"/>
      <c r="Q50" s="115" t="str">
        <f>A50</f>
        <v>Line</v>
      </c>
    </row>
    <row r="51" spans="1:18">
      <c r="A51" s="127">
        <v>400</v>
      </c>
      <c r="B51" s="155">
        <f>'1-BaseTRR'!$G$2</f>
        <v>2021</v>
      </c>
      <c r="C51" s="470">
        <v>3679122.3953759712</v>
      </c>
      <c r="D51" s="22">
        <f>'24-Allocators'!$C$23</f>
        <v>0.14690087374748809</v>
      </c>
      <c r="E51" s="23">
        <f>+D51*C51</f>
        <v>540466.29450468149</v>
      </c>
      <c r="F51" s="483">
        <f>+E51*'24-Allocators'!$C$43</f>
        <v>190706.84919189735</v>
      </c>
      <c r="G51" s="23">
        <f>+E51*'24-Allocators'!$C$44</f>
        <v>349759.44531278417</v>
      </c>
      <c r="H51" s="8"/>
      <c r="I51" s="8"/>
      <c r="J51" s="8"/>
      <c r="K51" s="8"/>
      <c r="L51" s="8"/>
      <c r="Q51" s="127">
        <f>A51</f>
        <v>400</v>
      </c>
    </row>
    <row r="52" spans="1:18">
      <c r="A52" s="127"/>
      <c r="B52" s="149"/>
      <c r="C52" s="163"/>
      <c r="D52" s="226"/>
      <c r="E52" s="11"/>
      <c r="F52" s="8"/>
      <c r="G52" s="8"/>
      <c r="H52" s="8"/>
      <c r="I52" s="8"/>
      <c r="J52" s="8"/>
      <c r="K52" s="8"/>
      <c r="L52" s="8"/>
      <c r="Q52" s="21"/>
    </row>
    <row r="53" spans="1:18">
      <c r="A53" s="127"/>
      <c r="B53" s="149"/>
      <c r="C53" s="163"/>
      <c r="D53" s="226"/>
      <c r="E53" s="11"/>
      <c r="F53" s="8"/>
      <c r="G53" s="8"/>
      <c r="H53" s="8"/>
      <c r="I53" s="8"/>
      <c r="J53" s="8"/>
      <c r="K53" s="8"/>
      <c r="L53" s="8"/>
      <c r="Q53" s="21"/>
    </row>
    <row r="54" spans="1:18">
      <c r="B54" s="50" t="s">
        <v>855</v>
      </c>
      <c r="C54" s="140"/>
      <c r="D54" s="140"/>
      <c r="E54" s="140"/>
      <c r="F54" s="140"/>
      <c r="G54" s="140"/>
      <c r="H54" s="140"/>
      <c r="I54" s="140"/>
      <c r="J54" s="140"/>
      <c r="K54" s="140"/>
      <c r="L54" s="140"/>
      <c r="M54" s="47"/>
      <c r="N54" s="47"/>
      <c r="O54" s="47"/>
      <c r="P54" s="47"/>
      <c r="Q54" s="21"/>
    </row>
    <row r="55" spans="1:18">
      <c r="B55" s="149" t="s">
        <v>856</v>
      </c>
    </row>
    <row r="56" spans="1:18">
      <c r="R56" s="138"/>
    </row>
    <row r="57" spans="1:18">
      <c r="B57" s="8"/>
      <c r="C57" s="118" t="s">
        <v>371</v>
      </c>
      <c r="D57" s="118" t="s">
        <v>372</v>
      </c>
      <c r="E57" s="118" t="s">
        <v>373</v>
      </c>
      <c r="F57" s="8"/>
      <c r="G57" s="8"/>
      <c r="H57" s="8"/>
      <c r="I57" s="8"/>
      <c r="J57" s="8"/>
      <c r="K57" s="8"/>
      <c r="L57" s="8"/>
      <c r="Q57" s="21"/>
    </row>
    <row r="58" spans="1:18" ht="30">
      <c r="B58" s="8"/>
      <c r="C58" s="152" t="s">
        <v>857</v>
      </c>
      <c r="D58" s="152" t="s">
        <v>857</v>
      </c>
      <c r="E58" s="152" t="s">
        <v>857</v>
      </c>
      <c r="F58" s="8"/>
      <c r="G58" s="8"/>
      <c r="H58" s="8"/>
      <c r="I58" s="8"/>
      <c r="J58" s="8"/>
      <c r="K58" s="8"/>
      <c r="L58" s="8"/>
      <c r="Q58" s="21"/>
    </row>
    <row r="59" spans="1:18">
      <c r="F59" s="8"/>
      <c r="G59" s="8"/>
      <c r="H59" s="8"/>
      <c r="I59" s="8"/>
      <c r="J59" s="8"/>
      <c r="K59" s="8"/>
      <c r="L59" s="8"/>
      <c r="Q59" s="21"/>
    </row>
    <row r="60" spans="1:18">
      <c r="A60" s="115" t="s">
        <v>100</v>
      </c>
      <c r="B60" s="115" t="s">
        <v>420</v>
      </c>
      <c r="C60" s="118" t="s">
        <v>826</v>
      </c>
      <c r="D60" s="118" t="s">
        <v>715</v>
      </c>
      <c r="E60" s="118" t="s">
        <v>716</v>
      </c>
      <c r="F60" s="8"/>
      <c r="G60" s="8"/>
      <c r="H60" s="8"/>
      <c r="I60" s="8"/>
      <c r="J60" s="8"/>
      <c r="K60" s="8"/>
      <c r="L60" s="8"/>
      <c r="Q60" s="115" t="str">
        <f>A60</f>
        <v>Line</v>
      </c>
    </row>
    <row r="61" spans="1:18">
      <c r="A61" s="127">
        <v>500</v>
      </c>
      <c r="B61" s="155">
        <f>'1-BaseTRR'!$G$2</f>
        <v>2021</v>
      </c>
      <c r="C61" s="483">
        <f>+C25+E38+E51</f>
        <v>94137814.464215726</v>
      </c>
      <c r="D61" s="483">
        <f>+D25+F38+F51</f>
        <v>33330257.222054124</v>
      </c>
      <c r="E61" s="23">
        <f>+E25+G38+G51</f>
        <v>60807557.242161594</v>
      </c>
      <c r="F61" s="163" t="s">
        <v>858</v>
      </c>
      <c r="G61" s="8"/>
      <c r="H61" s="8"/>
      <c r="I61" s="8"/>
      <c r="J61" s="8"/>
      <c r="K61" s="8"/>
      <c r="L61" s="8"/>
      <c r="Q61" s="127">
        <f>A61</f>
        <v>500</v>
      </c>
    </row>
    <row r="62" spans="1:18">
      <c r="E62" s="8"/>
      <c r="F62" s="8"/>
      <c r="G62" s="8"/>
      <c r="H62" s="8"/>
      <c r="I62" s="8"/>
      <c r="J62" s="8"/>
      <c r="K62" s="8"/>
      <c r="L62" s="8"/>
      <c r="Q62" s="21"/>
    </row>
    <row r="63" spans="1:18">
      <c r="A63" s="18"/>
      <c r="B63" s="8"/>
      <c r="C63" s="8"/>
      <c r="D63" s="8"/>
      <c r="E63" s="8"/>
      <c r="F63" s="8"/>
      <c r="G63" s="8"/>
      <c r="H63" s="8"/>
      <c r="I63" s="8"/>
      <c r="J63" s="8"/>
      <c r="K63" s="8"/>
      <c r="L63" s="8"/>
      <c r="Q63" s="21"/>
    </row>
    <row r="64" spans="1:18">
      <c r="B64" s="821" t="s">
        <v>859</v>
      </c>
      <c r="C64" s="822"/>
      <c r="D64" s="822"/>
      <c r="E64" s="822"/>
      <c r="F64" s="822"/>
      <c r="G64" s="822"/>
      <c r="H64" s="822"/>
      <c r="I64" s="822"/>
      <c r="J64" s="822"/>
      <c r="K64" s="822"/>
      <c r="L64" s="822"/>
      <c r="M64" s="822"/>
      <c r="N64" s="822"/>
      <c r="O64" s="822"/>
      <c r="P64" s="823"/>
      <c r="Q64" s="138"/>
    </row>
    <row r="65" spans="1:17">
      <c r="A65" s="18"/>
      <c r="B65" s="8" t="s">
        <v>860</v>
      </c>
      <c r="C65" s="8"/>
      <c r="D65" s="8"/>
      <c r="E65" s="8"/>
      <c r="F65" s="8"/>
      <c r="G65" s="8"/>
      <c r="H65" s="8"/>
      <c r="I65" s="8"/>
      <c r="J65" s="8"/>
      <c r="K65" s="8"/>
      <c r="L65" s="8"/>
    </row>
    <row r="66" spans="1:17">
      <c r="A66" s="18"/>
      <c r="B66" s="8" t="s">
        <v>861</v>
      </c>
      <c r="C66" s="8"/>
      <c r="D66" s="8"/>
      <c r="E66" s="8"/>
      <c r="F66" s="8"/>
      <c r="G66" s="8"/>
      <c r="H66" s="8"/>
      <c r="I66" s="8"/>
      <c r="J66" s="8"/>
      <c r="K66" s="8"/>
      <c r="L66" s="8"/>
    </row>
    <row r="67" spans="1:17">
      <c r="A67" s="18"/>
      <c r="B67" s="8"/>
      <c r="C67" s="8"/>
      <c r="D67" s="8"/>
      <c r="E67" s="8"/>
      <c r="F67" s="8"/>
      <c r="G67" s="8"/>
      <c r="H67" s="8"/>
      <c r="I67" s="8"/>
      <c r="J67" s="8"/>
      <c r="K67" s="8"/>
      <c r="L67" s="8"/>
    </row>
    <row r="68" spans="1:17">
      <c r="A68" s="4"/>
      <c r="B68" s="50" t="s">
        <v>862</v>
      </c>
      <c r="C68" s="47"/>
      <c r="D68" s="47"/>
      <c r="E68" s="47"/>
      <c r="F68" s="47"/>
      <c r="G68" s="47"/>
      <c r="H68" s="140"/>
      <c r="I68" s="47"/>
      <c r="J68" s="47"/>
      <c r="K68" s="47"/>
      <c r="L68" s="47"/>
      <c r="M68" s="47"/>
      <c r="N68" s="47"/>
      <c r="O68" s="47"/>
      <c r="P68" s="47"/>
    </row>
    <row r="69" spans="1:17">
      <c r="B69" s="149" t="s">
        <v>863</v>
      </c>
    </row>
    <row r="71" spans="1:17">
      <c r="A71" s="4"/>
      <c r="D71" s="118" t="s">
        <v>371</v>
      </c>
      <c r="E71" s="118" t="s">
        <v>372</v>
      </c>
      <c r="F71" s="118" t="s">
        <v>373</v>
      </c>
      <c r="G71" s="118" t="s">
        <v>374</v>
      </c>
      <c r="H71" s="118" t="s">
        <v>375</v>
      </c>
      <c r="I71" s="118" t="s">
        <v>376</v>
      </c>
      <c r="J71" s="118" t="s">
        <v>377</v>
      </c>
      <c r="K71" s="118" t="s">
        <v>378</v>
      </c>
      <c r="L71" s="118" t="s">
        <v>409</v>
      </c>
      <c r="M71" s="118" t="s">
        <v>525</v>
      </c>
      <c r="N71" s="118" t="s">
        <v>526</v>
      </c>
      <c r="O71" s="118" t="s">
        <v>527</v>
      </c>
      <c r="P71" s="118" t="s">
        <v>528</v>
      </c>
    </row>
    <row r="72" spans="1:17">
      <c r="B72" s="4"/>
      <c r="C72" s="4"/>
      <c r="D72" s="161" t="s">
        <v>25</v>
      </c>
      <c r="E72" s="161" t="s">
        <v>25</v>
      </c>
      <c r="F72" s="161" t="s">
        <v>25</v>
      </c>
      <c r="G72" s="161" t="s">
        <v>25</v>
      </c>
      <c r="H72" s="161" t="s">
        <v>25</v>
      </c>
      <c r="I72" s="161" t="s">
        <v>25</v>
      </c>
      <c r="J72" s="161" t="s">
        <v>25</v>
      </c>
      <c r="K72" s="161" t="s">
        <v>25</v>
      </c>
      <c r="L72" s="161" t="s">
        <v>25</v>
      </c>
      <c r="M72" s="161" t="s">
        <v>25</v>
      </c>
      <c r="N72" s="161" t="s">
        <v>25</v>
      </c>
      <c r="O72" s="161" t="s">
        <v>25</v>
      </c>
      <c r="P72" s="152" t="s">
        <v>688</v>
      </c>
    </row>
    <row r="73" spans="1:17">
      <c r="B73" s="4"/>
      <c r="C73" s="4"/>
      <c r="N73" s="21"/>
      <c r="P73" s="152"/>
    </row>
    <row r="74" spans="1:17">
      <c r="A74" s="127"/>
      <c r="C74" s="6" t="s">
        <v>689</v>
      </c>
      <c r="D74" s="119">
        <v>350.01</v>
      </c>
      <c r="E74" s="119">
        <v>350.02</v>
      </c>
      <c r="F74" s="119">
        <v>352.01</v>
      </c>
      <c r="G74" s="119">
        <v>352.02</v>
      </c>
      <c r="H74" s="119">
        <v>353.01</v>
      </c>
      <c r="I74" s="119">
        <v>353.02</v>
      </c>
      <c r="J74" s="119">
        <v>354</v>
      </c>
      <c r="K74" s="119">
        <v>355</v>
      </c>
      <c r="L74" s="119">
        <v>356</v>
      </c>
      <c r="M74" s="119">
        <v>357</v>
      </c>
      <c r="N74" s="119">
        <v>358</v>
      </c>
      <c r="O74" s="119">
        <v>359</v>
      </c>
    </row>
    <row r="75" spans="1:17">
      <c r="A75" s="115" t="s">
        <v>100</v>
      </c>
      <c r="B75" s="115" t="s">
        <v>384</v>
      </c>
      <c r="C75" s="115" t="s">
        <v>420</v>
      </c>
      <c r="D75" s="118" t="s">
        <v>690</v>
      </c>
      <c r="E75" s="118" t="s">
        <v>691</v>
      </c>
      <c r="F75" s="118" t="s">
        <v>692</v>
      </c>
      <c r="G75" s="118" t="s">
        <v>693</v>
      </c>
      <c r="H75" s="118" t="s">
        <v>694</v>
      </c>
      <c r="I75" s="118" t="s">
        <v>695</v>
      </c>
      <c r="J75" s="118" t="s">
        <v>696</v>
      </c>
      <c r="K75" s="118" t="s">
        <v>697</v>
      </c>
      <c r="L75" s="118" t="s">
        <v>698</v>
      </c>
      <c r="M75" s="118" t="s">
        <v>699</v>
      </c>
      <c r="N75" s="118" t="s">
        <v>700</v>
      </c>
      <c r="O75" s="118" t="s">
        <v>701</v>
      </c>
      <c r="P75" s="115" t="s">
        <v>465</v>
      </c>
      <c r="Q75" s="115" t="str">
        <f>A75</f>
        <v>Line</v>
      </c>
    </row>
    <row r="76" spans="1:17">
      <c r="A76" s="127">
        <v>600</v>
      </c>
      <c r="B76" s="149" t="s">
        <v>430</v>
      </c>
      <c r="C76" s="155">
        <f>'1-BaseTRR'!$G$2</f>
        <v>2021</v>
      </c>
      <c r="D76" s="468">
        <f>+'7-PlantInService'!D13</f>
        <v>81082210</v>
      </c>
      <c r="E76" s="468">
        <f>+'7-PlantInService'!E13</f>
        <v>206091728</v>
      </c>
      <c r="F76" s="468">
        <f>+'7-PlantInService'!F13</f>
        <v>365924206</v>
      </c>
      <c r="G76" s="468">
        <f>+'7-PlantInService'!G13</f>
        <v>109197965</v>
      </c>
      <c r="H76" s="468">
        <f>+'7-PlantInService'!H13</f>
        <v>7206925588</v>
      </c>
      <c r="I76" s="468">
        <f>+'7-PlantInService'!I13</f>
        <v>35969921</v>
      </c>
      <c r="J76" s="468">
        <f>+'7-PlantInService'!J13</f>
        <v>948326282</v>
      </c>
      <c r="K76" s="468">
        <f>+'7-PlantInService'!K13</f>
        <v>1889644927</v>
      </c>
      <c r="L76" s="468">
        <f>+'7-PlantInService'!L13</f>
        <v>2089203871</v>
      </c>
      <c r="M76" s="468">
        <f>+'7-PlantInService'!M13</f>
        <v>511780794</v>
      </c>
      <c r="N76" s="468">
        <f>+'7-PlantInService'!N13</f>
        <v>281267655</v>
      </c>
      <c r="O76" s="468">
        <f>+'7-PlantInService'!O13</f>
        <v>140052847</v>
      </c>
      <c r="P76" s="24">
        <f t="shared" ref="P76:P87" si="1">SUM(D76:O76)</f>
        <v>13865467994</v>
      </c>
      <c r="Q76" s="127">
        <f t="shared" ref="Q76:Q87" si="2">A76</f>
        <v>600</v>
      </c>
    </row>
    <row r="77" spans="1:17">
      <c r="A77" s="127">
        <f t="shared" ref="A77:A87" si="3">A76+1</f>
        <v>601</v>
      </c>
      <c r="B77" s="149" t="s">
        <v>431</v>
      </c>
      <c r="C77" s="155">
        <f>'1-BaseTRR'!$G$2</f>
        <v>2021</v>
      </c>
      <c r="D77" s="468">
        <f>+'7-PlantInService'!D14</f>
        <v>81091166</v>
      </c>
      <c r="E77" s="468">
        <f>+'7-PlantInService'!E14</f>
        <v>206086007</v>
      </c>
      <c r="F77" s="468">
        <f>+'7-PlantInService'!F14</f>
        <v>365470220</v>
      </c>
      <c r="G77" s="468">
        <f>+'7-PlantInService'!G14</f>
        <v>109213427</v>
      </c>
      <c r="H77" s="468">
        <f>+'7-PlantInService'!H14</f>
        <v>7247377643</v>
      </c>
      <c r="I77" s="468">
        <f>+'7-PlantInService'!I14</f>
        <v>35969919</v>
      </c>
      <c r="J77" s="468">
        <f>+'7-PlantInService'!J14</f>
        <v>955735508</v>
      </c>
      <c r="K77" s="468">
        <f>+'7-PlantInService'!K14</f>
        <v>1901396960</v>
      </c>
      <c r="L77" s="468">
        <f>+'7-PlantInService'!L14</f>
        <v>2108502343</v>
      </c>
      <c r="M77" s="468">
        <f>+'7-PlantInService'!M14</f>
        <v>511782793</v>
      </c>
      <c r="N77" s="468">
        <f>+'7-PlantInService'!N14</f>
        <v>281517440</v>
      </c>
      <c r="O77" s="468">
        <f>+'7-PlantInService'!O14</f>
        <v>140856671</v>
      </c>
      <c r="P77" s="24">
        <f t="shared" si="1"/>
        <v>13945000097</v>
      </c>
      <c r="Q77" s="127">
        <f t="shared" si="2"/>
        <v>601</v>
      </c>
    </row>
    <row r="78" spans="1:17">
      <c r="A78" s="127">
        <f t="shared" si="3"/>
        <v>602</v>
      </c>
      <c r="B78" s="149" t="s">
        <v>432</v>
      </c>
      <c r="C78" s="155">
        <f>'1-BaseTRR'!$G$2</f>
        <v>2021</v>
      </c>
      <c r="D78" s="468">
        <f>+'7-PlantInService'!D15</f>
        <v>80990387</v>
      </c>
      <c r="E78" s="468">
        <f>+'7-PlantInService'!E15</f>
        <v>206165369</v>
      </c>
      <c r="F78" s="468">
        <f>+'7-PlantInService'!F15</f>
        <v>364180830</v>
      </c>
      <c r="G78" s="468">
        <f>+'7-PlantInService'!G15</f>
        <v>109229322</v>
      </c>
      <c r="H78" s="468">
        <f>+'7-PlantInService'!H15</f>
        <v>7302628652</v>
      </c>
      <c r="I78" s="468">
        <f>+'7-PlantInService'!I15</f>
        <v>35969924</v>
      </c>
      <c r="J78" s="468">
        <f>+'7-PlantInService'!J15</f>
        <v>960159717</v>
      </c>
      <c r="K78" s="468">
        <f>+'7-PlantInService'!K15</f>
        <v>1922473315</v>
      </c>
      <c r="L78" s="468">
        <f>+'7-PlantInService'!L15</f>
        <v>2136521607</v>
      </c>
      <c r="M78" s="468">
        <f>+'7-PlantInService'!M15</f>
        <v>511867942</v>
      </c>
      <c r="N78" s="468">
        <f>+'7-PlantInService'!N15</f>
        <v>281531345</v>
      </c>
      <c r="O78" s="468">
        <f>+'7-PlantInService'!O15</f>
        <v>156698169</v>
      </c>
      <c r="P78" s="24">
        <f t="shared" si="1"/>
        <v>14068416579</v>
      </c>
      <c r="Q78" s="127">
        <f t="shared" si="2"/>
        <v>602</v>
      </c>
    </row>
    <row r="79" spans="1:17">
      <c r="A79" s="127">
        <f t="shared" si="3"/>
        <v>603</v>
      </c>
      <c r="B79" s="149" t="s">
        <v>433</v>
      </c>
      <c r="C79" s="155">
        <f>'1-BaseTRR'!$G$2</f>
        <v>2021</v>
      </c>
      <c r="D79" s="468">
        <f>+'7-PlantInService'!D16</f>
        <v>81010943</v>
      </c>
      <c r="E79" s="468">
        <f>+'7-PlantInService'!E16</f>
        <v>216063108</v>
      </c>
      <c r="F79" s="468">
        <f>+'7-PlantInService'!F16</f>
        <v>365085639</v>
      </c>
      <c r="G79" s="468">
        <f>+'7-PlantInService'!G16</f>
        <v>109289057</v>
      </c>
      <c r="H79" s="468">
        <f>+'7-PlantInService'!H16</f>
        <v>7324469479</v>
      </c>
      <c r="I79" s="468">
        <f>+'7-PlantInService'!I16</f>
        <v>35969937</v>
      </c>
      <c r="J79" s="468">
        <f>+'7-PlantInService'!J16</f>
        <v>959599915</v>
      </c>
      <c r="K79" s="468">
        <f>+'7-PlantInService'!K16</f>
        <v>1941811078</v>
      </c>
      <c r="L79" s="468">
        <f>+'7-PlantInService'!L16</f>
        <v>2152171275</v>
      </c>
      <c r="M79" s="468">
        <f>+'7-PlantInService'!M16</f>
        <v>512266724</v>
      </c>
      <c r="N79" s="468">
        <f>+'7-PlantInService'!N16</f>
        <v>281537479</v>
      </c>
      <c r="O79" s="468">
        <f>+'7-PlantInService'!O16</f>
        <v>157076936</v>
      </c>
      <c r="P79" s="24">
        <f t="shared" si="1"/>
        <v>14136351570</v>
      </c>
      <c r="Q79" s="127">
        <f t="shared" si="2"/>
        <v>603</v>
      </c>
    </row>
    <row r="80" spans="1:17">
      <c r="A80" s="127">
        <f t="shared" si="3"/>
        <v>604</v>
      </c>
      <c r="B80" s="149" t="s">
        <v>395</v>
      </c>
      <c r="C80" s="155">
        <f>'1-BaseTRR'!$G$2</f>
        <v>2021</v>
      </c>
      <c r="D80" s="468">
        <f>+'7-PlantInService'!D17</f>
        <v>81195521</v>
      </c>
      <c r="E80" s="468">
        <f>+'7-PlantInService'!E17</f>
        <v>216318337</v>
      </c>
      <c r="F80" s="468">
        <f>+'7-PlantInService'!F17</f>
        <v>365641897</v>
      </c>
      <c r="G80" s="468">
        <f>+'7-PlantInService'!G17</f>
        <v>109489691</v>
      </c>
      <c r="H80" s="468">
        <f>+'7-PlantInService'!H17</f>
        <v>7369639929</v>
      </c>
      <c r="I80" s="468">
        <f>+'7-PlantInService'!I17</f>
        <v>35969927</v>
      </c>
      <c r="J80" s="468">
        <f>+'7-PlantInService'!J17</f>
        <v>1020088189</v>
      </c>
      <c r="K80" s="468">
        <f>+'7-PlantInService'!K17</f>
        <v>1958221339</v>
      </c>
      <c r="L80" s="468">
        <f>+'7-PlantInService'!L17</f>
        <v>2172650691</v>
      </c>
      <c r="M80" s="468">
        <f>+'7-PlantInService'!M17</f>
        <v>511940071</v>
      </c>
      <c r="N80" s="468">
        <f>+'7-PlantInService'!N17</f>
        <v>281503304</v>
      </c>
      <c r="O80" s="468">
        <f>+'7-PlantInService'!O17</f>
        <v>165548706</v>
      </c>
      <c r="P80" s="24">
        <f t="shared" si="1"/>
        <v>14288207602</v>
      </c>
      <c r="Q80" s="127">
        <f t="shared" si="2"/>
        <v>604</v>
      </c>
    </row>
    <row r="81" spans="1:17">
      <c r="A81" s="127">
        <f t="shared" si="3"/>
        <v>605</v>
      </c>
      <c r="B81" s="149" t="s">
        <v>531</v>
      </c>
      <c r="C81" s="155">
        <f>'1-BaseTRR'!$G$2</f>
        <v>2021</v>
      </c>
      <c r="D81" s="468">
        <f>+'7-PlantInService'!D18</f>
        <v>81166230</v>
      </c>
      <c r="E81" s="468">
        <f>+'7-PlantInService'!E18</f>
        <v>216331270</v>
      </c>
      <c r="F81" s="468">
        <f>+'7-PlantInService'!F18</f>
        <v>366619347</v>
      </c>
      <c r="G81" s="468">
        <f>+'7-PlantInService'!G18</f>
        <v>111419926</v>
      </c>
      <c r="H81" s="468">
        <f>+'7-PlantInService'!H18</f>
        <v>7403344835</v>
      </c>
      <c r="I81" s="468">
        <f>+'7-PlantInService'!I18</f>
        <v>35969927</v>
      </c>
      <c r="J81" s="468">
        <f>+'7-PlantInService'!J18</f>
        <v>1033121722</v>
      </c>
      <c r="K81" s="468">
        <f>+'7-PlantInService'!K18</f>
        <v>1981926007</v>
      </c>
      <c r="L81" s="468">
        <f>+'7-PlantInService'!L18</f>
        <v>2201114342</v>
      </c>
      <c r="M81" s="468">
        <f>+'7-PlantInService'!M18</f>
        <v>518140626</v>
      </c>
      <c r="N81" s="468">
        <f>+'7-PlantInService'!N18</f>
        <v>281512903</v>
      </c>
      <c r="O81" s="468">
        <f>+'7-PlantInService'!O18</f>
        <v>157927297</v>
      </c>
      <c r="P81" s="24">
        <f t="shared" si="1"/>
        <v>14388594432</v>
      </c>
      <c r="Q81" s="127">
        <f t="shared" si="2"/>
        <v>605</v>
      </c>
    </row>
    <row r="82" spans="1:17">
      <c r="A82" s="127">
        <f t="shared" si="3"/>
        <v>606</v>
      </c>
      <c r="B82" s="149" t="s">
        <v>435</v>
      </c>
      <c r="C82" s="155">
        <f>'1-BaseTRR'!$G$2</f>
        <v>2021</v>
      </c>
      <c r="D82" s="468">
        <f>+'7-PlantInService'!D19</f>
        <v>81407738</v>
      </c>
      <c r="E82" s="468">
        <f>+'7-PlantInService'!E19</f>
        <v>216533207</v>
      </c>
      <c r="F82" s="468">
        <f>+'7-PlantInService'!F19</f>
        <v>367975674</v>
      </c>
      <c r="G82" s="468">
        <f>+'7-PlantInService'!G19</f>
        <v>111212274</v>
      </c>
      <c r="H82" s="468">
        <f>+'7-PlantInService'!H19</f>
        <v>7411089444</v>
      </c>
      <c r="I82" s="468">
        <f>+'7-PlantInService'!I19</f>
        <v>35977423</v>
      </c>
      <c r="J82" s="468">
        <f>+'7-PlantInService'!J19</f>
        <v>1028087089</v>
      </c>
      <c r="K82" s="468">
        <f>+'7-PlantInService'!K19</f>
        <v>1992875662</v>
      </c>
      <c r="L82" s="468">
        <f>+'7-PlantInService'!L19</f>
        <v>2207639169</v>
      </c>
      <c r="M82" s="468">
        <f>+'7-PlantInService'!M19</f>
        <v>518157542</v>
      </c>
      <c r="N82" s="468">
        <f>+'7-PlantInService'!N19</f>
        <v>281545049</v>
      </c>
      <c r="O82" s="468">
        <f>+'7-PlantInService'!O19</f>
        <v>158268847</v>
      </c>
      <c r="P82" s="24">
        <f t="shared" si="1"/>
        <v>14410769118</v>
      </c>
      <c r="Q82" s="127">
        <f t="shared" si="2"/>
        <v>606</v>
      </c>
    </row>
    <row r="83" spans="1:17">
      <c r="A83" s="127">
        <f t="shared" si="3"/>
        <v>607</v>
      </c>
      <c r="B83" s="149" t="s">
        <v>436</v>
      </c>
      <c r="C83" s="155">
        <f>'1-BaseTRR'!$G$2</f>
        <v>2021</v>
      </c>
      <c r="D83" s="468">
        <f>+'7-PlantInService'!D20</f>
        <v>81038869</v>
      </c>
      <c r="E83" s="468">
        <f>+'7-PlantInService'!E20</f>
        <v>216853280</v>
      </c>
      <c r="F83" s="468">
        <f>+'7-PlantInService'!F20</f>
        <v>371301372</v>
      </c>
      <c r="G83" s="468">
        <f>+'7-PlantInService'!G20</f>
        <v>111277950</v>
      </c>
      <c r="H83" s="468">
        <f>+'7-PlantInService'!H20</f>
        <v>7419544048</v>
      </c>
      <c r="I83" s="468">
        <f>+'7-PlantInService'!I20</f>
        <v>35992886</v>
      </c>
      <c r="J83" s="468">
        <f>+'7-PlantInService'!J20</f>
        <v>1025893976</v>
      </c>
      <c r="K83" s="468">
        <f>+'7-PlantInService'!K20</f>
        <v>2002945255</v>
      </c>
      <c r="L83" s="468">
        <f>+'7-PlantInService'!L20</f>
        <v>2221102850</v>
      </c>
      <c r="M83" s="468">
        <f>+'7-PlantInService'!M20</f>
        <v>519234160</v>
      </c>
      <c r="N83" s="468">
        <f>+'7-PlantInService'!N20</f>
        <v>282534481</v>
      </c>
      <c r="O83" s="468">
        <f>+'7-PlantInService'!O20</f>
        <v>159116314</v>
      </c>
      <c r="P83" s="24">
        <f t="shared" si="1"/>
        <v>14446835441</v>
      </c>
      <c r="Q83" s="127">
        <f t="shared" si="2"/>
        <v>607</v>
      </c>
    </row>
    <row r="84" spans="1:17">
      <c r="A84" s="127">
        <f t="shared" si="3"/>
        <v>608</v>
      </c>
      <c r="B84" s="149" t="s">
        <v>437</v>
      </c>
      <c r="C84" s="155">
        <f>'1-BaseTRR'!$G$2</f>
        <v>2021</v>
      </c>
      <c r="D84" s="468">
        <f>+'7-PlantInService'!D21</f>
        <v>80558548</v>
      </c>
      <c r="E84" s="468">
        <f>+'7-PlantInService'!E21</f>
        <v>216902184</v>
      </c>
      <c r="F84" s="468">
        <f>+'7-PlantInService'!F21</f>
        <v>371342854</v>
      </c>
      <c r="G84" s="468">
        <f>+'7-PlantInService'!G21</f>
        <v>107652505</v>
      </c>
      <c r="H84" s="468">
        <f>+'7-PlantInService'!H21</f>
        <v>7451152743</v>
      </c>
      <c r="I84" s="468">
        <f>+'7-PlantInService'!I21</f>
        <v>34530963</v>
      </c>
      <c r="J84" s="468">
        <f>+'7-PlantInService'!J21</f>
        <v>1026697230</v>
      </c>
      <c r="K84" s="468">
        <f>+'7-PlantInService'!K21</f>
        <v>2032409326</v>
      </c>
      <c r="L84" s="468">
        <f>+'7-PlantInService'!L21</f>
        <v>2234517950</v>
      </c>
      <c r="M84" s="468">
        <f>+'7-PlantInService'!M21</f>
        <v>518187422</v>
      </c>
      <c r="N84" s="468">
        <f>+'7-PlantInService'!N21</f>
        <v>281559380</v>
      </c>
      <c r="O84" s="468">
        <f>+'7-PlantInService'!O21</f>
        <v>160346173</v>
      </c>
      <c r="P84" s="24">
        <f t="shared" si="1"/>
        <v>14515857278</v>
      </c>
      <c r="Q84" s="127">
        <f t="shared" si="2"/>
        <v>608</v>
      </c>
    </row>
    <row r="85" spans="1:17">
      <c r="A85" s="127">
        <f t="shared" si="3"/>
        <v>609</v>
      </c>
      <c r="B85" s="149" t="s">
        <v>438</v>
      </c>
      <c r="C85" s="155">
        <f>'1-BaseTRR'!$G$2</f>
        <v>2021</v>
      </c>
      <c r="D85" s="468">
        <f>+'7-PlantInService'!D22</f>
        <v>81465910</v>
      </c>
      <c r="E85" s="468">
        <f>+'7-PlantInService'!E22</f>
        <v>217137771</v>
      </c>
      <c r="F85" s="468">
        <f>+'7-PlantInService'!F22</f>
        <v>371358245</v>
      </c>
      <c r="G85" s="468">
        <f>+'7-PlantInService'!G22</f>
        <v>108285821</v>
      </c>
      <c r="H85" s="468">
        <f>+'7-PlantInService'!H22</f>
        <v>7462951303</v>
      </c>
      <c r="I85" s="468">
        <f>+'7-PlantInService'!I22</f>
        <v>34560958</v>
      </c>
      <c r="J85" s="468">
        <f>+'7-PlantInService'!J22</f>
        <v>1027423378</v>
      </c>
      <c r="K85" s="468">
        <f>+'7-PlantInService'!K22</f>
        <v>2056121519</v>
      </c>
      <c r="L85" s="468">
        <f>+'7-PlantInService'!L22</f>
        <v>2264699551</v>
      </c>
      <c r="M85" s="468">
        <f>+'7-PlantInService'!M22</f>
        <v>518207870</v>
      </c>
      <c r="N85" s="468">
        <f>+'7-PlantInService'!N22</f>
        <v>281563823</v>
      </c>
      <c r="O85" s="468">
        <f>+'7-PlantInService'!O22</f>
        <v>161084948</v>
      </c>
      <c r="P85" s="24">
        <f t="shared" si="1"/>
        <v>14584861097</v>
      </c>
      <c r="Q85" s="127">
        <f t="shared" si="2"/>
        <v>609</v>
      </c>
    </row>
    <row r="86" spans="1:17">
      <c r="A86" s="127">
        <f t="shared" si="3"/>
        <v>610</v>
      </c>
      <c r="B86" s="149" t="s">
        <v>439</v>
      </c>
      <c r="C86" s="155">
        <f>'1-BaseTRR'!$G$2</f>
        <v>2021</v>
      </c>
      <c r="D86" s="468">
        <f>+'7-PlantInService'!D23</f>
        <v>81298190</v>
      </c>
      <c r="E86" s="468">
        <f>+'7-PlantInService'!E23</f>
        <v>217689642</v>
      </c>
      <c r="F86" s="468">
        <f>+'7-PlantInService'!F23</f>
        <v>371380938</v>
      </c>
      <c r="G86" s="468">
        <f>+'7-PlantInService'!G23</f>
        <v>108507540</v>
      </c>
      <c r="H86" s="468">
        <f>+'7-PlantInService'!H23</f>
        <v>7528974216</v>
      </c>
      <c r="I86" s="468">
        <f>+'7-PlantInService'!I23</f>
        <v>34569305</v>
      </c>
      <c r="J86" s="468">
        <f>+'7-PlantInService'!J23</f>
        <v>1029579528</v>
      </c>
      <c r="K86" s="468">
        <f>+'7-PlantInService'!K23</f>
        <v>2076394581</v>
      </c>
      <c r="L86" s="468">
        <f>+'7-PlantInService'!L23</f>
        <v>2295546590</v>
      </c>
      <c r="M86" s="468">
        <f>+'7-PlantInService'!M23</f>
        <v>518612446</v>
      </c>
      <c r="N86" s="468">
        <f>+'7-PlantInService'!N23</f>
        <v>281572447</v>
      </c>
      <c r="O86" s="468">
        <f>+'7-PlantInService'!O23</f>
        <v>162616168</v>
      </c>
      <c r="P86" s="24">
        <f t="shared" si="1"/>
        <v>14706741591</v>
      </c>
      <c r="Q86" s="127">
        <f t="shared" si="2"/>
        <v>610</v>
      </c>
    </row>
    <row r="87" spans="1:17">
      <c r="A87" s="127">
        <f t="shared" si="3"/>
        <v>611</v>
      </c>
      <c r="B87" s="149" t="s">
        <v>428</v>
      </c>
      <c r="C87" s="155">
        <f>'1-BaseTRR'!$G$2</f>
        <v>2021</v>
      </c>
      <c r="D87" s="468">
        <f>+'7-PlantInService'!D24</f>
        <v>82791681</v>
      </c>
      <c r="E87" s="468">
        <f>+'7-PlantInService'!E24</f>
        <v>208997631</v>
      </c>
      <c r="F87" s="468">
        <f>+'7-PlantInService'!F24</f>
        <v>362688526</v>
      </c>
      <c r="G87" s="468">
        <f>+'7-PlantInService'!G24</f>
        <v>108679506</v>
      </c>
      <c r="H87" s="468">
        <f>+'7-PlantInService'!H24</f>
        <v>7529329070</v>
      </c>
      <c r="I87" s="468">
        <f>+'7-PlantInService'!I24</f>
        <v>35991450</v>
      </c>
      <c r="J87" s="468">
        <f>+'7-PlantInService'!J24</f>
        <v>1040283564</v>
      </c>
      <c r="K87" s="468">
        <f>+'7-PlantInService'!K24</f>
        <v>2159592516</v>
      </c>
      <c r="L87" s="468">
        <f>+'7-PlantInService'!L24</f>
        <v>2346203987</v>
      </c>
      <c r="M87" s="468">
        <f>+'7-PlantInService'!M24</f>
        <v>518614161</v>
      </c>
      <c r="N87" s="468">
        <f>+'7-PlantInService'!N24</f>
        <v>281575116</v>
      </c>
      <c r="O87" s="468">
        <f>+'7-PlantInService'!O24</f>
        <v>164958388</v>
      </c>
      <c r="P87" s="468">
        <f t="shared" si="1"/>
        <v>14839705596</v>
      </c>
      <c r="Q87" s="127">
        <f t="shared" si="2"/>
        <v>611</v>
      </c>
    </row>
    <row r="88" spans="1:17" ht="13.5" customHeight="1">
      <c r="A88" s="127"/>
      <c r="B88" s="181"/>
      <c r="C88" s="168"/>
      <c r="D88" s="227"/>
      <c r="E88" s="227"/>
      <c r="F88" s="227"/>
      <c r="G88" s="227"/>
      <c r="H88" s="227"/>
      <c r="I88" s="227"/>
      <c r="J88" s="227"/>
      <c r="K88" s="227"/>
      <c r="L88" s="227"/>
      <c r="M88" s="227"/>
      <c r="N88" s="227"/>
      <c r="O88" s="227"/>
      <c r="P88" s="227"/>
      <c r="Q88" s="127"/>
    </row>
    <row r="89" spans="1:17" ht="13.5" customHeight="1">
      <c r="A89" s="18"/>
      <c r="B89" s="8"/>
      <c r="C89" s="8"/>
      <c r="D89" s="8"/>
      <c r="E89" s="8"/>
      <c r="F89" s="8"/>
      <c r="G89" s="8"/>
      <c r="H89" s="8"/>
      <c r="I89" s="8"/>
      <c r="J89" s="8"/>
      <c r="K89" s="8"/>
      <c r="L89" s="8"/>
    </row>
    <row r="90" spans="1:17" ht="13.5" customHeight="1">
      <c r="B90" s="228" t="s">
        <v>864</v>
      </c>
      <c r="C90" s="140"/>
      <c r="D90" s="140"/>
      <c r="E90" s="140"/>
      <c r="F90" s="140"/>
      <c r="G90" s="140"/>
      <c r="H90" s="140"/>
      <c r="I90" s="140"/>
      <c r="J90" s="140"/>
      <c r="K90" s="140"/>
      <c r="L90" s="140"/>
      <c r="M90" s="47"/>
      <c r="N90" s="47"/>
      <c r="O90" s="47"/>
      <c r="P90" s="47"/>
    </row>
    <row r="91" spans="1:17">
      <c r="B91" s="149" t="s">
        <v>865</v>
      </c>
    </row>
    <row r="92" spans="1:17">
      <c r="B92" s="149" t="s">
        <v>866</v>
      </c>
    </row>
    <row r="93" spans="1:17">
      <c r="B93" s="149"/>
    </row>
    <row r="94" spans="1:17">
      <c r="D94" s="118" t="s">
        <v>371</v>
      </c>
      <c r="E94" s="118" t="s">
        <v>372</v>
      </c>
      <c r="F94" s="118" t="s">
        <v>373</v>
      </c>
      <c r="G94" s="118" t="s">
        <v>374</v>
      </c>
      <c r="H94" s="118" t="s">
        <v>375</v>
      </c>
      <c r="I94" s="118" t="s">
        <v>376</v>
      </c>
      <c r="J94" s="118" t="s">
        <v>377</v>
      </c>
      <c r="K94" s="118" t="s">
        <v>378</v>
      </c>
      <c r="L94" s="118" t="s">
        <v>409</v>
      </c>
      <c r="M94" s="118" t="s">
        <v>525</v>
      </c>
      <c r="N94" s="118" t="s">
        <v>526</v>
      </c>
      <c r="O94" s="118" t="s">
        <v>527</v>
      </c>
    </row>
    <row r="95" spans="1:17" ht="30">
      <c r="D95" s="152" t="s">
        <v>287</v>
      </c>
      <c r="E95" s="152" t="s">
        <v>410</v>
      </c>
      <c r="F95" s="152" t="s">
        <v>867</v>
      </c>
      <c r="G95" s="152" t="s">
        <v>868</v>
      </c>
      <c r="H95" s="152" t="s">
        <v>869</v>
      </c>
      <c r="I95" s="152" t="s">
        <v>870</v>
      </c>
      <c r="J95" s="152" t="s">
        <v>871</v>
      </c>
      <c r="K95" s="152" t="s">
        <v>872</v>
      </c>
      <c r="L95" s="152" t="s">
        <v>873</v>
      </c>
      <c r="M95" s="152" t="s">
        <v>874</v>
      </c>
      <c r="N95" s="152" t="s">
        <v>875</v>
      </c>
      <c r="O95" s="152" t="s">
        <v>876</v>
      </c>
      <c r="P95" s="161"/>
    </row>
    <row r="96" spans="1:17">
      <c r="A96" s="127"/>
    </row>
    <row r="97" spans="1:17">
      <c r="A97" s="115" t="s">
        <v>100</v>
      </c>
      <c r="B97" s="8"/>
      <c r="D97" s="118" t="s">
        <v>690</v>
      </c>
      <c r="E97" s="118" t="s">
        <v>691</v>
      </c>
      <c r="F97" s="118" t="s">
        <v>692</v>
      </c>
      <c r="G97" s="118" t="s">
        <v>693</v>
      </c>
      <c r="H97" s="118" t="s">
        <v>694</v>
      </c>
      <c r="I97" s="118" t="s">
        <v>695</v>
      </c>
      <c r="J97" s="118" t="s">
        <v>696</v>
      </c>
      <c r="K97" s="118" t="s">
        <v>697</v>
      </c>
      <c r="L97" s="118" t="s">
        <v>698</v>
      </c>
      <c r="M97" s="118" t="s">
        <v>699</v>
      </c>
      <c r="N97" s="118" t="s">
        <v>700</v>
      </c>
      <c r="O97" s="118" t="s">
        <v>701</v>
      </c>
      <c r="Q97" s="115" t="str">
        <f>A97</f>
        <v>Line</v>
      </c>
    </row>
    <row r="98" spans="1:17">
      <c r="A98" s="127">
        <v>700</v>
      </c>
      <c r="B98" t="s">
        <v>877</v>
      </c>
      <c r="D98" s="229">
        <v>0</v>
      </c>
      <c r="E98" s="229">
        <f>'12-DepRates'!O21</f>
        <v>1.83E-2</v>
      </c>
      <c r="F98" s="229">
        <f>VLOOKUP(F97,'12-DepRates'!$D:$N,11,FALSE)</f>
        <v>1.6299999999999999E-2</v>
      </c>
      <c r="G98" s="229">
        <f>VLOOKUP(G97,'12-DepRates'!$D:$N,11,FALSE)</f>
        <v>1.7139999999999999E-2</v>
      </c>
      <c r="H98" s="229">
        <f>VLOOKUP(H97,'12-DepRates'!$D:$N,11,FALSE)</f>
        <v>3.1309999999999998E-2</v>
      </c>
      <c r="I98" s="229">
        <f>VLOOKUP(I97,'12-DepRates'!$D:$N,11,FALSE)</f>
        <v>1.661E-2</v>
      </c>
      <c r="J98" s="229">
        <f>VLOOKUP(J97,'12-DepRates'!$D:$N,11,FALSE)</f>
        <v>2.299E-2</v>
      </c>
      <c r="K98" s="229">
        <f>VLOOKUP(K97,'12-DepRates'!$D:$N,11,FALSE)</f>
        <v>3.1559999999999998E-2</v>
      </c>
      <c r="L98" s="229">
        <f>VLOOKUP(L97,'12-DepRates'!$D:$N,11,FALSE)</f>
        <v>2.724E-2</v>
      </c>
      <c r="M98" s="229">
        <f>VLOOKUP(M97,'12-DepRates'!$D:$N,11,FALSE)</f>
        <v>1.529E-2</v>
      </c>
      <c r="N98" s="229">
        <f>VLOOKUP(N97,'12-DepRates'!$D:$N,11,FALSE)</f>
        <v>1.9900000000000001E-2</v>
      </c>
      <c r="O98" s="229">
        <f>VLOOKUP(O97,'12-DepRates'!$D:$N,11,FALSE)</f>
        <v>1.8620000000000001E-2</v>
      </c>
      <c r="Q98" s="127">
        <f>Q87+1</f>
        <v>612</v>
      </c>
    </row>
    <row r="99" spans="1:17">
      <c r="A99" s="18"/>
      <c r="B99" s="18"/>
      <c r="C99" s="8"/>
      <c r="D99" s="8"/>
      <c r="E99" s="8"/>
      <c r="F99" s="8"/>
      <c r="G99" s="8"/>
      <c r="H99" s="8"/>
      <c r="I99" s="8"/>
      <c r="J99" s="8"/>
      <c r="K99" s="8"/>
      <c r="L99" s="8"/>
    </row>
    <row r="100" spans="1:17">
      <c r="A100" s="18"/>
      <c r="B100" s="18"/>
      <c r="C100" s="8"/>
      <c r="D100" s="8"/>
      <c r="E100" s="8"/>
      <c r="F100" s="8"/>
      <c r="G100" s="8"/>
      <c r="H100" s="8"/>
      <c r="I100" s="8"/>
      <c r="J100" s="8"/>
      <c r="K100" s="8"/>
      <c r="L100" s="8"/>
    </row>
    <row r="101" spans="1:17">
      <c r="B101" s="50" t="s">
        <v>878</v>
      </c>
      <c r="C101" s="140"/>
      <c r="D101" s="140"/>
      <c r="E101" s="140"/>
      <c r="F101" s="140"/>
      <c r="G101" s="140"/>
      <c r="H101" s="140"/>
      <c r="I101" s="140"/>
      <c r="J101" s="140"/>
      <c r="K101" s="140"/>
      <c r="L101" s="140"/>
      <c r="M101" s="47"/>
      <c r="N101" s="47"/>
      <c r="O101" s="47"/>
      <c r="P101" s="47"/>
    </row>
    <row r="102" spans="1:17">
      <c r="B102" t="s">
        <v>879</v>
      </c>
    </row>
    <row r="104" spans="1:17">
      <c r="A104" s="4"/>
      <c r="D104" s="118" t="s">
        <v>371</v>
      </c>
      <c r="E104" s="118" t="s">
        <v>372</v>
      </c>
      <c r="F104" s="118" t="s">
        <v>373</v>
      </c>
      <c r="G104" s="118" t="s">
        <v>374</v>
      </c>
      <c r="H104" s="118" t="s">
        <v>375</v>
      </c>
      <c r="I104" s="118" t="s">
        <v>376</v>
      </c>
      <c r="J104" s="118" t="s">
        <v>377</v>
      </c>
      <c r="K104" s="118" t="s">
        <v>378</v>
      </c>
      <c r="L104" s="118" t="s">
        <v>409</v>
      </c>
      <c r="M104" s="118" t="s">
        <v>525</v>
      </c>
      <c r="N104" s="118" t="s">
        <v>526</v>
      </c>
      <c r="O104" s="118" t="s">
        <v>527</v>
      </c>
      <c r="P104" s="3" t="s">
        <v>528</v>
      </c>
    </row>
    <row r="105" spans="1:17" ht="30">
      <c r="B105" s="127"/>
      <c r="C105" s="127"/>
      <c r="D105" s="152" t="s">
        <v>880</v>
      </c>
      <c r="E105" s="152" t="s">
        <v>880</v>
      </c>
      <c r="F105" s="152" t="s">
        <v>880</v>
      </c>
      <c r="G105" s="152" t="s">
        <v>880</v>
      </c>
      <c r="H105" s="152" t="s">
        <v>880</v>
      </c>
      <c r="I105" s="152" t="s">
        <v>880</v>
      </c>
      <c r="J105" s="152" t="s">
        <v>880</v>
      </c>
      <c r="K105" s="152" t="s">
        <v>880</v>
      </c>
      <c r="L105" s="152" t="s">
        <v>880</v>
      </c>
      <c r="M105" s="152" t="s">
        <v>880</v>
      </c>
      <c r="N105" s="152" t="s">
        <v>880</v>
      </c>
      <c r="O105" s="152" t="s">
        <v>880</v>
      </c>
      <c r="P105" s="152" t="s">
        <v>688</v>
      </c>
    </row>
    <row r="106" spans="1:17">
      <c r="B106" s="127"/>
      <c r="C106" s="127"/>
      <c r="D106" s="118"/>
      <c r="E106" s="118"/>
      <c r="P106" s="21"/>
    </row>
    <row r="107" spans="1:17">
      <c r="B107" s="6" t="s">
        <v>689</v>
      </c>
      <c r="C107" s="6"/>
      <c r="D107" s="119">
        <v>350.01</v>
      </c>
      <c r="E107" s="119">
        <v>350.02</v>
      </c>
      <c r="F107" s="119">
        <v>352.01</v>
      </c>
      <c r="G107" s="119">
        <v>352.02</v>
      </c>
      <c r="H107" s="119">
        <v>353.01</v>
      </c>
      <c r="I107" s="119">
        <v>353.02</v>
      </c>
      <c r="J107" s="119">
        <v>354</v>
      </c>
      <c r="K107" s="119">
        <v>355</v>
      </c>
      <c r="L107" s="119">
        <v>356</v>
      </c>
      <c r="M107" s="119">
        <v>357</v>
      </c>
      <c r="N107" s="119">
        <v>358</v>
      </c>
      <c r="O107" s="119">
        <v>359</v>
      </c>
      <c r="P107" s="21"/>
    </row>
    <row r="108" spans="1:17" s="138" customFormat="1">
      <c r="A108" s="115" t="s">
        <v>100</v>
      </c>
      <c r="B108" s="115" t="s">
        <v>384</v>
      </c>
      <c r="C108" s="115" t="s">
        <v>420</v>
      </c>
      <c r="D108" s="118" t="s">
        <v>690</v>
      </c>
      <c r="E108" s="118" t="s">
        <v>691</v>
      </c>
      <c r="F108" s="118" t="s">
        <v>692</v>
      </c>
      <c r="G108" s="118" t="s">
        <v>693</v>
      </c>
      <c r="H108" s="118" t="s">
        <v>694</v>
      </c>
      <c r="I108" s="118" t="s">
        <v>695</v>
      </c>
      <c r="J108" s="118" t="s">
        <v>696</v>
      </c>
      <c r="K108" s="118" t="s">
        <v>697</v>
      </c>
      <c r="L108" s="118" t="s">
        <v>698</v>
      </c>
      <c r="M108" s="118" t="s">
        <v>699</v>
      </c>
      <c r="N108" s="118" t="s">
        <v>700</v>
      </c>
      <c r="O108" s="118" t="s">
        <v>701</v>
      </c>
      <c r="P108" s="115" t="s">
        <v>465</v>
      </c>
      <c r="Q108" s="115" t="str">
        <f>A108</f>
        <v>Line</v>
      </c>
    </row>
    <row r="109" spans="1:17">
      <c r="A109" s="127"/>
      <c r="B109" s="149"/>
      <c r="C109" s="149"/>
      <c r="D109" s="230"/>
      <c r="E109" s="231"/>
      <c r="F109" s="232"/>
      <c r="G109" s="230"/>
      <c r="H109" s="230"/>
      <c r="I109" s="230"/>
      <c r="J109" s="230"/>
      <c r="K109" s="230"/>
      <c r="L109" s="230"/>
      <c r="M109" s="230"/>
      <c r="N109" s="232"/>
      <c r="O109" s="232"/>
      <c r="P109" s="157"/>
    </row>
    <row r="110" spans="1:17">
      <c r="A110" s="127">
        <v>800</v>
      </c>
      <c r="B110" s="149" t="s">
        <v>430</v>
      </c>
      <c r="C110" s="155">
        <f>'1-BaseTRR'!$G$2</f>
        <v>2021</v>
      </c>
      <c r="D110" s="484">
        <f t="shared" ref="D110:O121" si="4">+D$98*D76/12</f>
        <v>0</v>
      </c>
      <c r="E110" s="485">
        <f t="shared" si="4"/>
        <v>314289.88520000002</v>
      </c>
      <c r="F110" s="484">
        <f t="shared" si="4"/>
        <v>497047.04648333328</v>
      </c>
      <c r="G110" s="484">
        <f t="shared" si="4"/>
        <v>155971.09334166665</v>
      </c>
      <c r="H110" s="484">
        <f t="shared" si="4"/>
        <v>18804070.013356667</v>
      </c>
      <c r="I110" s="484">
        <f t="shared" si="4"/>
        <v>49788.36565083333</v>
      </c>
      <c r="J110" s="484">
        <f t="shared" si="4"/>
        <v>1816835.1019316667</v>
      </c>
      <c r="K110" s="484">
        <f t="shared" si="4"/>
        <v>4969766.1580099994</v>
      </c>
      <c r="L110" s="484">
        <f t="shared" si="4"/>
        <v>4742492.7871699994</v>
      </c>
      <c r="M110" s="484">
        <f t="shared" si="4"/>
        <v>652094.02835499996</v>
      </c>
      <c r="N110" s="484">
        <f t="shared" si="4"/>
        <v>466435.52787499997</v>
      </c>
      <c r="O110" s="484">
        <f t="shared" si="4"/>
        <v>217315.33426166666</v>
      </c>
      <c r="P110" s="24">
        <f t="shared" ref="P110:P121" si="5">SUM(D110:O110)</f>
        <v>32686105.341635827</v>
      </c>
      <c r="Q110" s="127">
        <f t="shared" ref="Q110:Q122" si="6">A110</f>
        <v>800</v>
      </c>
    </row>
    <row r="111" spans="1:17">
      <c r="A111" s="127">
        <f t="shared" ref="A111:A122" si="7">A110+1</f>
        <v>801</v>
      </c>
      <c r="B111" s="149" t="s">
        <v>431</v>
      </c>
      <c r="C111" s="155">
        <f>'1-BaseTRR'!$G$2</f>
        <v>2021</v>
      </c>
      <c r="D111" s="484">
        <f t="shared" si="4"/>
        <v>0</v>
      </c>
      <c r="E111" s="484">
        <f t="shared" si="4"/>
        <v>314281.16067499999</v>
      </c>
      <c r="F111" s="484">
        <f t="shared" si="4"/>
        <v>496430.38216666662</v>
      </c>
      <c r="G111" s="484">
        <f t="shared" si="4"/>
        <v>155993.17823166665</v>
      </c>
      <c r="H111" s="484">
        <f t="shared" si="4"/>
        <v>18909616.16686083</v>
      </c>
      <c r="I111" s="484">
        <f t="shared" si="4"/>
        <v>49788.362882499998</v>
      </c>
      <c r="J111" s="484">
        <f t="shared" si="4"/>
        <v>1831029.9440766666</v>
      </c>
      <c r="K111" s="484">
        <f t="shared" si="4"/>
        <v>5000674.0048000002</v>
      </c>
      <c r="L111" s="484">
        <f t="shared" si="4"/>
        <v>4786300.3186100004</v>
      </c>
      <c r="M111" s="484">
        <f t="shared" si="4"/>
        <v>652096.57541416667</v>
      </c>
      <c r="N111" s="484">
        <f t="shared" si="4"/>
        <v>466849.75466666667</v>
      </c>
      <c r="O111" s="484">
        <f t="shared" si="4"/>
        <v>218562.60116833335</v>
      </c>
      <c r="P111" s="24">
        <f t="shared" si="5"/>
        <v>32881622.449552499</v>
      </c>
      <c r="Q111" s="127">
        <f t="shared" si="6"/>
        <v>801</v>
      </c>
    </row>
    <row r="112" spans="1:17">
      <c r="A112" s="127">
        <f t="shared" si="7"/>
        <v>802</v>
      </c>
      <c r="B112" s="149" t="s">
        <v>432</v>
      </c>
      <c r="C112" s="155">
        <f>'1-BaseTRR'!$G$2</f>
        <v>2021</v>
      </c>
      <c r="D112" s="484">
        <f t="shared" si="4"/>
        <v>0</v>
      </c>
      <c r="E112" s="484">
        <f t="shared" si="4"/>
        <v>314402.18772500003</v>
      </c>
      <c r="F112" s="484">
        <f t="shared" si="4"/>
        <v>494678.96074999991</v>
      </c>
      <c r="G112" s="484">
        <f t="shared" si="4"/>
        <v>156015.88158999998</v>
      </c>
      <c r="H112" s="484">
        <f t="shared" si="4"/>
        <v>19053775.257843334</v>
      </c>
      <c r="I112" s="484">
        <f t="shared" si="4"/>
        <v>49788.369803333335</v>
      </c>
      <c r="J112" s="484">
        <f t="shared" si="4"/>
        <v>1839505.9911525</v>
      </c>
      <c r="K112" s="484">
        <f t="shared" si="4"/>
        <v>5056104.8184499992</v>
      </c>
      <c r="L112" s="484">
        <f t="shared" si="4"/>
        <v>4849904.04789</v>
      </c>
      <c r="M112" s="484">
        <f t="shared" si="4"/>
        <v>652205.06943166663</v>
      </c>
      <c r="N112" s="484">
        <f t="shared" si="4"/>
        <v>466872.8137916667</v>
      </c>
      <c r="O112" s="484">
        <f t="shared" si="4"/>
        <v>243143.32556500004</v>
      </c>
      <c r="P112" s="24">
        <f t="shared" si="5"/>
        <v>33176396.723992497</v>
      </c>
      <c r="Q112" s="127">
        <f t="shared" si="6"/>
        <v>802</v>
      </c>
    </row>
    <row r="113" spans="1:17">
      <c r="A113" s="127">
        <f t="shared" si="7"/>
        <v>803</v>
      </c>
      <c r="B113" s="149" t="s">
        <v>433</v>
      </c>
      <c r="C113" s="155">
        <f>'1-BaseTRR'!$G$2</f>
        <v>2021</v>
      </c>
      <c r="D113" s="484">
        <f t="shared" si="4"/>
        <v>0</v>
      </c>
      <c r="E113" s="484">
        <f t="shared" si="4"/>
        <v>329496.23969999998</v>
      </c>
      <c r="F113" s="484">
        <f t="shared" si="4"/>
        <v>495907.992975</v>
      </c>
      <c r="G113" s="484">
        <f t="shared" si="4"/>
        <v>156101.20308166667</v>
      </c>
      <c r="H113" s="484">
        <f t="shared" si="4"/>
        <v>19110761.615624163</v>
      </c>
      <c r="I113" s="484">
        <f t="shared" si="4"/>
        <v>49788.3877975</v>
      </c>
      <c r="J113" s="484">
        <f t="shared" si="4"/>
        <v>1838433.5038208335</v>
      </c>
      <c r="K113" s="484">
        <f t="shared" si="4"/>
        <v>5106963.1351399999</v>
      </c>
      <c r="L113" s="484">
        <f t="shared" si="4"/>
        <v>4885428.7942500003</v>
      </c>
      <c r="M113" s="484">
        <f t="shared" si="4"/>
        <v>652713.18416333327</v>
      </c>
      <c r="N113" s="484">
        <f t="shared" si="4"/>
        <v>466882.98600833333</v>
      </c>
      <c r="O113" s="484">
        <f t="shared" si="4"/>
        <v>243731.04569333335</v>
      </c>
      <c r="P113" s="24">
        <f t="shared" si="5"/>
        <v>33336208.088254165</v>
      </c>
      <c r="Q113" s="127">
        <f t="shared" si="6"/>
        <v>803</v>
      </c>
    </row>
    <row r="114" spans="1:17" s="138" customFormat="1">
      <c r="A114" s="127">
        <f t="shared" si="7"/>
        <v>804</v>
      </c>
      <c r="B114" s="149" t="s">
        <v>395</v>
      </c>
      <c r="C114" s="155">
        <f>'1-BaseTRR'!$G$2</f>
        <v>2021</v>
      </c>
      <c r="D114" s="484">
        <f t="shared" si="4"/>
        <v>0</v>
      </c>
      <c r="E114" s="484">
        <f t="shared" si="4"/>
        <v>329885.46392499999</v>
      </c>
      <c r="F114" s="484">
        <f t="shared" si="4"/>
        <v>496663.57675833331</v>
      </c>
      <c r="G114" s="484">
        <f t="shared" si="4"/>
        <v>156387.77531166666</v>
      </c>
      <c r="H114" s="484">
        <f t="shared" si="4"/>
        <v>19228618.848082498</v>
      </c>
      <c r="I114" s="484">
        <f t="shared" si="4"/>
        <v>49788.373955833325</v>
      </c>
      <c r="J114" s="484">
        <f t="shared" si="4"/>
        <v>1954318.9554258334</v>
      </c>
      <c r="K114" s="484">
        <f t="shared" si="4"/>
        <v>5150122.1215699995</v>
      </c>
      <c r="L114" s="484">
        <f t="shared" si="4"/>
        <v>4931917.0685700001</v>
      </c>
      <c r="M114" s="484">
        <f t="shared" si="4"/>
        <v>652296.97379916662</v>
      </c>
      <c r="N114" s="484">
        <f t="shared" si="4"/>
        <v>466826.31246666674</v>
      </c>
      <c r="O114" s="484">
        <f t="shared" si="4"/>
        <v>256876.40881000002</v>
      </c>
      <c r="P114" s="24">
        <f t="shared" si="5"/>
        <v>33673701.878674991</v>
      </c>
      <c r="Q114" s="127">
        <f t="shared" si="6"/>
        <v>804</v>
      </c>
    </row>
    <row r="115" spans="1:17">
      <c r="A115" s="127">
        <f t="shared" si="7"/>
        <v>805</v>
      </c>
      <c r="B115" s="149" t="s">
        <v>531</v>
      </c>
      <c r="C115" s="155">
        <f>'1-BaseTRR'!$G$2</f>
        <v>2021</v>
      </c>
      <c r="D115" s="484">
        <f t="shared" si="4"/>
        <v>0</v>
      </c>
      <c r="E115" s="484">
        <f t="shared" si="4"/>
        <v>329905.18674999999</v>
      </c>
      <c r="F115" s="484">
        <f t="shared" si="4"/>
        <v>497991.27967499994</v>
      </c>
      <c r="G115" s="484">
        <f t="shared" si="4"/>
        <v>159144.79430333333</v>
      </c>
      <c r="H115" s="484">
        <f t="shared" si="4"/>
        <v>19316560.565320831</v>
      </c>
      <c r="I115" s="484">
        <f t="shared" si="4"/>
        <v>49788.373955833325</v>
      </c>
      <c r="J115" s="484">
        <f t="shared" si="4"/>
        <v>1979289.0323983335</v>
      </c>
      <c r="K115" s="484">
        <f t="shared" si="4"/>
        <v>5212465.3984099999</v>
      </c>
      <c r="L115" s="484">
        <f t="shared" si="4"/>
        <v>4996529.5563400006</v>
      </c>
      <c r="M115" s="484">
        <f t="shared" si="4"/>
        <v>660197.514295</v>
      </c>
      <c r="N115" s="484">
        <f t="shared" si="4"/>
        <v>466842.23080833332</v>
      </c>
      <c r="O115" s="484">
        <f t="shared" si="4"/>
        <v>245050.52251166667</v>
      </c>
      <c r="P115" s="24">
        <f t="shared" si="5"/>
        <v>33913764.454768337</v>
      </c>
      <c r="Q115" s="127">
        <f t="shared" si="6"/>
        <v>805</v>
      </c>
    </row>
    <row r="116" spans="1:17">
      <c r="A116" s="127">
        <f t="shared" si="7"/>
        <v>806</v>
      </c>
      <c r="B116" s="149" t="s">
        <v>435</v>
      </c>
      <c r="C116" s="155">
        <f>'1-BaseTRR'!$G$2</f>
        <v>2021</v>
      </c>
      <c r="D116" s="484">
        <f t="shared" si="4"/>
        <v>0</v>
      </c>
      <c r="E116" s="484">
        <f t="shared" si="4"/>
        <v>330213.14067499997</v>
      </c>
      <c r="F116" s="484">
        <f t="shared" si="4"/>
        <v>499833.62384999992</v>
      </c>
      <c r="G116" s="484">
        <f t="shared" si="4"/>
        <v>158848.19803</v>
      </c>
      <c r="H116" s="484">
        <f t="shared" si="4"/>
        <v>19336767.540969998</v>
      </c>
      <c r="I116" s="484">
        <f t="shared" si="4"/>
        <v>49798.749669166667</v>
      </c>
      <c r="J116" s="484">
        <f t="shared" si="4"/>
        <v>1969643.5146758333</v>
      </c>
      <c r="K116" s="484">
        <f t="shared" si="4"/>
        <v>5241262.9910599999</v>
      </c>
      <c r="L116" s="484">
        <f t="shared" si="4"/>
        <v>5011340.9136300003</v>
      </c>
      <c r="M116" s="484">
        <f t="shared" si="4"/>
        <v>660219.06809833331</v>
      </c>
      <c r="N116" s="484">
        <f t="shared" si="4"/>
        <v>466895.53959166672</v>
      </c>
      <c r="O116" s="484">
        <f t="shared" si="4"/>
        <v>245580.49426166667</v>
      </c>
      <c r="P116" s="24">
        <f t="shared" si="5"/>
        <v>33970403.774511665</v>
      </c>
      <c r="Q116" s="127">
        <f t="shared" si="6"/>
        <v>806</v>
      </c>
    </row>
    <row r="117" spans="1:17">
      <c r="A117" s="127">
        <f t="shared" si="7"/>
        <v>807</v>
      </c>
      <c r="B117" s="149" t="s">
        <v>436</v>
      </c>
      <c r="C117" s="155">
        <f>'1-BaseTRR'!$G$2</f>
        <v>2021</v>
      </c>
      <c r="D117" s="484">
        <f t="shared" si="4"/>
        <v>0</v>
      </c>
      <c r="E117" s="484">
        <f t="shared" si="4"/>
        <v>330701.25200000004</v>
      </c>
      <c r="F117" s="484">
        <f t="shared" si="4"/>
        <v>504351.03029999998</v>
      </c>
      <c r="G117" s="484">
        <f t="shared" si="4"/>
        <v>158942.00524999999</v>
      </c>
      <c r="H117" s="484">
        <f t="shared" si="4"/>
        <v>19358827.011906665</v>
      </c>
      <c r="I117" s="484">
        <f t="shared" si="4"/>
        <v>49820.153038333337</v>
      </c>
      <c r="J117" s="484">
        <f t="shared" si="4"/>
        <v>1965441.8756866667</v>
      </c>
      <c r="K117" s="484">
        <f t="shared" si="4"/>
        <v>5267746.0206499994</v>
      </c>
      <c r="L117" s="484">
        <f t="shared" si="4"/>
        <v>5041903.4695000006</v>
      </c>
      <c r="M117" s="484">
        <f t="shared" si="4"/>
        <v>661590.85886666668</v>
      </c>
      <c r="N117" s="484">
        <f t="shared" si="4"/>
        <v>468536.34765833337</v>
      </c>
      <c r="O117" s="484">
        <f t="shared" si="4"/>
        <v>246895.48055666671</v>
      </c>
      <c r="P117" s="24">
        <f t="shared" si="5"/>
        <v>34054755.505413331</v>
      </c>
      <c r="Q117" s="127">
        <f t="shared" si="6"/>
        <v>807</v>
      </c>
    </row>
    <row r="118" spans="1:17">
      <c r="A118" s="127">
        <f t="shared" si="7"/>
        <v>808</v>
      </c>
      <c r="B118" s="149" t="s">
        <v>437</v>
      </c>
      <c r="C118" s="155">
        <f>'1-BaseTRR'!$G$2</f>
        <v>2021</v>
      </c>
      <c r="D118" s="484">
        <f t="shared" si="4"/>
        <v>0</v>
      </c>
      <c r="E118" s="484">
        <f t="shared" si="4"/>
        <v>330775.83059999999</v>
      </c>
      <c r="F118" s="484">
        <f t="shared" si="4"/>
        <v>504407.37668333325</v>
      </c>
      <c r="G118" s="484">
        <f t="shared" si="4"/>
        <v>153763.66130833331</v>
      </c>
      <c r="H118" s="484">
        <f t="shared" si="4"/>
        <v>19441299.365277499</v>
      </c>
      <c r="I118" s="484">
        <f t="shared" si="4"/>
        <v>47796.607952499995</v>
      </c>
      <c r="J118" s="484">
        <f t="shared" si="4"/>
        <v>1966980.776475</v>
      </c>
      <c r="K118" s="484">
        <f t="shared" si="4"/>
        <v>5345236.5273799999</v>
      </c>
      <c r="L118" s="484">
        <f t="shared" si="4"/>
        <v>5072355.7465000004</v>
      </c>
      <c r="M118" s="484">
        <f t="shared" si="4"/>
        <v>660257.14019833331</v>
      </c>
      <c r="N118" s="484">
        <f t="shared" si="4"/>
        <v>466919.30516666669</v>
      </c>
      <c r="O118" s="484">
        <f t="shared" si="4"/>
        <v>248803.81177166666</v>
      </c>
      <c r="P118" s="24">
        <f t="shared" si="5"/>
        <v>34238596.149313338</v>
      </c>
      <c r="Q118" s="127">
        <f t="shared" si="6"/>
        <v>808</v>
      </c>
    </row>
    <row r="119" spans="1:17">
      <c r="A119" s="127">
        <f t="shared" si="7"/>
        <v>809</v>
      </c>
      <c r="B119" s="149" t="s">
        <v>438</v>
      </c>
      <c r="C119" s="155">
        <f>'1-BaseTRR'!$G$2</f>
        <v>2021</v>
      </c>
      <c r="D119" s="484">
        <f t="shared" si="4"/>
        <v>0</v>
      </c>
      <c r="E119" s="484">
        <f t="shared" si="4"/>
        <v>331135.100775</v>
      </c>
      <c r="F119" s="484">
        <f t="shared" si="4"/>
        <v>504428.28279166663</v>
      </c>
      <c r="G119" s="484">
        <f t="shared" si="4"/>
        <v>154668.24766166665</v>
      </c>
      <c r="H119" s="484">
        <f t="shared" si="4"/>
        <v>19472083.774744164</v>
      </c>
      <c r="I119" s="484">
        <f t="shared" si="4"/>
        <v>47838.126031666667</v>
      </c>
      <c r="J119" s="484">
        <f t="shared" si="4"/>
        <v>1968371.9550183334</v>
      </c>
      <c r="K119" s="484">
        <f t="shared" si="4"/>
        <v>5407599.59497</v>
      </c>
      <c r="L119" s="484">
        <f t="shared" si="4"/>
        <v>5140867.9807700003</v>
      </c>
      <c r="M119" s="484">
        <f t="shared" si="4"/>
        <v>660283.19435833336</v>
      </c>
      <c r="N119" s="484">
        <f t="shared" si="4"/>
        <v>466926.67314166669</v>
      </c>
      <c r="O119" s="484">
        <f t="shared" si="4"/>
        <v>249950.14431333335</v>
      </c>
      <c r="P119" s="24">
        <f t="shared" si="5"/>
        <v>34404153.074575827</v>
      </c>
      <c r="Q119" s="127">
        <f t="shared" si="6"/>
        <v>809</v>
      </c>
    </row>
    <row r="120" spans="1:17">
      <c r="A120" s="127">
        <f t="shared" si="7"/>
        <v>810</v>
      </c>
      <c r="B120" s="149" t="s">
        <v>439</v>
      </c>
      <c r="C120" s="155">
        <f>'1-BaseTRR'!$G$2</f>
        <v>2021</v>
      </c>
      <c r="D120" s="484">
        <f t="shared" si="4"/>
        <v>0</v>
      </c>
      <c r="E120" s="484">
        <f t="shared" si="4"/>
        <v>331976.70405</v>
      </c>
      <c r="F120" s="484">
        <f t="shared" si="4"/>
        <v>504459.10744999995</v>
      </c>
      <c r="G120" s="484">
        <f t="shared" si="4"/>
        <v>154984.93629999997</v>
      </c>
      <c r="H120" s="484">
        <f t="shared" si="4"/>
        <v>19644348.55858</v>
      </c>
      <c r="I120" s="484">
        <f t="shared" si="4"/>
        <v>47849.679670833335</v>
      </c>
      <c r="J120" s="484">
        <f t="shared" si="4"/>
        <v>1972502.7790599999</v>
      </c>
      <c r="K120" s="484">
        <f t="shared" si="4"/>
        <v>5460917.7480299994</v>
      </c>
      <c r="L120" s="484">
        <f t="shared" si="4"/>
        <v>5210890.7593</v>
      </c>
      <c r="M120" s="484">
        <f t="shared" si="4"/>
        <v>660798.69161166658</v>
      </c>
      <c r="N120" s="484">
        <f t="shared" si="4"/>
        <v>466940.97460833337</v>
      </c>
      <c r="O120" s="484">
        <f t="shared" si="4"/>
        <v>252326.0873466667</v>
      </c>
      <c r="P120" s="24">
        <f t="shared" si="5"/>
        <v>34707996.026007496</v>
      </c>
      <c r="Q120" s="127">
        <f t="shared" si="6"/>
        <v>810</v>
      </c>
    </row>
    <row r="121" spans="1:17">
      <c r="A121" s="127">
        <f t="shared" si="7"/>
        <v>811</v>
      </c>
      <c r="B121" s="158" t="s">
        <v>428</v>
      </c>
      <c r="C121" s="159">
        <f>'1-BaseTRR'!$G$2</f>
        <v>2021</v>
      </c>
      <c r="D121" s="472">
        <f t="shared" si="4"/>
        <v>0</v>
      </c>
      <c r="E121" s="472">
        <f t="shared" si="4"/>
        <v>318721.38727499999</v>
      </c>
      <c r="F121" s="472">
        <f t="shared" si="4"/>
        <v>492651.9144833333</v>
      </c>
      <c r="G121" s="472">
        <f t="shared" si="4"/>
        <v>155230.56107</v>
      </c>
      <c r="H121" s="472">
        <f t="shared" si="4"/>
        <v>19645274.431808334</v>
      </c>
      <c r="I121" s="472">
        <f t="shared" si="4"/>
        <v>49818.165375000004</v>
      </c>
      <c r="J121" s="472">
        <f t="shared" si="4"/>
        <v>1993009.9280300001</v>
      </c>
      <c r="K121" s="472">
        <f t="shared" si="4"/>
        <v>5679728.3170799995</v>
      </c>
      <c r="L121" s="472">
        <f t="shared" si="4"/>
        <v>5325883.0504900003</v>
      </c>
      <c r="M121" s="472">
        <f t="shared" si="4"/>
        <v>660800.87680750003</v>
      </c>
      <c r="N121" s="472">
        <f t="shared" si="4"/>
        <v>466945.40070000006</v>
      </c>
      <c r="O121" s="472">
        <f t="shared" si="4"/>
        <v>255960.43204666665</v>
      </c>
      <c r="P121" s="472">
        <f t="shared" si="5"/>
        <v>35044024.465165839</v>
      </c>
      <c r="Q121" s="127">
        <f t="shared" si="6"/>
        <v>811</v>
      </c>
    </row>
    <row r="122" spans="1:17">
      <c r="A122" s="127">
        <f t="shared" si="7"/>
        <v>812</v>
      </c>
      <c r="B122" s="168" t="s">
        <v>465</v>
      </c>
      <c r="C122" s="168"/>
      <c r="D122" s="490">
        <f>SUM(D110:D121)</f>
        <v>0</v>
      </c>
      <c r="E122" s="490">
        <f t="shared" ref="E122:P122" si="8">SUM(E110:E121)</f>
        <v>3905783.5393500002</v>
      </c>
      <c r="F122" s="490">
        <f t="shared" si="8"/>
        <v>5988850.5743666654</v>
      </c>
      <c r="G122" s="490">
        <f t="shared" si="8"/>
        <v>1876051.5354799998</v>
      </c>
      <c r="H122" s="490">
        <f t="shared" si="8"/>
        <v>231322003.15037498</v>
      </c>
      <c r="I122" s="490">
        <f t="shared" si="8"/>
        <v>591651.71578333329</v>
      </c>
      <c r="J122" s="490">
        <f t="shared" si="8"/>
        <v>23095363.357751667</v>
      </c>
      <c r="K122" s="490">
        <f t="shared" si="8"/>
        <v>62898586.835549988</v>
      </c>
      <c r="L122" s="490">
        <f t="shared" si="8"/>
        <v>59995814.493019998</v>
      </c>
      <c r="M122" s="490">
        <f t="shared" si="8"/>
        <v>7885553.1753991656</v>
      </c>
      <c r="N122" s="490">
        <f t="shared" si="8"/>
        <v>5603873.8664833345</v>
      </c>
      <c r="O122" s="490">
        <f t="shared" si="8"/>
        <v>2924195.6883066669</v>
      </c>
      <c r="P122" s="490">
        <f t="shared" si="8"/>
        <v>406087727.93186581</v>
      </c>
      <c r="Q122" s="127">
        <f t="shared" si="6"/>
        <v>812</v>
      </c>
    </row>
    <row r="123" spans="1:17">
      <c r="A123" s="18"/>
      <c r="B123" s="8"/>
      <c r="C123" s="8"/>
      <c r="D123" s="8"/>
      <c r="E123" s="8"/>
      <c r="F123" s="8"/>
      <c r="G123" s="8"/>
      <c r="H123" s="8"/>
      <c r="I123" s="8"/>
      <c r="J123" s="8"/>
      <c r="K123" s="8"/>
      <c r="L123" s="8"/>
    </row>
    <row r="124" spans="1:17">
      <c r="A124" s="18"/>
      <c r="B124" s="8"/>
      <c r="C124" s="8"/>
      <c r="D124" s="8"/>
      <c r="E124" s="8"/>
      <c r="F124" s="8"/>
      <c r="G124" s="8"/>
      <c r="H124" s="8"/>
      <c r="I124" s="8"/>
      <c r="J124" s="8"/>
      <c r="K124" s="8"/>
      <c r="L124" s="8"/>
    </row>
    <row r="125" spans="1:17">
      <c r="B125" s="114" t="s">
        <v>881</v>
      </c>
      <c r="C125" s="140"/>
      <c r="D125" s="140"/>
      <c r="E125" s="140"/>
      <c r="F125" s="140"/>
      <c r="G125" s="140"/>
      <c r="H125" s="140"/>
      <c r="I125" s="140"/>
      <c r="J125" s="140"/>
      <c r="K125" s="140"/>
      <c r="L125" s="140"/>
      <c r="M125" s="47"/>
      <c r="N125" s="47"/>
      <c r="O125" s="47"/>
      <c r="P125" s="47"/>
    </row>
    <row r="126" spans="1:17">
      <c r="B126" t="s">
        <v>882</v>
      </c>
    </row>
    <row r="128" spans="1:17">
      <c r="A128" s="115" t="s">
        <v>100</v>
      </c>
      <c r="B128" s="8"/>
      <c r="C128" s="8"/>
      <c r="D128" s="8"/>
      <c r="E128" s="8"/>
      <c r="F128" s="8"/>
      <c r="G128" s="8"/>
      <c r="H128" s="8"/>
      <c r="I128" s="8"/>
      <c r="J128" s="8"/>
      <c r="K128" s="8"/>
      <c r="L128" s="8"/>
      <c r="Q128" s="115" t="str">
        <f>A128</f>
        <v>Line</v>
      </c>
    </row>
    <row r="129" spans="1:17">
      <c r="A129" s="127">
        <v>900</v>
      </c>
      <c r="B129" s="143" t="s">
        <v>883</v>
      </c>
      <c r="C129" s="8"/>
      <c r="D129" s="8"/>
      <c r="F129" s="425">
        <f>+P122</f>
        <v>406087727.93186581</v>
      </c>
      <c r="G129" s="8" t="s">
        <v>884</v>
      </c>
      <c r="H129" s="8"/>
      <c r="I129" s="8"/>
      <c r="J129" s="8"/>
      <c r="K129" s="8"/>
      <c r="L129" s="8"/>
      <c r="Q129" s="127">
        <f t="shared" ref="Q129:Q131" si="9">A129</f>
        <v>900</v>
      </c>
    </row>
    <row r="130" spans="1:17">
      <c r="A130" s="127">
        <f>+A129+1</f>
        <v>901</v>
      </c>
      <c r="B130" s="233" t="s">
        <v>885</v>
      </c>
      <c r="C130" s="221"/>
      <c r="D130" s="221"/>
      <c r="E130" s="234"/>
      <c r="F130" s="486">
        <f>+O15</f>
        <v>403605164.43506497</v>
      </c>
      <c r="G130" s="8" t="s">
        <v>886</v>
      </c>
      <c r="H130" s="8"/>
      <c r="I130" s="8"/>
      <c r="J130" s="8"/>
      <c r="K130" s="8"/>
      <c r="L130" s="8"/>
      <c r="Q130" s="127">
        <f t="shared" si="9"/>
        <v>901</v>
      </c>
    </row>
    <row r="131" spans="1:17">
      <c r="A131" s="127">
        <f>+A130+1</f>
        <v>902</v>
      </c>
      <c r="B131" s="2" t="s">
        <v>887</v>
      </c>
      <c r="E131" s="8"/>
      <c r="F131" s="352">
        <f>+F129-F130</f>
        <v>2482563.4968008399</v>
      </c>
      <c r="G131" s="8" t="s">
        <v>888</v>
      </c>
      <c r="H131" s="2"/>
      <c r="I131" s="2"/>
      <c r="J131" s="2"/>
      <c r="K131" s="2"/>
      <c r="L131" s="138"/>
      <c r="M131" s="4"/>
      <c r="N131" s="138"/>
      <c r="O131" s="138"/>
      <c r="P131" s="138"/>
      <c r="Q131" s="127">
        <f t="shared" si="9"/>
        <v>902</v>
      </c>
    </row>
    <row r="132" spans="1:17">
      <c r="B132" s="127"/>
      <c r="C132" s="118"/>
      <c r="D132" s="118"/>
    </row>
    <row r="133" spans="1:17">
      <c r="B133" s="127"/>
      <c r="C133" s="118"/>
      <c r="D133" s="118"/>
    </row>
    <row r="134" spans="1:17">
      <c r="B134" s="7" t="s">
        <v>306</v>
      </c>
      <c r="C134" s="118"/>
      <c r="D134" s="118"/>
    </row>
    <row r="135" spans="1:17">
      <c r="B135" s="819" t="s">
        <v>889</v>
      </c>
      <c r="C135" s="819"/>
      <c r="D135" s="819"/>
      <c r="E135" s="819"/>
      <c r="F135" s="819"/>
      <c r="G135" s="819"/>
      <c r="H135" s="819"/>
      <c r="I135" s="819"/>
      <c r="J135" s="819"/>
      <c r="K135" s="819"/>
      <c r="L135" s="819"/>
      <c r="M135" s="819"/>
      <c r="N135" s="819"/>
      <c r="O135" s="819"/>
      <c r="P135" s="819"/>
    </row>
    <row r="136" spans="1:17">
      <c r="B136" s="819" t="s">
        <v>890</v>
      </c>
      <c r="C136" s="819"/>
      <c r="D136" s="819"/>
      <c r="E136" s="819"/>
      <c r="F136" s="819"/>
      <c r="G136" s="819"/>
      <c r="H136" s="819"/>
      <c r="I136" s="819"/>
      <c r="J136" s="819"/>
      <c r="K136" s="819"/>
      <c r="L136" s="819"/>
      <c r="M136" s="819"/>
      <c r="N136" s="819"/>
      <c r="O136" s="819"/>
      <c r="P136" s="819"/>
    </row>
    <row r="137" spans="1:17">
      <c r="B137" s="819" t="s">
        <v>891</v>
      </c>
      <c r="C137" s="819"/>
      <c r="D137" s="819"/>
      <c r="E137" s="819"/>
      <c r="F137" s="819"/>
      <c r="G137" s="819"/>
      <c r="H137" s="819"/>
      <c r="I137" s="819"/>
      <c r="J137" s="819"/>
      <c r="K137" s="819"/>
      <c r="L137" s="819"/>
      <c r="M137" s="819"/>
      <c r="N137" s="819"/>
      <c r="O137" s="819"/>
      <c r="P137" s="819"/>
    </row>
    <row r="138" spans="1:17">
      <c r="B138" s="819" t="s">
        <v>892</v>
      </c>
      <c r="C138" s="819"/>
      <c r="D138" s="819"/>
      <c r="E138" s="819"/>
      <c r="F138" s="819"/>
      <c r="G138" s="819"/>
      <c r="H138" s="819"/>
      <c r="I138" s="819"/>
      <c r="J138" s="819"/>
      <c r="K138" s="819"/>
      <c r="L138" s="819"/>
      <c r="M138" s="819"/>
      <c r="N138" s="819"/>
      <c r="O138" s="819"/>
      <c r="P138" s="819"/>
    </row>
    <row r="139" spans="1:17">
      <c r="B139" s="819" t="s">
        <v>893</v>
      </c>
      <c r="C139" s="819"/>
      <c r="D139" s="819"/>
      <c r="E139" s="819"/>
      <c r="F139" s="819"/>
      <c r="G139" s="819"/>
      <c r="H139" s="819"/>
      <c r="I139" s="819"/>
      <c r="J139" s="819"/>
      <c r="K139" s="819"/>
      <c r="L139" s="819"/>
      <c r="M139" s="819"/>
      <c r="N139" s="819"/>
      <c r="O139" s="819"/>
      <c r="P139" s="819"/>
    </row>
    <row r="140" spans="1:17">
      <c r="B140" s="819" t="s">
        <v>684</v>
      </c>
      <c r="C140" s="819"/>
      <c r="D140" s="819"/>
      <c r="E140" s="819"/>
      <c r="F140" s="819"/>
      <c r="G140" s="819"/>
      <c r="H140" s="819"/>
      <c r="I140" s="819"/>
      <c r="J140" s="819"/>
      <c r="K140" s="819"/>
      <c r="L140" s="819"/>
      <c r="M140" s="819"/>
      <c r="N140" s="819"/>
      <c r="O140" s="819"/>
      <c r="P140" s="819"/>
    </row>
  </sheetData>
  <mergeCells count="7">
    <mergeCell ref="B139:P139"/>
    <mergeCell ref="B140:P140"/>
    <mergeCell ref="B64:P64"/>
    <mergeCell ref="B135:P135"/>
    <mergeCell ref="B136:P136"/>
    <mergeCell ref="B137:P137"/>
    <mergeCell ref="B138:P138"/>
  </mergeCells>
  <printOptions horizontalCentered="1"/>
  <pageMargins left="1" right="1" top="1" bottom="1" header="0.5" footer="0.5"/>
  <pageSetup scale="41" fitToHeight="0" orientation="landscape" r:id="rId1"/>
  <headerFooter>
    <oddHeader>&amp;C&amp;"-,Bold"&amp;12Pacific Gas and Electric Company
Formula Rate Model
Schedule 11-Depreciation</oddHeader>
  </headerFooter>
  <rowBreaks count="1" manualBreakCount="1">
    <brk id="66" max="16383" man="1"/>
  </rowBreaks>
  <customProperties>
    <customPr name="_pios_id" r:id="rId2"/>
    <customPr name="EpmWorksheetKeyString_GUID"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82"/>
  <sheetViews>
    <sheetView view="pageBreakPreview" zoomScale="90" zoomScaleNormal="70" zoomScaleSheetLayoutView="90" zoomScalePageLayoutView="55" workbookViewId="0">
      <selection activeCell="D58" sqref="D58"/>
    </sheetView>
  </sheetViews>
  <sheetFormatPr defaultColWidth="8.85546875" defaultRowHeight="15"/>
  <cols>
    <col min="1" max="1" width="6.7109375" style="4" bestFit="1" customWidth="1"/>
    <col min="3" max="3" width="13" style="35" customWidth="1"/>
    <col min="4" max="4" width="13" customWidth="1"/>
    <col min="5" max="5" width="66.140625" bestFit="1" customWidth="1"/>
    <col min="6" max="6" width="18.28515625" customWidth="1"/>
    <col min="7" max="7" width="7.7109375" customWidth="1"/>
    <col min="8" max="8" width="21.5703125" bestFit="1" customWidth="1"/>
    <col min="9" max="9" width="17.28515625" customWidth="1"/>
    <col min="10" max="10" width="21.7109375" bestFit="1" customWidth="1"/>
    <col min="11" max="11" width="10" customWidth="1"/>
    <col min="12" max="12" width="13" customWidth="1"/>
    <col min="13" max="14" width="16.7109375" customWidth="1"/>
    <col min="15" max="15" width="10.5703125" customWidth="1"/>
    <col min="16" max="16" width="11" customWidth="1"/>
    <col min="17" max="17" width="6.7109375" bestFit="1" customWidth="1"/>
    <col min="18" max="18" width="14.42578125" customWidth="1"/>
  </cols>
  <sheetData>
    <row r="1" spans="1:17">
      <c r="B1" s="138" t="s">
        <v>894</v>
      </c>
      <c r="P1" s="6" t="str">
        <f>CONCATENATE("Rate Year: ",'1-BaseTRR'!$G$1)</f>
        <v>Rate Year: 2023</v>
      </c>
    </row>
    <row r="2" spans="1:17">
      <c r="B2" s="138"/>
    </row>
    <row r="3" spans="1:17">
      <c r="B3" s="50" t="s">
        <v>895</v>
      </c>
      <c r="C3" s="46"/>
      <c r="D3" s="50"/>
      <c r="E3" s="47"/>
      <c r="F3" s="47"/>
      <c r="G3" s="47"/>
      <c r="H3" s="47"/>
      <c r="I3" s="47"/>
      <c r="J3" s="47"/>
      <c r="K3" s="47"/>
      <c r="L3" s="47"/>
      <c r="M3" s="47"/>
      <c r="N3" s="47"/>
      <c r="O3" s="47"/>
      <c r="P3" s="47"/>
    </row>
    <row r="4" spans="1:17">
      <c r="B4" s="2"/>
      <c r="D4" s="2"/>
    </row>
    <row r="5" spans="1:17">
      <c r="B5" s="4"/>
      <c r="C5" s="4"/>
      <c r="D5" s="4"/>
      <c r="E5" s="21"/>
      <c r="F5" s="684" t="s">
        <v>371</v>
      </c>
      <c r="G5" s="684" t="s">
        <v>372</v>
      </c>
      <c r="H5" s="684" t="s">
        <v>373</v>
      </c>
      <c r="I5" s="684" t="s">
        <v>374</v>
      </c>
      <c r="J5" s="684" t="s">
        <v>375</v>
      </c>
      <c r="K5" s="684" t="s">
        <v>376</v>
      </c>
      <c r="L5" s="684" t="s">
        <v>377</v>
      </c>
      <c r="M5" s="684" t="s">
        <v>378</v>
      </c>
      <c r="N5" s="684" t="s">
        <v>409</v>
      </c>
      <c r="O5" s="684" t="s">
        <v>525</v>
      </c>
      <c r="P5" s="684" t="s">
        <v>526</v>
      </c>
      <c r="Q5" s="21"/>
    </row>
    <row r="6" spans="1:17" s="223" customFormat="1" ht="30">
      <c r="A6" s="689"/>
      <c r="B6" s="689"/>
      <c r="C6" s="161"/>
      <c r="D6" s="689"/>
      <c r="E6" s="161"/>
      <c r="F6" s="152" t="s">
        <v>896</v>
      </c>
      <c r="G6" s="161"/>
      <c r="H6" s="161" t="s">
        <v>897</v>
      </c>
      <c r="I6" s="152" t="s">
        <v>898</v>
      </c>
      <c r="J6" s="161" t="s">
        <v>899</v>
      </c>
      <c r="K6" s="161"/>
      <c r="L6" s="161"/>
      <c r="M6" s="161" t="s">
        <v>900</v>
      </c>
      <c r="N6" s="161"/>
      <c r="O6" s="161"/>
      <c r="P6" s="161"/>
      <c r="Q6" s="161"/>
    </row>
    <row r="7" spans="1:17">
      <c r="B7" s="2"/>
      <c r="D7" s="2"/>
    </row>
    <row r="8" spans="1:17">
      <c r="F8" s="4" t="s">
        <v>901</v>
      </c>
      <c r="G8" s="824" t="s">
        <v>902</v>
      </c>
      <c r="H8" s="824"/>
      <c r="I8" s="4" t="s">
        <v>903</v>
      </c>
      <c r="J8" s="4" t="s">
        <v>904</v>
      </c>
      <c r="K8" s="685" t="s">
        <v>905</v>
      </c>
      <c r="L8" s="4" t="s">
        <v>906</v>
      </c>
      <c r="M8" s="825" t="s">
        <v>907</v>
      </c>
      <c r="N8" s="825"/>
    </row>
    <row r="9" spans="1:17">
      <c r="A9" s="3" t="s">
        <v>100</v>
      </c>
      <c r="B9" s="3" t="s">
        <v>908</v>
      </c>
      <c r="C9" s="3" t="s">
        <v>647</v>
      </c>
      <c r="D9" s="3" t="s">
        <v>909</v>
      </c>
      <c r="E9" s="3" t="s">
        <v>910</v>
      </c>
      <c r="F9" s="243" t="s">
        <v>911</v>
      </c>
      <c r="G9" s="243" t="s">
        <v>912</v>
      </c>
      <c r="H9" s="681" t="s">
        <v>913</v>
      </c>
      <c r="I9" s="243" t="s">
        <v>914</v>
      </c>
      <c r="J9" s="243" t="s">
        <v>915</v>
      </c>
      <c r="K9" s="686" t="s">
        <v>916</v>
      </c>
      <c r="L9" s="243" t="s">
        <v>917</v>
      </c>
      <c r="M9" s="243" t="s">
        <v>913</v>
      </c>
      <c r="N9" s="243" t="s">
        <v>918</v>
      </c>
      <c r="O9" s="243" t="s">
        <v>919</v>
      </c>
      <c r="P9" s="243" t="s">
        <v>920</v>
      </c>
      <c r="Q9" s="3" t="str">
        <f t="shared" ref="Q9:Q19" si="0">A9</f>
        <v>Line</v>
      </c>
    </row>
    <row r="10" spans="1:17">
      <c r="A10" s="4">
        <v>100</v>
      </c>
      <c r="B10" t="str">
        <f t="shared" ref="B10:B19" si="1">IF(RIGHT(E10,4)="CPUC","ETC","ETP")</f>
        <v>ETP</v>
      </c>
      <c r="C10" s="35">
        <v>352.01</v>
      </c>
      <c r="D10" t="str">
        <f t="shared" ref="D10:D19" si="2">IF(LEN(C10)&gt;=6,"ETP"&amp;LEFT(C10,3)&amp;RIGHT(C10,2),"ETP"&amp;LEFT(C10,3)&amp;"00")</f>
        <v>ETP35201</v>
      </c>
      <c r="E10" t="s">
        <v>921</v>
      </c>
      <c r="F10" s="488">
        <f>'7-PlantInService'!F$24</f>
        <v>362688526</v>
      </c>
      <c r="G10" s="242">
        <v>-20</v>
      </c>
      <c r="H10" s="473">
        <f t="shared" ref="H10:H19" si="3">+F10*G10/100</f>
        <v>-72537705.200000003</v>
      </c>
      <c r="I10" s="488">
        <f>'10-AccDep'!F$26</f>
        <v>116187686</v>
      </c>
      <c r="J10" s="473">
        <f t="shared" ref="J10:J19" si="4">+F10-H10-I10</f>
        <v>319038545.19999999</v>
      </c>
      <c r="K10" s="35" t="s">
        <v>922</v>
      </c>
      <c r="L10" s="235">
        <v>57.45</v>
      </c>
      <c r="M10" s="473">
        <f t="shared" ref="M10:M19" si="5">N10*F10</f>
        <v>5911822.9737999998</v>
      </c>
      <c r="N10" s="20">
        <v>1.6299999999999999E-2</v>
      </c>
      <c r="O10" s="20">
        <v>1.325E-2</v>
      </c>
      <c r="P10" s="20">
        <v>3.0500000000000002E-3</v>
      </c>
      <c r="Q10" s="4">
        <f t="shared" si="0"/>
        <v>100</v>
      </c>
    </row>
    <row r="11" spans="1:17">
      <c r="A11" s="4">
        <f t="shared" ref="A11:A19" si="6">+A10+1</f>
        <v>101</v>
      </c>
      <c r="B11" t="str">
        <f t="shared" si="1"/>
        <v>ETP</v>
      </c>
      <c r="C11" s="35">
        <v>352.02</v>
      </c>
      <c r="D11" t="str">
        <f t="shared" si="2"/>
        <v>ETP35202</v>
      </c>
      <c r="E11" t="s">
        <v>923</v>
      </c>
      <c r="F11" s="488">
        <f>'7-PlantInService'!G$24</f>
        <v>108679506</v>
      </c>
      <c r="G11" s="242">
        <v>-20</v>
      </c>
      <c r="H11" s="473">
        <f t="shared" si="3"/>
        <v>-21735901.199999999</v>
      </c>
      <c r="I11" s="488">
        <f>'10-AccDep'!G$26</f>
        <v>19478026</v>
      </c>
      <c r="J11" s="473">
        <f t="shared" si="4"/>
        <v>110937381.2</v>
      </c>
      <c r="K11" s="35" t="s">
        <v>922</v>
      </c>
      <c r="L11" s="235">
        <v>63.8</v>
      </c>
      <c r="M11" s="473">
        <f t="shared" si="5"/>
        <v>1862766.73284</v>
      </c>
      <c r="N11" s="20">
        <v>1.7139999999999999E-2</v>
      </c>
      <c r="O11" s="20">
        <v>1.414E-2</v>
      </c>
      <c r="P11" s="20">
        <v>3.0000000000000001E-3</v>
      </c>
      <c r="Q11" s="4">
        <f t="shared" si="0"/>
        <v>101</v>
      </c>
    </row>
    <row r="12" spans="1:17">
      <c r="A12" s="4">
        <f t="shared" si="6"/>
        <v>102</v>
      </c>
      <c r="B12" t="str">
        <f t="shared" si="1"/>
        <v>ETP</v>
      </c>
      <c r="C12" s="35">
        <v>353.01</v>
      </c>
      <c r="D12" t="str">
        <f t="shared" si="2"/>
        <v>ETP35301</v>
      </c>
      <c r="E12" t="s">
        <v>924</v>
      </c>
      <c r="F12" s="488">
        <f>'7-PlantInService'!H$24</f>
        <v>7529329070</v>
      </c>
      <c r="G12" s="242">
        <v>-60</v>
      </c>
      <c r="H12" s="473">
        <f t="shared" si="3"/>
        <v>-4517597442</v>
      </c>
      <c r="I12" s="488">
        <f>'10-AccDep'!H$26</f>
        <v>1740070041</v>
      </c>
      <c r="J12" s="473">
        <f t="shared" si="4"/>
        <v>10306856471</v>
      </c>
      <c r="K12" s="35" t="s">
        <v>925</v>
      </c>
      <c r="L12" s="235">
        <v>37.869999999999997</v>
      </c>
      <c r="M12" s="473">
        <f t="shared" si="5"/>
        <v>235743293.18169999</v>
      </c>
      <c r="N12" s="20">
        <v>3.1309999999999998E-2</v>
      </c>
      <c r="O12" s="20">
        <v>2.128E-2</v>
      </c>
      <c r="P12" s="20">
        <v>1.0030000000000001E-2</v>
      </c>
      <c r="Q12" s="4">
        <f t="shared" si="0"/>
        <v>102</v>
      </c>
    </row>
    <row r="13" spans="1:17">
      <c r="A13" s="4">
        <f t="shared" si="6"/>
        <v>103</v>
      </c>
      <c r="B13" t="str">
        <f t="shared" si="1"/>
        <v>ETP</v>
      </c>
      <c r="C13" s="35">
        <v>353.02</v>
      </c>
      <c r="D13" t="str">
        <f t="shared" si="2"/>
        <v>ETP35302</v>
      </c>
      <c r="E13" t="s">
        <v>926</v>
      </c>
      <c r="F13" s="488">
        <f>'7-PlantInService'!I$24</f>
        <v>35991450</v>
      </c>
      <c r="G13" s="242">
        <v>-5</v>
      </c>
      <c r="H13" s="473">
        <f t="shared" si="3"/>
        <v>-1799572.5</v>
      </c>
      <c r="I13" s="488">
        <f>'10-AccDep'!I$26</f>
        <v>16600888</v>
      </c>
      <c r="J13" s="473">
        <f t="shared" si="4"/>
        <v>21190134.5</v>
      </c>
      <c r="K13" s="35" t="s">
        <v>927</v>
      </c>
      <c r="L13" s="235">
        <v>34.299999999999997</v>
      </c>
      <c r="M13" s="473">
        <f t="shared" si="5"/>
        <v>597817.98450000002</v>
      </c>
      <c r="N13" s="20">
        <v>1.661E-2</v>
      </c>
      <c r="O13" s="20">
        <v>1.5440000000000001E-2</v>
      </c>
      <c r="P13" s="20">
        <v>1.17E-3</v>
      </c>
      <c r="Q13" s="4">
        <f t="shared" si="0"/>
        <v>103</v>
      </c>
    </row>
    <row r="14" spans="1:17">
      <c r="A14" s="4">
        <f t="shared" si="6"/>
        <v>104</v>
      </c>
      <c r="B14" t="str">
        <f t="shared" si="1"/>
        <v>ETP</v>
      </c>
      <c r="C14" s="35">
        <v>354</v>
      </c>
      <c r="D14" t="str">
        <f t="shared" si="2"/>
        <v>ETP35400</v>
      </c>
      <c r="E14" t="s">
        <v>928</v>
      </c>
      <c r="F14" s="488">
        <f>'7-PlantInService'!J$24</f>
        <v>1040283564</v>
      </c>
      <c r="G14" s="242">
        <v>-100</v>
      </c>
      <c r="H14" s="473">
        <f t="shared" si="3"/>
        <v>-1040283564</v>
      </c>
      <c r="I14" s="488">
        <f>'10-AccDep'!J$26</f>
        <v>365099162</v>
      </c>
      <c r="J14" s="473">
        <f t="shared" si="4"/>
        <v>1715467966</v>
      </c>
      <c r="K14" s="35" t="s">
        <v>929</v>
      </c>
      <c r="L14" s="235">
        <v>57.03</v>
      </c>
      <c r="M14" s="473">
        <f t="shared" si="5"/>
        <v>23916119.136360001</v>
      </c>
      <c r="N14" s="20">
        <v>2.299E-2</v>
      </c>
      <c r="O14" s="20">
        <v>1.188E-2</v>
      </c>
      <c r="P14" s="20">
        <v>1.111E-2</v>
      </c>
      <c r="Q14" s="4">
        <f t="shared" si="0"/>
        <v>104</v>
      </c>
    </row>
    <row r="15" spans="1:17">
      <c r="A15" s="4">
        <f t="shared" si="6"/>
        <v>105</v>
      </c>
      <c r="B15" t="str">
        <f t="shared" si="1"/>
        <v>ETP</v>
      </c>
      <c r="C15" s="35">
        <v>355</v>
      </c>
      <c r="D15" t="str">
        <f t="shared" si="2"/>
        <v>ETP35500</v>
      </c>
      <c r="E15" t="s">
        <v>930</v>
      </c>
      <c r="F15" s="488">
        <f>'7-PlantInService'!K$24</f>
        <v>2159592516</v>
      </c>
      <c r="G15" s="242">
        <v>-80</v>
      </c>
      <c r="H15" s="473">
        <f t="shared" si="3"/>
        <v>-1727674012.8</v>
      </c>
      <c r="I15" s="488">
        <f>'10-AccDep'!K$26</f>
        <v>408078566</v>
      </c>
      <c r="J15" s="473">
        <f t="shared" si="4"/>
        <v>3479187962.8000002</v>
      </c>
      <c r="K15" s="35" t="s">
        <v>931</v>
      </c>
      <c r="L15" s="235">
        <v>46.49</v>
      </c>
      <c r="M15" s="473">
        <f t="shared" si="5"/>
        <v>68156739.804959998</v>
      </c>
      <c r="N15" s="20">
        <v>3.1559999999999998E-2</v>
      </c>
      <c r="O15" s="20">
        <v>1.7139999999999999E-2</v>
      </c>
      <c r="P15" s="20">
        <v>1.4420000000000001E-2</v>
      </c>
      <c r="Q15" s="4">
        <f t="shared" si="0"/>
        <v>105</v>
      </c>
    </row>
    <row r="16" spans="1:17">
      <c r="A16" s="4">
        <f t="shared" si="6"/>
        <v>106</v>
      </c>
      <c r="B16" t="str">
        <f t="shared" si="1"/>
        <v>ETP</v>
      </c>
      <c r="C16" s="35">
        <v>356</v>
      </c>
      <c r="D16" t="str">
        <f t="shared" si="2"/>
        <v>ETP35600</v>
      </c>
      <c r="E16" t="s">
        <v>932</v>
      </c>
      <c r="F16" s="488">
        <f>'7-PlantInService'!L$24</f>
        <v>2346203987</v>
      </c>
      <c r="G16" s="242">
        <v>-110</v>
      </c>
      <c r="H16" s="473">
        <f t="shared" si="3"/>
        <v>-2580824385.6999998</v>
      </c>
      <c r="I16" s="488">
        <f>'10-AccDep'!L$26</f>
        <v>520519966</v>
      </c>
      <c r="J16" s="473">
        <f t="shared" si="4"/>
        <v>4406508406.6999998</v>
      </c>
      <c r="K16" s="35" t="s">
        <v>933</v>
      </c>
      <c r="L16" s="235">
        <v>51.91</v>
      </c>
      <c r="M16" s="473">
        <f t="shared" si="5"/>
        <v>63910596.60588</v>
      </c>
      <c r="N16" s="20">
        <v>2.724E-2</v>
      </c>
      <c r="O16" s="20">
        <v>1.3610000000000001E-2</v>
      </c>
      <c r="P16" s="20">
        <v>1.363E-2</v>
      </c>
      <c r="Q16" s="4">
        <f t="shared" si="0"/>
        <v>106</v>
      </c>
    </row>
    <row r="17" spans="1:17">
      <c r="A17" s="4">
        <f t="shared" si="6"/>
        <v>107</v>
      </c>
      <c r="B17" t="str">
        <f t="shared" si="1"/>
        <v>ETP</v>
      </c>
      <c r="C17" s="35">
        <v>357</v>
      </c>
      <c r="D17" t="str">
        <f t="shared" si="2"/>
        <v>ETP35700</v>
      </c>
      <c r="E17" t="s">
        <v>934</v>
      </c>
      <c r="F17" s="488">
        <f>'7-PlantInService'!M$24</f>
        <v>518614161</v>
      </c>
      <c r="G17" s="242">
        <v>0</v>
      </c>
      <c r="H17" s="473">
        <f t="shared" si="3"/>
        <v>0</v>
      </c>
      <c r="I17" s="488">
        <f>'10-AccDep'!M$26</f>
        <v>110427376</v>
      </c>
      <c r="J17" s="473">
        <f t="shared" si="4"/>
        <v>408186785</v>
      </c>
      <c r="K17" s="35" t="s">
        <v>935</v>
      </c>
      <c r="L17" s="235">
        <v>54.8</v>
      </c>
      <c r="M17" s="473">
        <f t="shared" si="5"/>
        <v>7929610.5216899998</v>
      </c>
      <c r="N17" s="20">
        <v>1.529E-2</v>
      </c>
      <c r="O17" s="20">
        <v>1.524E-2</v>
      </c>
      <c r="P17" s="20">
        <v>5.0000000000000002E-5</v>
      </c>
      <c r="Q17" s="4">
        <f t="shared" si="0"/>
        <v>107</v>
      </c>
    </row>
    <row r="18" spans="1:17">
      <c r="A18" s="4">
        <f t="shared" si="6"/>
        <v>108</v>
      </c>
      <c r="B18" t="str">
        <f t="shared" si="1"/>
        <v>ETP</v>
      </c>
      <c r="C18" s="35">
        <v>358</v>
      </c>
      <c r="D18" t="str">
        <f t="shared" si="2"/>
        <v>ETP35800</v>
      </c>
      <c r="E18" t="s">
        <v>936</v>
      </c>
      <c r="F18" s="488">
        <f>'7-PlantInService'!N$24</f>
        <v>281575116</v>
      </c>
      <c r="G18" s="242">
        <v>-10</v>
      </c>
      <c r="H18" s="473">
        <f t="shared" si="3"/>
        <v>-28157511.600000001</v>
      </c>
      <c r="I18" s="488">
        <f>'10-AccDep'!N$26</f>
        <v>80894385</v>
      </c>
      <c r="J18" s="473">
        <f t="shared" si="4"/>
        <v>228838242.60000002</v>
      </c>
      <c r="K18" s="35" t="s">
        <v>937</v>
      </c>
      <c r="L18" s="235">
        <v>43.69</v>
      </c>
      <c r="M18" s="473">
        <f t="shared" si="5"/>
        <v>5603344.8084000004</v>
      </c>
      <c r="N18" s="20">
        <v>1.9900000000000001E-2</v>
      </c>
      <c r="O18" s="20">
        <v>1.7639999999999999E-2</v>
      </c>
      <c r="P18" s="20">
        <v>2.2599999999999999E-3</v>
      </c>
      <c r="Q18" s="4">
        <f t="shared" si="0"/>
        <v>108</v>
      </c>
    </row>
    <row r="19" spans="1:17">
      <c r="A19" s="4">
        <f t="shared" si="6"/>
        <v>109</v>
      </c>
      <c r="B19" t="str">
        <f t="shared" si="1"/>
        <v>ETP</v>
      </c>
      <c r="C19" s="35">
        <v>359</v>
      </c>
      <c r="D19" t="str">
        <f t="shared" si="2"/>
        <v>ETP35900</v>
      </c>
      <c r="E19" t="s">
        <v>938</v>
      </c>
      <c r="F19" s="683">
        <f>'7-PlantInService'!O$24</f>
        <v>164958388</v>
      </c>
      <c r="G19" s="687">
        <v>-10</v>
      </c>
      <c r="H19" s="472">
        <f t="shared" si="3"/>
        <v>-16495838.800000001</v>
      </c>
      <c r="I19" s="683">
        <f>'10-AccDep'!O$26</f>
        <v>10635394</v>
      </c>
      <c r="J19" s="472">
        <f t="shared" si="4"/>
        <v>170818832.80000001</v>
      </c>
      <c r="K19" s="682" t="s">
        <v>939</v>
      </c>
      <c r="L19" s="688">
        <v>52.76</v>
      </c>
      <c r="M19" s="472">
        <f t="shared" si="5"/>
        <v>3071525.18456</v>
      </c>
      <c r="N19" s="410">
        <v>1.8620000000000001E-2</v>
      </c>
      <c r="O19" s="410">
        <v>1.6459999999999999E-2</v>
      </c>
      <c r="P19" s="410">
        <v>2.16E-3</v>
      </c>
      <c r="Q19" s="4">
        <f t="shared" si="0"/>
        <v>109</v>
      </c>
    </row>
    <row r="20" spans="1:17">
      <c r="F20" s="484"/>
      <c r="G20" s="242"/>
      <c r="H20" s="489"/>
      <c r="I20" s="484"/>
      <c r="J20" s="489"/>
      <c r="L20" s="240"/>
      <c r="M20" s="489"/>
      <c r="N20" s="240"/>
    </row>
    <row r="21" spans="1:17">
      <c r="A21" s="4">
        <f>+A19+1</f>
        <v>110</v>
      </c>
      <c r="C21" s="5" t="s">
        <v>940</v>
      </c>
      <c r="D21" s="2"/>
      <c r="F21" s="487">
        <f>SUM(F10:F19)</f>
        <v>14547916284</v>
      </c>
      <c r="G21" s="156"/>
      <c r="H21" s="487">
        <f>SUM(H10:H19)</f>
        <v>-10007105933.799999</v>
      </c>
      <c r="I21" s="487">
        <f>SUM(I10:I19)</f>
        <v>3387991490</v>
      </c>
      <c r="J21" s="487">
        <f>SUM(J10:J19)</f>
        <v>21167030727.799999</v>
      </c>
      <c r="K21" s="156"/>
      <c r="L21" s="156"/>
      <c r="M21" s="487">
        <f>SUM(M10:M19)</f>
        <v>416703636.93469</v>
      </c>
      <c r="N21" s="239">
        <f>+M21/F21</f>
        <v>2.8643527279091262E-2</v>
      </c>
      <c r="O21" s="19">
        <v>1.83E-2</v>
      </c>
      <c r="P21" s="19">
        <f>N21-O21</f>
        <v>1.0343527279091262E-2</v>
      </c>
      <c r="Q21" s="4">
        <f>A21</f>
        <v>110</v>
      </c>
    </row>
    <row r="22" spans="1:17">
      <c r="C22" s="5"/>
      <c r="D22" s="2"/>
      <c r="F22" s="238"/>
      <c r="H22" s="237"/>
      <c r="I22" s="238"/>
      <c r="J22" s="237"/>
      <c r="L22" s="236"/>
      <c r="M22" s="237"/>
      <c r="O22" s="116" t="s">
        <v>941</v>
      </c>
      <c r="Q22" s="4"/>
    </row>
    <row r="24" spans="1:17">
      <c r="B24" s="50" t="s">
        <v>942</v>
      </c>
      <c r="C24" s="46"/>
      <c r="D24" s="47"/>
      <c r="E24" s="47"/>
      <c r="F24" s="47"/>
      <c r="G24" s="47"/>
      <c r="H24" s="47"/>
      <c r="I24" s="47"/>
      <c r="J24" s="47"/>
      <c r="K24" s="47"/>
      <c r="L24" s="47"/>
      <c r="M24" s="47"/>
      <c r="N24" s="47"/>
      <c r="O24" s="47"/>
      <c r="P24" s="47"/>
    </row>
    <row r="26" spans="1:17">
      <c r="D26" s="4"/>
      <c r="F26" s="4" t="s">
        <v>943</v>
      </c>
    </row>
    <row r="27" spans="1:17">
      <c r="A27" s="3" t="s">
        <v>100</v>
      </c>
      <c r="B27" s="3" t="s">
        <v>908</v>
      </c>
      <c r="C27" s="3" t="s">
        <v>647</v>
      </c>
      <c r="D27" s="3" t="s">
        <v>909</v>
      </c>
      <c r="E27" s="3" t="s">
        <v>910</v>
      </c>
      <c r="F27" s="167" t="s">
        <v>944</v>
      </c>
      <c r="Q27" s="3" t="str">
        <f t="shared" ref="Q27:Q74" si="7">A27</f>
        <v>Line</v>
      </c>
    </row>
    <row r="28" spans="1:17">
      <c r="A28" s="4">
        <v>200</v>
      </c>
      <c r="D28" t="s">
        <v>945</v>
      </c>
      <c r="E28" t="s">
        <v>946</v>
      </c>
      <c r="F28" s="235">
        <v>0</v>
      </c>
      <c r="Q28" s="4">
        <f t="shared" si="7"/>
        <v>200</v>
      </c>
    </row>
    <row r="29" spans="1:17">
      <c r="A29" s="4">
        <f t="shared" ref="A29:A76" si="8">A28+1</f>
        <v>201</v>
      </c>
      <c r="D29" t="s">
        <v>947</v>
      </c>
      <c r="E29" t="s">
        <v>948</v>
      </c>
      <c r="F29" s="235">
        <v>0</v>
      </c>
      <c r="Q29" s="4">
        <f t="shared" si="7"/>
        <v>201</v>
      </c>
    </row>
    <row r="30" spans="1:17">
      <c r="A30" s="4">
        <f t="shared" si="8"/>
        <v>202</v>
      </c>
      <c r="D30" t="s">
        <v>949</v>
      </c>
      <c r="E30" t="s">
        <v>950</v>
      </c>
      <c r="F30" s="235">
        <v>3.39</v>
      </c>
      <c r="Q30" s="4">
        <f t="shared" si="7"/>
        <v>202</v>
      </c>
    </row>
    <row r="31" spans="1:17">
      <c r="A31" s="4">
        <f t="shared" si="8"/>
        <v>203</v>
      </c>
      <c r="D31" t="s">
        <v>951</v>
      </c>
      <c r="E31" t="s">
        <v>952</v>
      </c>
      <c r="F31" s="235">
        <v>17.36</v>
      </c>
      <c r="Q31" s="4">
        <f t="shared" si="7"/>
        <v>203</v>
      </c>
    </row>
    <row r="32" spans="1:17">
      <c r="A32" s="4">
        <f t="shared" si="8"/>
        <v>204</v>
      </c>
      <c r="D32" t="s">
        <v>953</v>
      </c>
      <c r="E32" t="s">
        <v>954</v>
      </c>
      <c r="F32" s="235">
        <v>9.01</v>
      </c>
      <c r="Q32" s="4">
        <f t="shared" si="7"/>
        <v>204</v>
      </c>
    </row>
    <row r="33" spans="1:17">
      <c r="A33" s="4">
        <f t="shared" si="8"/>
        <v>205</v>
      </c>
      <c r="D33" t="s">
        <v>955</v>
      </c>
      <c r="E33" t="s">
        <v>956</v>
      </c>
      <c r="F33" s="235">
        <v>0</v>
      </c>
      <c r="Q33" s="4">
        <f t="shared" si="7"/>
        <v>205</v>
      </c>
    </row>
    <row r="34" spans="1:17">
      <c r="A34" s="4">
        <f t="shared" si="8"/>
        <v>206</v>
      </c>
      <c r="D34" t="s">
        <v>957</v>
      </c>
      <c r="E34" t="s">
        <v>958</v>
      </c>
      <c r="F34" s="235">
        <v>2.58</v>
      </c>
      <c r="Q34" s="4">
        <f t="shared" si="7"/>
        <v>206</v>
      </c>
    </row>
    <row r="35" spans="1:17">
      <c r="A35" s="4">
        <f t="shared" si="8"/>
        <v>207</v>
      </c>
      <c r="D35" t="s">
        <v>959</v>
      </c>
      <c r="E35" t="s">
        <v>921</v>
      </c>
      <c r="F35" s="235">
        <v>1.97</v>
      </c>
      <c r="Q35" s="4">
        <f t="shared" si="7"/>
        <v>207</v>
      </c>
    </row>
    <row r="36" spans="1:17">
      <c r="A36" s="4">
        <f t="shared" si="8"/>
        <v>208</v>
      </c>
      <c r="D36" t="s">
        <v>960</v>
      </c>
      <c r="E36" t="s">
        <v>961</v>
      </c>
      <c r="F36" s="235">
        <v>20</v>
      </c>
      <c r="Q36" s="4">
        <f t="shared" si="7"/>
        <v>208</v>
      </c>
    </row>
    <row r="37" spans="1:17">
      <c r="A37" s="4">
        <f t="shared" si="8"/>
        <v>209</v>
      </c>
      <c r="D37" t="s">
        <v>962</v>
      </c>
      <c r="E37" t="s">
        <v>963</v>
      </c>
      <c r="F37" s="235">
        <v>27.310000000000002</v>
      </c>
      <c r="Q37" s="4">
        <f t="shared" si="7"/>
        <v>209</v>
      </c>
    </row>
    <row r="38" spans="1:17">
      <c r="A38" s="4">
        <f t="shared" si="8"/>
        <v>210</v>
      </c>
      <c r="D38" t="s">
        <v>964</v>
      </c>
      <c r="E38" t="s">
        <v>965</v>
      </c>
      <c r="F38" s="235">
        <v>14.17</v>
      </c>
      <c r="Q38" s="4">
        <f t="shared" si="7"/>
        <v>210</v>
      </c>
    </row>
    <row r="39" spans="1:17">
      <c r="A39" s="4">
        <f t="shared" si="8"/>
        <v>211</v>
      </c>
      <c r="D39" t="s">
        <v>966</v>
      </c>
      <c r="E39" t="s">
        <v>967</v>
      </c>
      <c r="F39" s="235">
        <v>7.5</v>
      </c>
      <c r="Q39" s="4">
        <f t="shared" si="7"/>
        <v>211</v>
      </c>
    </row>
    <row r="40" spans="1:17">
      <c r="A40" s="4">
        <f t="shared" si="8"/>
        <v>212</v>
      </c>
      <c r="D40" t="s">
        <v>968</v>
      </c>
      <c r="E40" t="s">
        <v>969</v>
      </c>
      <c r="F40" s="235">
        <v>27.310000000000002</v>
      </c>
      <c r="Q40" s="4">
        <f t="shared" si="7"/>
        <v>212</v>
      </c>
    </row>
    <row r="41" spans="1:17">
      <c r="A41" s="4">
        <f t="shared" si="8"/>
        <v>213</v>
      </c>
      <c r="D41" t="s">
        <v>970</v>
      </c>
      <c r="E41" t="s">
        <v>971</v>
      </c>
      <c r="F41" s="235">
        <v>1.36</v>
      </c>
      <c r="Q41" s="4">
        <f t="shared" si="7"/>
        <v>213</v>
      </c>
    </row>
    <row r="42" spans="1:17">
      <c r="A42" s="4">
        <f t="shared" si="8"/>
        <v>214</v>
      </c>
      <c r="D42" t="s">
        <v>972</v>
      </c>
      <c r="E42" t="s">
        <v>973</v>
      </c>
      <c r="F42" s="235">
        <v>13.48</v>
      </c>
      <c r="Q42" s="4">
        <f t="shared" si="7"/>
        <v>214</v>
      </c>
    </row>
    <row r="43" spans="1:17">
      <c r="A43" s="4">
        <f t="shared" si="8"/>
        <v>215</v>
      </c>
      <c r="D43" t="s">
        <v>974</v>
      </c>
      <c r="E43" t="s">
        <v>975</v>
      </c>
      <c r="F43" s="235">
        <v>9.92</v>
      </c>
      <c r="Q43" s="4">
        <f t="shared" si="7"/>
        <v>215</v>
      </c>
    </row>
    <row r="44" spans="1:17">
      <c r="A44" s="4">
        <f t="shared" si="8"/>
        <v>216</v>
      </c>
      <c r="D44" t="s">
        <v>976</v>
      </c>
      <c r="E44" t="s">
        <v>977</v>
      </c>
      <c r="F44" s="235">
        <v>10.130000000000001</v>
      </c>
      <c r="Q44" s="4">
        <f t="shared" si="7"/>
        <v>216</v>
      </c>
    </row>
    <row r="45" spans="1:17">
      <c r="A45" s="4">
        <f t="shared" si="8"/>
        <v>217</v>
      </c>
      <c r="D45" t="s">
        <v>978</v>
      </c>
      <c r="E45" t="s">
        <v>979</v>
      </c>
      <c r="F45" s="235">
        <v>10.11</v>
      </c>
      <c r="Q45" s="4">
        <f t="shared" si="7"/>
        <v>217</v>
      </c>
    </row>
    <row r="46" spans="1:17">
      <c r="A46" s="4">
        <f t="shared" si="8"/>
        <v>218</v>
      </c>
      <c r="D46" t="s">
        <v>980</v>
      </c>
      <c r="E46" t="s">
        <v>981</v>
      </c>
      <c r="F46" s="235">
        <v>9.1</v>
      </c>
      <c r="Q46" s="4">
        <f t="shared" si="7"/>
        <v>218</v>
      </c>
    </row>
    <row r="47" spans="1:17">
      <c r="A47" s="4">
        <f t="shared" si="8"/>
        <v>219</v>
      </c>
      <c r="D47" t="s">
        <v>982</v>
      </c>
      <c r="E47" t="s">
        <v>983</v>
      </c>
      <c r="F47" s="235">
        <v>6.8199999999999994</v>
      </c>
      <c r="Q47" s="4">
        <f t="shared" si="7"/>
        <v>219</v>
      </c>
    </row>
    <row r="48" spans="1:17">
      <c r="A48" s="4">
        <f t="shared" si="8"/>
        <v>220</v>
      </c>
      <c r="D48" t="s">
        <v>984</v>
      </c>
      <c r="E48" t="s">
        <v>985</v>
      </c>
      <c r="F48" s="235">
        <v>4.1500000000000004</v>
      </c>
      <c r="Q48" s="4">
        <f t="shared" si="7"/>
        <v>220</v>
      </c>
    </row>
    <row r="49" spans="1:17">
      <c r="A49" s="4">
        <f t="shared" si="8"/>
        <v>221</v>
      </c>
      <c r="D49" t="s">
        <v>986</v>
      </c>
      <c r="E49" t="s">
        <v>987</v>
      </c>
      <c r="F49" s="235">
        <v>3.07</v>
      </c>
      <c r="Q49" s="4">
        <f t="shared" si="7"/>
        <v>221</v>
      </c>
    </row>
    <row r="50" spans="1:17">
      <c r="A50" s="4">
        <f t="shared" si="8"/>
        <v>222</v>
      </c>
      <c r="D50" t="s">
        <v>988</v>
      </c>
      <c r="E50" t="s">
        <v>989</v>
      </c>
      <c r="F50" s="235">
        <v>6.25</v>
      </c>
      <c r="Q50" s="4">
        <f t="shared" si="7"/>
        <v>222</v>
      </c>
    </row>
    <row r="51" spans="1:17">
      <c r="A51" s="4">
        <f t="shared" si="8"/>
        <v>223</v>
      </c>
      <c r="D51" t="s">
        <v>990</v>
      </c>
      <c r="E51" t="s">
        <v>991</v>
      </c>
      <c r="F51" s="235">
        <v>3.34</v>
      </c>
      <c r="Q51" s="4">
        <f t="shared" si="7"/>
        <v>223</v>
      </c>
    </row>
    <row r="52" spans="1:17">
      <c r="A52" s="4">
        <f t="shared" si="8"/>
        <v>224</v>
      </c>
      <c r="D52" t="s">
        <v>992</v>
      </c>
      <c r="E52" t="s">
        <v>993</v>
      </c>
      <c r="F52" s="235">
        <v>7.77</v>
      </c>
      <c r="Q52" s="4">
        <f t="shared" si="7"/>
        <v>224</v>
      </c>
    </row>
    <row r="53" spans="1:17">
      <c r="A53" s="4">
        <f t="shared" si="8"/>
        <v>225</v>
      </c>
      <c r="D53" t="s">
        <v>994</v>
      </c>
      <c r="E53" t="s">
        <v>995</v>
      </c>
      <c r="F53" s="235">
        <v>6.45</v>
      </c>
      <c r="Q53" s="4">
        <f t="shared" si="7"/>
        <v>225</v>
      </c>
    </row>
    <row r="54" spans="1:17">
      <c r="A54" s="4">
        <f t="shared" si="8"/>
        <v>226</v>
      </c>
      <c r="D54" t="s">
        <v>996</v>
      </c>
      <c r="E54" t="s">
        <v>997</v>
      </c>
      <c r="F54" s="235">
        <v>14.45</v>
      </c>
      <c r="Q54" s="4">
        <f t="shared" si="7"/>
        <v>226</v>
      </c>
    </row>
    <row r="55" spans="1:17">
      <c r="A55" s="4">
        <f t="shared" si="8"/>
        <v>227</v>
      </c>
      <c r="D55" t="s">
        <v>998</v>
      </c>
      <c r="E55" t="s">
        <v>999</v>
      </c>
      <c r="F55" s="235">
        <v>20.47</v>
      </c>
      <c r="Q55" s="4">
        <f t="shared" si="7"/>
        <v>227</v>
      </c>
    </row>
    <row r="56" spans="1:17">
      <c r="A56" s="4">
        <f t="shared" si="8"/>
        <v>228</v>
      </c>
      <c r="D56" t="s">
        <v>1000</v>
      </c>
      <c r="E56" t="s">
        <v>1001</v>
      </c>
      <c r="F56" s="235">
        <v>15.25</v>
      </c>
      <c r="Q56" s="4">
        <f t="shared" si="7"/>
        <v>228</v>
      </c>
    </row>
    <row r="57" spans="1:17">
      <c r="A57" s="4">
        <f t="shared" si="8"/>
        <v>229</v>
      </c>
      <c r="D57" t="s">
        <v>1002</v>
      </c>
      <c r="E57" t="s">
        <v>1003</v>
      </c>
      <c r="F57" s="235">
        <v>14.610000000000001</v>
      </c>
      <c r="Q57" s="4">
        <f t="shared" si="7"/>
        <v>229</v>
      </c>
    </row>
    <row r="58" spans="1:17">
      <c r="A58" s="4">
        <f t="shared" si="8"/>
        <v>230</v>
      </c>
      <c r="D58" t="s">
        <v>1004</v>
      </c>
      <c r="E58" t="s">
        <v>1005</v>
      </c>
      <c r="F58" s="235">
        <v>4.79</v>
      </c>
      <c r="Q58" s="4">
        <f t="shared" si="7"/>
        <v>230</v>
      </c>
    </row>
    <row r="59" spans="1:17">
      <c r="A59" s="4">
        <f t="shared" si="8"/>
        <v>231</v>
      </c>
      <c r="D59" t="s">
        <v>1006</v>
      </c>
      <c r="E59" t="s">
        <v>1007</v>
      </c>
      <c r="F59" s="235">
        <v>5.14</v>
      </c>
      <c r="Q59" s="4">
        <f t="shared" si="7"/>
        <v>231</v>
      </c>
    </row>
    <row r="60" spans="1:17">
      <c r="A60" s="4">
        <f t="shared" si="8"/>
        <v>232</v>
      </c>
      <c r="D60" t="s">
        <v>1008</v>
      </c>
      <c r="E60" t="s">
        <v>1009</v>
      </c>
      <c r="F60" s="235">
        <v>0.83</v>
      </c>
      <c r="Q60" s="4">
        <f t="shared" si="7"/>
        <v>232</v>
      </c>
    </row>
    <row r="61" spans="1:17">
      <c r="A61" s="4">
        <f t="shared" si="8"/>
        <v>233</v>
      </c>
      <c r="D61" t="s">
        <v>1010</v>
      </c>
      <c r="E61" t="s">
        <v>1011</v>
      </c>
      <c r="F61" s="235">
        <v>4.87</v>
      </c>
      <c r="Q61" s="4">
        <f t="shared" si="7"/>
        <v>233</v>
      </c>
    </row>
    <row r="62" spans="1:17">
      <c r="A62" s="4">
        <f t="shared" si="8"/>
        <v>234</v>
      </c>
      <c r="D62" t="s">
        <v>1012</v>
      </c>
      <c r="E62" t="s">
        <v>1013</v>
      </c>
      <c r="F62" s="235">
        <v>5.36</v>
      </c>
      <c r="Q62" s="4">
        <f t="shared" si="7"/>
        <v>234</v>
      </c>
    </row>
    <row r="63" spans="1:17">
      <c r="A63" s="4">
        <f t="shared" si="8"/>
        <v>235</v>
      </c>
      <c r="D63" t="s">
        <v>1014</v>
      </c>
      <c r="E63" t="s">
        <v>1015</v>
      </c>
      <c r="F63" s="235">
        <v>0.21</v>
      </c>
      <c r="Q63" s="4">
        <f t="shared" si="7"/>
        <v>235</v>
      </c>
    </row>
    <row r="64" spans="1:17">
      <c r="A64" s="4">
        <f t="shared" si="8"/>
        <v>236</v>
      </c>
      <c r="D64" t="s">
        <v>1016</v>
      </c>
      <c r="E64" t="s">
        <v>1017</v>
      </c>
      <c r="F64" s="235">
        <v>0</v>
      </c>
      <c r="Q64" s="4">
        <f t="shared" si="7"/>
        <v>236</v>
      </c>
    </row>
    <row r="65" spans="1:17">
      <c r="A65" s="4">
        <f t="shared" si="8"/>
        <v>237</v>
      </c>
      <c r="D65" t="s">
        <v>1018</v>
      </c>
      <c r="E65" t="s">
        <v>958</v>
      </c>
      <c r="F65" s="235">
        <v>2.99</v>
      </c>
      <c r="Q65" s="4">
        <f t="shared" si="7"/>
        <v>237</v>
      </c>
    </row>
    <row r="66" spans="1:17">
      <c r="A66" s="4">
        <f t="shared" si="8"/>
        <v>238</v>
      </c>
      <c r="D66" t="s">
        <v>1019</v>
      </c>
      <c r="E66" t="s">
        <v>921</v>
      </c>
      <c r="F66" s="235">
        <v>1.58</v>
      </c>
      <c r="Q66" s="4">
        <f t="shared" si="7"/>
        <v>238</v>
      </c>
    </row>
    <row r="67" spans="1:17">
      <c r="A67" s="4">
        <f t="shared" si="8"/>
        <v>239</v>
      </c>
      <c r="D67" t="s">
        <v>1020</v>
      </c>
      <c r="E67" t="s">
        <v>967</v>
      </c>
      <c r="F67" s="235">
        <v>5.93</v>
      </c>
      <c r="Q67" s="4">
        <f t="shared" si="7"/>
        <v>239</v>
      </c>
    </row>
    <row r="68" spans="1:17">
      <c r="A68" s="4">
        <f t="shared" si="8"/>
        <v>240</v>
      </c>
      <c r="D68" t="s">
        <v>1021</v>
      </c>
      <c r="E68" t="s">
        <v>1022</v>
      </c>
      <c r="F68" s="235">
        <v>3.94</v>
      </c>
      <c r="Q68" s="4">
        <f t="shared" si="7"/>
        <v>240</v>
      </c>
    </row>
    <row r="69" spans="1:17">
      <c r="A69" s="4">
        <f t="shared" si="8"/>
        <v>241</v>
      </c>
      <c r="D69" t="s">
        <v>1023</v>
      </c>
      <c r="E69" t="s">
        <v>993</v>
      </c>
      <c r="F69" s="235">
        <v>4.74</v>
      </c>
      <c r="Q69" s="4">
        <f t="shared" si="7"/>
        <v>241</v>
      </c>
    </row>
    <row r="70" spans="1:17">
      <c r="A70" s="4">
        <f t="shared" si="8"/>
        <v>242</v>
      </c>
      <c r="D70" t="s">
        <v>1024</v>
      </c>
      <c r="E70" t="s">
        <v>995</v>
      </c>
      <c r="F70" s="235">
        <v>7.89</v>
      </c>
      <c r="Q70" s="4">
        <f t="shared" si="7"/>
        <v>242</v>
      </c>
    </row>
    <row r="71" spans="1:17">
      <c r="A71" s="4">
        <f t="shared" si="8"/>
        <v>243</v>
      </c>
      <c r="D71" t="s">
        <v>1025</v>
      </c>
      <c r="E71" t="s">
        <v>1026</v>
      </c>
      <c r="F71" s="235">
        <v>6.92</v>
      </c>
      <c r="Q71" s="4">
        <f t="shared" si="7"/>
        <v>243</v>
      </c>
    </row>
    <row r="72" spans="1:17">
      <c r="A72" s="4">
        <f t="shared" si="8"/>
        <v>244</v>
      </c>
      <c r="D72" t="s">
        <v>1027</v>
      </c>
      <c r="E72" t="s">
        <v>1011</v>
      </c>
      <c r="F72" s="235">
        <v>4.96</v>
      </c>
      <c r="Q72" s="4">
        <f t="shared" si="7"/>
        <v>244</v>
      </c>
    </row>
    <row r="73" spans="1:17">
      <c r="A73" s="4">
        <f t="shared" si="8"/>
        <v>245</v>
      </c>
      <c r="D73" t="s">
        <v>1028</v>
      </c>
      <c r="E73" t="s">
        <v>1013</v>
      </c>
      <c r="F73" s="235">
        <v>6.8499999999999988</v>
      </c>
      <c r="Q73" s="4">
        <f t="shared" si="7"/>
        <v>245</v>
      </c>
    </row>
    <row r="74" spans="1:17">
      <c r="A74" s="4">
        <f t="shared" si="8"/>
        <v>246</v>
      </c>
      <c r="D74" t="s">
        <v>1029</v>
      </c>
      <c r="E74" t="s">
        <v>1030</v>
      </c>
      <c r="F74" s="235">
        <v>2.4</v>
      </c>
      <c r="Q74" s="4">
        <f t="shared" si="7"/>
        <v>246</v>
      </c>
    </row>
    <row r="75" spans="1:17">
      <c r="A75" s="4">
        <f t="shared" si="8"/>
        <v>247</v>
      </c>
      <c r="D75" t="s">
        <v>1031</v>
      </c>
      <c r="E75" t="s">
        <v>1032</v>
      </c>
      <c r="F75" s="235">
        <v>0</v>
      </c>
      <c r="Q75" s="4"/>
    </row>
    <row r="76" spans="1:17">
      <c r="A76" s="4">
        <f t="shared" si="8"/>
        <v>248</v>
      </c>
      <c r="D76" t="s">
        <v>1033</v>
      </c>
      <c r="E76" t="s">
        <v>1034</v>
      </c>
      <c r="F76" s="235">
        <v>20.420000000000002</v>
      </c>
      <c r="Q76" s="4"/>
    </row>
    <row r="78" spans="1:17">
      <c r="B78" s="356" t="s">
        <v>306</v>
      </c>
      <c r="C78"/>
    </row>
    <row r="79" spans="1:17">
      <c r="B79" s="35" t="s">
        <v>1035</v>
      </c>
      <c r="C79"/>
    </row>
    <row r="80" spans="1:17">
      <c r="B80" s="8" t="s">
        <v>1036</v>
      </c>
      <c r="C80" s="8"/>
      <c r="D80" s="8"/>
      <c r="E80" s="8"/>
      <c r="F80" s="8"/>
      <c r="G80" s="8"/>
      <c r="H80" s="8"/>
      <c r="I80" s="8"/>
      <c r="J80" s="8"/>
      <c r="K80" s="8"/>
      <c r="L80" s="8"/>
      <c r="M80" s="8"/>
      <c r="N80" s="8"/>
      <c r="O80" s="8"/>
      <c r="P80" s="8"/>
    </row>
    <row r="81" spans="2:16" ht="15" customHeight="1">
      <c r="B81" s="8" t="s">
        <v>1037</v>
      </c>
      <c r="C81" s="8"/>
      <c r="D81" s="8"/>
      <c r="E81" s="8"/>
      <c r="F81" s="8"/>
      <c r="G81" s="8"/>
      <c r="H81" s="8"/>
      <c r="I81" s="8"/>
      <c r="J81" s="8"/>
      <c r="K81" s="8"/>
      <c r="L81" s="8"/>
      <c r="M81" s="8"/>
      <c r="N81" s="8"/>
      <c r="O81" s="8"/>
      <c r="P81" s="8"/>
    </row>
    <row r="82" spans="2:16">
      <c r="B82" s="8" t="s">
        <v>1038</v>
      </c>
      <c r="C82" s="8"/>
      <c r="D82" s="8"/>
      <c r="E82" s="8"/>
      <c r="F82" s="8"/>
      <c r="G82" s="8"/>
      <c r="H82" s="8"/>
      <c r="I82" s="8"/>
      <c r="J82" s="8"/>
      <c r="K82" s="8"/>
      <c r="L82" s="8"/>
      <c r="M82" s="8"/>
      <c r="N82" s="8"/>
      <c r="O82" s="8"/>
      <c r="P82" s="8"/>
    </row>
  </sheetData>
  <mergeCells count="2">
    <mergeCell ref="G8:H8"/>
    <mergeCell ref="M8:N8"/>
  </mergeCells>
  <printOptions horizontalCentered="1"/>
  <pageMargins left="1" right="1" top="1" bottom="1" header="0.5" footer="0.5"/>
  <pageSetup scale="37" orientation="landscape" r:id="rId1"/>
  <headerFooter>
    <oddHeader>&amp;C&amp;"-,Bold"&amp;12Pacific Gas and Electric Company
Formula Rate Model
Schedule 12-DepRates</oddHeader>
  </headerFooter>
  <customProperties>
    <customPr name="_pios_id" r:id="rId2"/>
    <customPr name="EpmWorksheetKeyString_GUID" r:id="rId3"/>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74"/>
  <sheetViews>
    <sheetView zoomScale="85" zoomScaleNormal="85" zoomScaleSheetLayoutView="100" zoomScalePageLayoutView="55" workbookViewId="0">
      <selection activeCell="D37" sqref="D37:D49"/>
    </sheetView>
  </sheetViews>
  <sheetFormatPr defaultColWidth="9.140625" defaultRowHeight="15"/>
  <cols>
    <col min="1" max="1" width="5.42578125" customWidth="1"/>
    <col min="2" max="2" width="27.42578125" customWidth="1"/>
    <col min="3" max="3" width="18.85546875" customWidth="1"/>
    <col min="4" max="4" width="21.85546875" customWidth="1"/>
    <col min="5" max="5" width="19.28515625" customWidth="1"/>
    <col min="6" max="6" width="20" customWidth="1"/>
    <col min="7" max="7" width="20.42578125" customWidth="1"/>
    <col min="8" max="9" width="17.85546875" customWidth="1"/>
    <col min="10" max="10" width="8.140625" customWidth="1"/>
    <col min="11" max="11" width="4.5703125" bestFit="1" customWidth="1"/>
    <col min="12" max="14" width="12.7109375" customWidth="1"/>
    <col min="15" max="15" width="2.42578125" customWidth="1"/>
    <col min="16" max="18" width="12.7109375" customWidth="1"/>
  </cols>
  <sheetData>
    <row r="1" spans="1:10">
      <c r="B1" s="138" t="s">
        <v>38</v>
      </c>
      <c r="I1" s="6" t="str">
        <f>CONCATENATE("Prior Year: ",'1-BaseTRR'!$G$2)</f>
        <v>Prior Year: 2021</v>
      </c>
    </row>
    <row r="2" spans="1:10">
      <c r="B2" s="113" t="s">
        <v>131</v>
      </c>
      <c r="C2" s="42"/>
      <c r="I2" s="6"/>
    </row>
    <row r="4" spans="1:10">
      <c r="B4" s="114" t="s">
        <v>1039</v>
      </c>
      <c r="C4" s="47"/>
      <c r="D4" s="47"/>
      <c r="E4" s="47"/>
      <c r="F4" s="47"/>
      <c r="G4" s="47"/>
      <c r="H4" s="47"/>
      <c r="I4" s="47"/>
    </row>
    <row r="5" spans="1:10">
      <c r="B5" s="8" t="s">
        <v>1040</v>
      </c>
      <c r="D5" s="244"/>
      <c r="E5" s="245"/>
    </row>
    <row r="6" spans="1:10">
      <c r="D6" s="244"/>
      <c r="E6" s="245"/>
    </row>
    <row r="7" spans="1:10">
      <c r="D7" s="118" t="s">
        <v>371</v>
      </c>
      <c r="E7" s="118" t="s">
        <v>372</v>
      </c>
      <c r="F7" s="118" t="s">
        <v>373</v>
      </c>
      <c r="G7" s="118" t="s">
        <v>374</v>
      </c>
      <c r="H7" s="118"/>
    </row>
    <row r="8" spans="1:10" ht="30">
      <c r="B8" s="246"/>
      <c r="C8" s="152"/>
      <c r="D8" s="196" t="s">
        <v>111</v>
      </c>
      <c r="E8" s="247" t="s">
        <v>203</v>
      </c>
      <c r="F8" s="246" t="s">
        <v>1041</v>
      </c>
      <c r="G8" s="246" t="s">
        <v>1042</v>
      </c>
    </row>
    <row r="9" spans="1:10">
      <c r="D9" s="248"/>
      <c r="E9" s="245"/>
      <c r="F9" s="249"/>
      <c r="G9" s="249"/>
    </row>
    <row r="10" spans="1:10">
      <c r="D10" s="250" t="s">
        <v>1043</v>
      </c>
      <c r="E10" s="250" t="s">
        <v>465</v>
      </c>
      <c r="F10" s="249"/>
      <c r="G10" s="249"/>
    </row>
    <row r="11" spans="1:10">
      <c r="B11" s="251"/>
      <c r="C11" s="252"/>
      <c r="D11" s="250" t="s">
        <v>1044</v>
      </c>
      <c r="E11" s="250" t="s">
        <v>727</v>
      </c>
      <c r="F11" s="250" t="s">
        <v>746</v>
      </c>
      <c r="G11" s="250" t="s">
        <v>747</v>
      </c>
    </row>
    <row r="12" spans="1:10">
      <c r="A12" s="253" t="s">
        <v>1045</v>
      </c>
      <c r="B12" s="254" t="s">
        <v>384</v>
      </c>
      <c r="C12" s="254" t="s">
        <v>420</v>
      </c>
      <c r="D12" s="254" t="s">
        <v>1046</v>
      </c>
      <c r="E12" s="254" t="s">
        <v>1047</v>
      </c>
      <c r="F12" s="254" t="s">
        <v>770</v>
      </c>
      <c r="G12" s="254" t="s">
        <v>770</v>
      </c>
      <c r="J12" s="253" t="str">
        <f t="shared" ref="J12:J26" si="0">A12</f>
        <v xml:space="preserve">Line </v>
      </c>
    </row>
    <row r="13" spans="1:10">
      <c r="A13" s="127">
        <v>100</v>
      </c>
      <c r="B13" s="252" t="s">
        <v>428</v>
      </c>
      <c r="C13" s="255">
        <f>'1-BaseTRR'!$G$2-1</f>
        <v>2020</v>
      </c>
      <c r="D13" s="491">
        <v>533278843</v>
      </c>
      <c r="E13" s="491">
        <v>81295878.693463787</v>
      </c>
      <c r="F13" s="492">
        <f>+E13*'24-Allocators'!$C$43</f>
        <v>28685749.760076642</v>
      </c>
      <c r="G13" s="492">
        <f>+E13*'24-Allocators'!$C$44</f>
        <v>52610128.933387153</v>
      </c>
      <c r="J13" s="127">
        <f t="shared" si="0"/>
        <v>100</v>
      </c>
    </row>
    <row r="14" spans="1:10">
      <c r="A14" s="127">
        <f t="shared" ref="A14:A26" si="1">A13+1</f>
        <v>101</v>
      </c>
      <c r="B14" s="252" t="s">
        <v>430</v>
      </c>
      <c r="C14" s="255">
        <f>'1-BaseTRR'!$G$2</f>
        <v>2021</v>
      </c>
      <c r="D14" s="351">
        <v>533671883</v>
      </c>
      <c r="E14" s="351">
        <v>90820670</v>
      </c>
      <c r="F14" s="492">
        <f>+E14*'24-Allocators'!$C$43</f>
        <v>32046630.832123149</v>
      </c>
      <c r="G14" s="492">
        <f>+E14*'24-Allocators'!$C$44</f>
        <v>58774039.167876855</v>
      </c>
      <c r="J14" s="127">
        <f t="shared" si="0"/>
        <v>101</v>
      </c>
    </row>
    <row r="15" spans="1:10">
      <c r="A15" s="127">
        <f t="shared" si="1"/>
        <v>102</v>
      </c>
      <c r="B15" s="252" t="s">
        <v>431</v>
      </c>
      <c r="C15" s="255">
        <f>'1-BaseTRR'!$G$2</f>
        <v>2021</v>
      </c>
      <c r="D15" s="351">
        <v>541749268</v>
      </c>
      <c r="E15" s="351">
        <v>91856695</v>
      </c>
      <c r="F15" s="492">
        <f>+E15*'24-Allocators'!$C$43</f>
        <v>32412198.612099342</v>
      </c>
      <c r="G15" s="492">
        <f>+E15*'24-Allocators'!$C$44</f>
        <v>59444496.387900665</v>
      </c>
      <c r="J15" s="127">
        <f t="shared" si="0"/>
        <v>102</v>
      </c>
    </row>
    <row r="16" spans="1:10">
      <c r="A16" s="127">
        <f t="shared" si="1"/>
        <v>103</v>
      </c>
      <c r="B16" s="252" t="s">
        <v>432</v>
      </c>
      <c r="C16" s="255">
        <f>'1-BaseTRR'!$G$2</f>
        <v>2021</v>
      </c>
      <c r="D16" s="351">
        <v>532623926</v>
      </c>
      <c r="E16" s="351">
        <v>91722048</v>
      </c>
      <c r="F16" s="492">
        <f>+E16*'24-Allocators'!$C$43</f>
        <v>32364687.591737423</v>
      </c>
      <c r="G16" s="492">
        <f>+E16*'24-Allocators'!$C$44</f>
        <v>59357360.408262581</v>
      </c>
      <c r="J16" s="127">
        <f t="shared" si="0"/>
        <v>103</v>
      </c>
    </row>
    <row r="17" spans="1:10">
      <c r="A17" s="127">
        <f t="shared" si="1"/>
        <v>104</v>
      </c>
      <c r="B17" s="252" t="s">
        <v>433</v>
      </c>
      <c r="C17" s="255">
        <f>'1-BaseTRR'!$G$2</f>
        <v>2021</v>
      </c>
      <c r="D17" s="351">
        <v>522616735</v>
      </c>
      <c r="E17" s="351">
        <v>90785943</v>
      </c>
      <c r="F17" s="492">
        <f>+E17*'24-Allocators'!$C$43</f>
        <v>32034377.197032072</v>
      </c>
      <c r="G17" s="492">
        <f>+E17*'24-Allocators'!$C$44</f>
        <v>58751565.802967936</v>
      </c>
      <c r="J17" s="127">
        <f t="shared" si="0"/>
        <v>104</v>
      </c>
    </row>
    <row r="18" spans="1:10">
      <c r="A18" s="127">
        <f t="shared" si="1"/>
        <v>105</v>
      </c>
      <c r="B18" s="252" t="s">
        <v>395</v>
      </c>
      <c r="C18" s="255">
        <f>'1-BaseTRR'!$G$2</f>
        <v>2021</v>
      </c>
      <c r="D18" s="351">
        <v>515834186</v>
      </c>
      <c r="E18" s="351">
        <v>89134459</v>
      </c>
      <c r="F18" s="492">
        <f>+E18*'24-Allocators'!$C$43</f>
        <v>31451640.931453343</v>
      </c>
      <c r="G18" s="492">
        <f>+E18*'24-Allocators'!$C$44</f>
        <v>57682818.06854666</v>
      </c>
      <c r="J18" s="127">
        <f t="shared" si="0"/>
        <v>105</v>
      </c>
    </row>
    <row r="19" spans="1:10">
      <c r="A19" s="127">
        <f t="shared" si="1"/>
        <v>106</v>
      </c>
      <c r="B19" s="252" t="s">
        <v>531</v>
      </c>
      <c r="C19" s="255">
        <f>'1-BaseTRR'!$G$2</f>
        <v>2021</v>
      </c>
      <c r="D19" s="351">
        <v>521271397</v>
      </c>
      <c r="E19" s="351">
        <v>89838449</v>
      </c>
      <c r="F19" s="492">
        <f>+E19*'24-Allocators'!$C$43</f>
        <v>31700048.123775382</v>
      </c>
      <c r="G19" s="492">
        <f>+E19*'24-Allocators'!$C$44</f>
        <v>58138400.876224622</v>
      </c>
      <c r="J19" s="127">
        <f t="shared" si="0"/>
        <v>106</v>
      </c>
    </row>
    <row r="20" spans="1:10">
      <c r="A20" s="127">
        <f t="shared" si="1"/>
        <v>107</v>
      </c>
      <c r="B20" s="252" t="s">
        <v>435</v>
      </c>
      <c r="C20" s="255">
        <f>'1-BaseTRR'!$G$2</f>
        <v>2021</v>
      </c>
      <c r="D20" s="351">
        <v>515096025</v>
      </c>
      <c r="E20" s="351">
        <v>88973817</v>
      </c>
      <c r="F20" s="492">
        <f>+E20*'24-Allocators'!$C$43</f>
        <v>31394957.415794034</v>
      </c>
      <c r="G20" s="492">
        <f>+E20*'24-Allocators'!$C$44</f>
        <v>57578859.58420597</v>
      </c>
      <c r="J20" s="127">
        <f t="shared" si="0"/>
        <v>107</v>
      </c>
    </row>
    <row r="21" spans="1:10">
      <c r="A21" s="127">
        <f t="shared" si="1"/>
        <v>108</v>
      </c>
      <c r="B21" s="252" t="s">
        <v>436</v>
      </c>
      <c r="C21" s="255">
        <f>'1-BaseTRR'!$G$2</f>
        <v>2021</v>
      </c>
      <c r="D21" s="351">
        <v>514258914</v>
      </c>
      <c r="E21" s="351">
        <v>85920007</v>
      </c>
      <c r="F21" s="492">
        <f>+E21*'24-Allocators'!$C$43</f>
        <v>30317401.814173322</v>
      </c>
      <c r="G21" s="492">
        <f>+E21*'24-Allocators'!$C$44</f>
        <v>55602605.185826682</v>
      </c>
      <c r="J21" s="127">
        <f t="shared" si="0"/>
        <v>108</v>
      </c>
    </row>
    <row r="22" spans="1:10">
      <c r="A22" s="127">
        <f t="shared" si="1"/>
        <v>109</v>
      </c>
      <c r="B22" s="252" t="s">
        <v>437</v>
      </c>
      <c r="C22" s="255">
        <f>'1-BaseTRR'!$G$2</f>
        <v>2021</v>
      </c>
      <c r="D22" s="351">
        <v>521893760</v>
      </c>
      <c r="E22" s="351">
        <v>86404776</v>
      </c>
      <c r="F22" s="492">
        <f>+E22*'24-Allocators'!$C$43</f>
        <v>30488455.531150497</v>
      </c>
      <c r="G22" s="492">
        <f>+E22*'24-Allocators'!$C$44</f>
        <v>55916320.468849503</v>
      </c>
      <c r="J22" s="127">
        <f t="shared" si="0"/>
        <v>109</v>
      </c>
    </row>
    <row r="23" spans="1:10">
      <c r="A23" s="127">
        <f t="shared" si="1"/>
        <v>110</v>
      </c>
      <c r="B23" s="252" t="s">
        <v>438</v>
      </c>
      <c r="C23" s="255">
        <f>'1-BaseTRR'!$G$2</f>
        <v>2021</v>
      </c>
      <c r="D23" s="351">
        <v>526851821</v>
      </c>
      <c r="E23" s="351">
        <v>87245968</v>
      </c>
      <c r="F23" s="492">
        <f>+E23*'24-Allocators'!$C$43</f>
        <v>30785275.291266069</v>
      </c>
      <c r="G23" s="492">
        <f>+E23*'24-Allocators'!$C$44</f>
        <v>56460692.708733939</v>
      </c>
      <c r="J23" s="127">
        <f t="shared" si="0"/>
        <v>110</v>
      </c>
    </row>
    <row r="24" spans="1:10">
      <c r="A24" s="127">
        <f t="shared" si="1"/>
        <v>111</v>
      </c>
      <c r="B24" s="252" t="s">
        <v>439</v>
      </c>
      <c r="C24" s="255">
        <f>'1-BaseTRR'!$G$2</f>
        <v>2021</v>
      </c>
      <c r="D24" s="444">
        <v>544346982</v>
      </c>
      <c r="E24" s="444">
        <v>89589283</v>
      </c>
      <c r="F24" s="492">
        <f>+E24*'24-Allocators'!$C$43</f>
        <v>31612128.371389534</v>
      </c>
      <c r="G24" s="492">
        <f>+E24*'24-Allocators'!$C$44</f>
        <v>57977154.628610469</v>
      </c>
      <c r="J24" s="127">
        <f t="shared" si="0"/>
        <v>111</v>
      </c>
    </row>
    <row r="25" spans="1:10">
      <c r="A25" s="127">
        <f t="shared" si="1"/>
        <v>112</v>
      </c>
      <c r="B25" s="256" t="s">
        <v>428</v>
      </c>
      <c r="C25" s="257">
        <f>'1-BaseTRR'!$G$2</f>
        <v>2021</v>
      </c>
      <c r="D25" s="493">
        <v>552298302</v>
      </c>
      <c r="E25" s="493">
        <v>90974457</v>
      </c>
      <c r="F25" s="494">
        <f>+E25*'24-Allocators'!$C$43</f>
        <v>32100895.518959083</v>
      </c>
      <c r="G25" s="494">
        <f>+E25*'24-Allocators'!$C$44</f>
        <v>58873561.481040925</v>
      </c>
      <c r="J25" s="127">
        <f t="shared" si="0"/>
        <v>112</v>
      </c>
    </row>
    <row r="26" spans="1:10">
      <c r="A26" s="127">
        <f t="shared" si="1"/>
        <v>113</v>
      </c>
      <c r="B26" s="258" t="s">
        <v>702</v>
      </c>
      <c r="C26" s="258"/>
      <c r="D26" s="352">
        <f>SUM(D13:D25)/13</f>
        <v>528907080.15384614</v>
      </c>
      <c r="E26" s="549">
        <f t="shared" ref="E26:G26" si="2">SUM(E13:E25)/13</f>
        <v>88812496.20718953</v>
      </c>
      <c r="F26" s="549">
        <f t="shared" si="2"/>
        <v>31338034.383925378</v>
      </c>
      <c r="G26" s="549">
        <f t="shared" si="2"/>
        <v>57474461.823264152</v>
      </c>
      <c r="J26" s="127">
        <f t="shared" si="0"/>
        <v>113</v>
      </c>
    </row>
    <row r="27" spans="1:10">
      <c r="C27" s="8"/>
    </row>
    <row r="28" spans="1:10">
      <c r="C28" s="8"/>
    </row>
    <row r="29" spans="1:10">
      <c r="B29" s="114" t="s">
        <v>1048</v>
      </c>
      <c r="C29" s="47"/>
      <c r="D29" s="47"/>
      <c r="E29" s="47"/>
      <c r="F29" s="47"/>
      <c r="G29" s="47"/>
      <c r="H29" s="47"/>
      <c r="I29" s="47"/>
    </row>
    <row r="30" spans="1:10" ht="15" customHeight="1">
      <c r="B30" s="826" t="s">
        <v>1049</v>
      </c>
      <c r="C30" s="826"/>
      <c r="D30" s="826"/>
      <c r="E30" s="826"/>
      <c r="F30" s="826"/>
      <c r="G30" s="826"/>
      <c r="H30" s="826"/>
      <c r="I30" s="826"/>
      <c r="J30" s="259"/>
    </row>
    <row r="31" spans="1:10">
      <c r="B31" s="826"/>
      <c r="C31" s="826"/>
      <c r="D31" s="826"/>
      <c r="E31" s="826"/>
      <c r="F31" s="826"/>
      <c r="G31" s="826"/>
      <c r="H31" s="826"/>
      <c r="I31" s="826"/>
      <c r="J31" s="259"/>
    </row>
    <row r="32" spans="1:10">
      <c r="B32" s="259"/>
      <c r="C32" s="259"/>
      <c r="D32" s="259"/>
      <c r="E32" s="259"/>
      <c r="F32" s="259"/>
      <c r="G32" s="827"/>
      <c r="H32" s="827"/>
      <c r="I32" s="827"/>
    </row>
    <row r="33" spans="1:18">
      <c r="B33" s="118" t="s">
        <v>371</v>
      </c>
      <c r="C33" s="118" t="s">
        <v>372</v>
      </c>
      <c r="D33" s="118" t="s">
        <v>373</v>
      </c>
      <c r="E33" s="118" t="s">
        <v>374</v>
      </c>
      <c r="F33" s="118" t="s">
        <v>375</v>
      </c>
      <c r="G33" s="118" t="s">
        <v>376</v>
      </c>
      <c r="H33" s="118" t="s">
        <v>377</v>
      </c>
      <c r="I33" s="118" t="s">
        <v>378</v>
      </c>
      <c r="J33" s="118"/>
    </row>
    <row r="34" spans="1:18">
      <c r="B34" s="136" t="s">
        <v>1050</v>
      </c>
      <c r="C34" s="118"/>
      <c r="D34" s="260" t="s">
        <v>1051</v>
      </c>
      <c r="E34" s="136" t="s">
        <v>251</v>
      </c>
      <c r="F34" s="136" t="s">
        <v>1052</v>
      </c>
      <c r="G34" s="136" t="s">
        <v>287</v>
      </c>
      <c r="H34" s="136" t="s">
        <v>410</v>
      </c>
      <c r="I34" s="136" t="s">
        <v>411</v>
      </c>
    </row>
    <row r="35" spans="1:18" ht="15" customHeight="1">
      <c r="E35" s="261" t="s">
        <v>1053</v>
      </c>
      <c r="G35" s="828" t="s">
        <v>1054</v>
      </c>
      <c r="H35" s="828"/>
      <c r="I35" s="828"/>
    </row>
    <row r="36" spans="1:18" ht="27.75" customHeight="1">
      <c r="A36" s="253" t="s">
        <v>100</v>
      </c>
      <c r="B36" s="253" t="s">
        <v>384</v>
      </c>
      <c r="C36" s="253" t="s">
        <v>420</v>
      </c>
      <c r="D36" s="253" t="s">
        <v>1055</v>
      </c>
      <c r="E36" s="253" t="s">
        <v>1056</v>
      </c>
      <c r="F36" s="253" t="s">
        <v>1057</v>
      </c>
      <c r="G36" s="253" t="s">
        <v>1058</v>
      </c>
      <c r="H36" s="253" t="s">
        <v>1059</v>
      </c>
      <c r="I36" s="253" t="s">
        <v>1060</v>
      </c>
      <c r="J36" s="262" t="str">
        <f t="shared" ref="J36:J49" si="3">A36</f>
        <v>Line</v>
      </c>
    </row>
    <row r="37" spans="1:18">
      <c r="A37" s="127">
        <v>200</v>
      </c>
      <c r="B37" s="252" t="s">
        <v>428</v>
      </c>
      <c r="C37" s="255">
        <f>'1-BaseTRR'!$G$2-1</f>
        <v>2020</v>
      </c>
      <c r="D37" s="351">
        <v>698753381.11000013</v>
      </c>
      <c r="E37" s="351">
        <v>50539331.940000005</v>
      </c>
      <c r="F37" s="24">
        <f t="shared" ref="F37:F49" si="4">+D37-E37</f>
        <v>648214049.17000008</v>
      </c>
      <c r="G37" s="571">
        <v>23113163.519999996</v>
      </c>
      <c r="H37" s="571">
        <v>482456962.94</v>
      </c>
      <c r="I37" s="571">
        <v>142643922.70999998</v>
      </c>
      <c r="J37" s="127">
        <f t="shared" si="3"/>
        <v>200</v>
      </c>
      <c r="L37" s="263"/>
      <c r="M37" s="263"/>
      <c r="N37" s="263"/>
      <c r="O37" s="263"/>
      <c r="P37" s="264"/>
      <c r="Q37" s="265"/>
      <c r="R37" s="265"/>
    </row>
    <row r="38" spans="1:18">
      <c r="A38" s="127">
        <f t="shared" ref="A38:A49" si="5">A37+1</f>
        <v>201</v>
      </c>
      <c r="B38" s="252" t="s">
        <v>430</v>
      </c>
      <c r="C38" s="255">
        <f>'1-BaseTRR'!$G$2</f>
        <v>2021</v>
      </c>
      <c r="D38" s="351">
        <v>679333937.68000007</v>
      </c>
      <c r="E38" s="351">
        <v>51412418.420000002</v>
      </c>
      <c r="F38" s="24">
        <f t="shared" si="4"/>
        <v>627921519.26000011</v>
      </c>
      <c r="G38" s="571">
        <v>22411828.279999997</v>
      </c>
      <c r="H38" s="571">
        <v>412618392.56999999</v>
      </c>
      <c r="I38" s="571">
        <v>192891298.41000003</v>
      </c>
      <c r="J38" s="127">
        <f t="shared" si="3"/>
        <v>201</v>
      </c>
      <c r="L38" s="263"/>
      <c r="M38" s="263"/>
      <c r="N38" s="263"/>
      <c r="O38" s="263"/>
      <c r="P38" s="264"/>
      <c r="Q38" s="265"/>
      <c r="R38" s="265"/>
    </row>
    <row r="39" spans="1:18">
      <c r="A39" s="127">
        <f t="shared" si="5"/>
        <v>202</v>
      </c>
      <c r="B39" s="252" t="s">
        <v>431</v>
      </c>
      <c r="C39" s="255">
        <f>'1-BaseTRR'!$G$2</f>
        <v>2021</v>
      </c>
      <c r="D39" s="351">
        <v>594312809.91000009</v>
      </c>
      <c r="E39" s="351">
        <v>50982041.410000004</v>
      </c>
      <c r="F39" s="24">
        <f t="shared" si="4"/>
        <v>543330768.50000012</v>
      </c>
      <c r="G39" s="571">
        <v>23680466.25</v>
      </c>
      <c r="H39" s="571">
        <v>343512070.19999993</v>
      </c>
      <c r="I39" s="571">
        <v>176138232.05000001</v>
      </c>
      <c r="J39" s="127">
        <f t="shared" si="3"/>
        <v>202</v>
      </c>
      <c r="L39" s="263"/>
      <c r="M39" s="263"/>
      <c r="N39" s="263"/>
      <c r="O39" s="263"/>
      <c r="P39" s="264"/>
      <c r="Q39" s="265"/>
      <c r="R39" s="265"/>
    </row>
    <row r="40" spans="1:18">
      <c r="A40" s="127">
        <f t="shared" si="5"/>
        <v>203</v>
      </c>
      <c r="B40" s="252" t="s">
        <v>432</v>
      </c>
      <c r="C40" s="255">
        <f>'1-BaseTRR'!$G$2</f>
        <v>2021</v>
      </c>
      <c r="D40" s="351">
        <v>499559035.59000003</v>
      </c>
      <c r="E40" s="351">
        <v>34969127.74000001</v>
      </c>
      <c r="F40" s="24">
        <f t="shared" si="4"/>
        <v>464589907.85000002</v>
      </c>
      <c r="G40" s="571">
        <v>20886706.91</v>
      </c>
      <c r="H40" s="571">
        <v>272805170.90999997</v>
      </c>
      <c r="I40" s="571">
        <v>170898030.03</v>
      </c>
      <c r="J40" s="127">
        <f t="shared" si="3"/>
        <v>203</v>
      </c>
      <c r="L40" s="263"/>
      <c r="M40" s="263"/>
      <c r="N40" s="263"/>
      <c r="O40" s="263"/>
      <c r="P40" s="264"/>
      <c r="Q40" s="265"/>
      <c r="R40" s="265"/>
    </row>
    <row r="41" spans="1:18">
      <c r="A41" s="127">
        <f t="shared" si="5"/>
        <v>204</v>
      </c>
      <c r="B41" s="252" t="s">
        <v>433</v>
      </c>
      <c r="C41" s="255">
        <f>'1-BaseTRR'!$G$2</f>
        <v>2021</v>
      </c>
      <c r="D41" s="351">
        <v>580018381.20999992</v>
      </c>
      <c r="E41" s="351">
        <v>21889218.970000006</v>
      </c>
      <c r="F41" s="24">
        <f t="shared" si="4"/>
        <v>558129162.23999989</v>
      </c>
      <c r="G41" s="571">
        <v>23772941.579999998</v>
      </c>
      <c r="H41" s="571">
        <v>285805610.53999996</v>
      </c>
      <c r="I41" s="571">
        <v>248550610.12</v>
      </c>
      <c r="J41" s="127">
        <f t="shared" si="3"/>
        <v>204</v>
      </c>
      <c r="L41" s="263"/>
      <c r="M41" s="263"/>
      <c r="N41" s="263"/>
      <c r="O41" s="263"/>
      <c r="P41" s="264"/>
      <c r="Q41" s="265"/>
      <c r="R41" s="265"/>
    </row>
    <row r="42" spans="1:18">
      <c r="A42" s="127">
        <f t="shared" si="5"/>
        <v>205</v>
      </c>
      <c r="B42" s="252" t="s">
        <v>395</v>
      </c>
      <c r="C42" s="255">
        <f>'1-BaseTRR'!$G$2</f>
        <v>2021</v>
      </c>
      <c r="D42" s="351">
        <v>515186535.23000008</v>
      </c>
      <c r="E42" s="351">
        <v>21551946.49000001</v>
      </c>
      <c r="F42" s="24">
        <f t="shared" si="4"/>
        <v>493634588.74000007</v>
      </c>
      <c r="G42" s="571">
        <v>21140642.220000003</v>
      </c>
      <c r="H42" s="571">
        <v>281423463.38999999</v>
      </c>
      <c r="I42" s="571">
        <v>191070483.13000003</v>
      </c>
      <c r="J42" s="127">
        <f t="shared" si="3"/>
        <v>205</v>
      </c>
      <c r="L42" s="263"/>
      <c r="M42" s="263"/>
      <c r="N42" s="263"/>
      <c r="O42" s="263"/>
      <c r="P42" s="264"/>
      <c r="Q42" s="265"/>
      <c r="R42" s="265"/>
    </row>
    <row r="43" spans="1:18">
      <c r="A43" s="127">
        <f t="shared" si="5"/>
        <v>206</v>
      </c>
      <c r="B43" s="252" t="s">
        <v>531</v>
      </c>
      <c r="C43" s="255">
        <f>'1-BaseTRR'!$G$2</f>
        <v>2021</v>
      </c>
      <c r="D43" s="351">
        <v>484704890.90999997</v>
      </c>
      <c r="E43" s="351">
        <v>22464959.320000008</v>
      </c>
      <c r="F43" s="24">
        <f t="shared" si="4"/>
        <v>462239931.58999997</v>
      </c>
      <c r="G43" s="571">
        <v>18331610.43</v>
      </c>
      <c r="H43" s="571">
        <v>278716840.95999992</v>
      </c>
      <c r="I43" s="571">
        <v>165191480.20000002</v>
      </c>
      <c r="J43" s="127">
        <f t="shared" si="3"/>
        <v>206</v>
      </c>
      <c r="L43" s="263"/>
      <c r="M43" s="263"/>
      <c r="N43" s="263"/>
      <c r="O43" s="263"/>
      <c r="P43" s="264"/>
      <c r="Q43" s="265"/>
      <c r="R43" s="265"/>
    </row>
    <row r="44" spans="1:18">
      <c r="A44" s="127">
        <f t="shared" si="5"/>
        <v>207</v>
      </c>
      <c r="B44" s="252" t="s">
        <v>435</v>
      </c>
      <c r="C44" s="255">
        <f>'1-BaseTRR'!$G$2</f>
        <v>2021</v>
      </c>
      <c r="D44" s="351">
        <v>972596793.1099999</v>
      </c>
      <c r="E44" s="351">
        <v>22215202.860000007</v>
      </c>
      <c r="F44" s="24">
        <f t="shared" si="4"/>
        <v>950381590.24999988</v>
      </c>
      <c r="G44" s="571">
        <v>15522578.639999999</v>
      </c>
      <c r="H44" s="571">
        <v>737903456.84000003</v>
      </c>
      <c r="I44" s="571">
        <v>196955554.76999992</v>
      </c>
      <c r="J44" s="127">
        <f t="shared" si="3"/>
        <v>207</v>
      </c>
      <c r="L44" s="263"/>
      <c r="M44" s="263"/>
      <c r="N44" s="263"/>
      <c r="O44" s="263"/>
      <c r="P44" s="264"/>
      <c r="Q44" s="265"/>
      <c r="R44" s="265"/>
    </row>
    <row r="45" spans="1:18">
      <c r="A45" s="127">
        <f t="shared" si="5"/>
        <v>208</v>
      </c>
      <c r="B45" s="252" t="s">
        <v>436</v>
      </c>
      <c r="C45" s="255">
        <f>'1-BaseTRR'!$G$2</f>
        <v>2021</v>
      </c>
      <c r="D45" s="351">
        <v>900525635.2299999</v>
      </c>
      <c r="E45" s="351">
        <v>23832557.260000005</v>
      </c>
      <c r="F45" s="24">
        <f t="shared" si="4"/>
        <v>876693077.96999991</v>
      </c>
      <c r="G45" s="571">
        <v>12713546.85</v>
      </c>
      <c r="H45" s="571">
        <v>666550941.39999998</v>
      </c>
      <c r="I45" s="571">
        <v>197428589.72000015</v>
      </c>
      <c r="J45" s="127">
        <f t="shared" si="3"/>
        <v>208</v>
      </c>
      <c r="L45" s="263"/>
      <c r="M45" s="263"/>
      <c r="N45" s="263"/>
      <c r="O45" s="263"/>
      <c r="P45" s="264"/>
      <c r="Q45" s="265"/>
      <c r="R45" s="265"/>
    </row>
    <row r="46" spans="1:18">
      <c r="A46" s="127">
        <f t="shared" si="5"/>
        <v>209</v>
      </c>
      <c r="B46" s="252" t="s">
        <v>437</v>
      </c>
      <c r="C46" s="255">
        <f>'1-BaseTRR'!$G$2</f>
        <v>2021</v>
      </c>
      <c r="D46" s="351">
        <v>706961619.45000005</v>
      </c>
      <c r="E46" s="351">
        <v>26076356.690000009</v>
      </c>
      <c r="F46" s="24">
        <f t="shared" si="4"/>
        <v>680885262.75999999</v>
      </c>
      <c r="G46" s="571">
        <v>9904515.0599999987</v>
      </c>
      <c r="H46" s="571">
        <v>491468749.5</v>
      </c>
      <c r="I46" s="571">
        <v>179511998.20000005</v>
      </c>
      <c r="J46" s="127">
        <f t="shared" si="3"/>
        <v>209</v>
      </c>
      <c r="L46" s="263"/>
      <c r="M46" s="263"/>
      <c r="N46" s="263"/>
      <c r="O46" s="263"/>
      <c r="P46" s="264"/>
      <c r="Q46" s="265"/>
      <c r="R46" s="265"/>
    </row>
    <row r="47" spans="1:18">
      <c r="A47" s="127">
        <f t="shared" si="5"/>
        <v>210</v>
      </c>
      <c r="B47" s="252" t="s">
        <v>438</v>
      </c>
      <c r="C47" s="255">
        <f>'1-BaseTRR'!$G$2</f>
        <v>2021</v>
      </c>
      <c r="D47" s="351">
        <v>641537683.36999989</v>
      </c>
      <c r="E47" s="351">
        <v>36024139.420000009</v>
      </c>
      <c r="F47" s="24">
        <f t="shared" si="4"/>
        <v>605513543.94999993</v>
      </c>
      <c r="G47" s="571">
        <v>10605181.260000002</v>
      </c>
      <c r="H47" s="571">
        <v>437404513.47000003</v>
      </c>
      <c r="I47" s="571">
        <v>157503849.21999997</v>
      </c>
      <c r="J47" s="127">
        <f t="shared" si="3"/>
        <v>210</v>
      </c>
      <c r="L47" s="263"/>
      <c r="M47" s="263"/>
      <c r="N47" s="263"/>
      <c r="O47" s="263"/>
      <c r="P47" s="264"/>
      <c r="Q47" s="265"/>
      <c r="R47" s="265"/>
    </row>
    <row r="48" spans="1:18">
      <c r="A48" s="127">
        <f t="shared" si="5"/>
        <v>211</v>
      </c>
      <c r="B48" s="252" t="s">
        <v>439</v>
      </c>
      <c r="C48" s="255">
        <f>'1-BaseTRR'!$G$2</f>
        <v>2021</v>
      </c>
      <c r="D48" s="351">
        <v>566089864.61000001</v>
      </c>
      <c r="E48" s="351">
        <v>35774382.960000008</v>
      </c>
      <c r="F48" s="24">
        <f t="shared" si="4"/>
        <v>530315481.64999998</v>
      </c>
      <c r="G48" s="571">
        <v>7895427.4699999997</v>
      </c>
      <c r="H48" s="571">
        <v>383340277.44</v>
      </c>
      <c r="I48" s="571">
        <v>139079776.74000001</v>
      </c>
      <c r="J48" s="127">
        <f t="shared" si="3"/>
        <v>211</v>
      </c>
      <c r="L48" s="263"/>
      <c r="M48" s="263"/>
      <c r="N48" s="263"/>
      <c r="O48" s="263"/>
      <c r="P48" s="264"/>
      <c r="Q48" s="265"/>
      <c r="R48" s="265"/>
    </row>
    <row r="49" spans="1:18">
      <c r="A49" s="127">
        <f t="shared" si="5"/>
        <v>212</v>
      </c>
      <c r="B49" s="251" t="s">
        <v>428</v>
      </c>
      <c r="C49" s="255">
        <f>'1-BaseTRR'!$G$2</f>
        <v>2021</v>
      </c>
      <c r="D49" s="351">
        <v>520256194.68000007</v>
      </c>
      <c r="E49" s="351">
        <v>36907971.290000007</v>
      </c>
      <c r="F49" s="24">
        <f t="shared" si="4"/>
        <v>483348223.39000005</v>
      </c>
      <c r="G49" s="571">
        <v>5341192.0999999996</v>
      </c>
      <c r="H49" s="571">
        <v>329276041.40999997</v>
      </c>
      <c r="I49" s="571">
        <v>148730989.88</v>
      </c>
      <c r="J49" s="127">
        <f t="shared" si="3"/>
        <v>212</v>
      </c>
      <c r="L49" s="263"/>
      <c r="M49" s="263"/>
      <c r="N49" s="263"/>
      <c r="O49" s="263"/>
      <c r="P49" s="264"/>
      <c r="Q49" s="265"/>
      <c r="R49" s="265"/>
    </row>
    <row r="50" spans="1:18">
      <c r="A50" s="127"/>
      <c r="B50" s="251"/>
      <c r="C50" s="255"/>
      <c r="D50" s="11"/>
      <c r="E50" s="11"/>
      <c r="F50" s="11"/>
      <c r="G50" s="266"/>
      <c r="H50" s="266"/>
      <c r="I50" s="266"/>
      <c r="J50" s="127"/>
      <c r="L50" s="263"/>
      <c r="M50" s="263"/>
      <c r="N50" s="263"/>
      <c r="O50" s="263"/>
      <c r="P50" s="264"/>
      <c r="Q50" s="265"/>
      <c r="R50" s="265"/>
    </row>
    <row r="51" spans="1:18">
      <c r="B51" s="251"/>
      <c r="C51" s="255"/>
      <c r="D51" s="267"/>
      <c r="E51" s="11"/>
      <c r="F51" s="267"/>
      <c r="G51" s="26"/>
      <c r="H51" s="21"/>
      <c r="J51" s="127"/>
    </row>
    <row r="52" spans="1:18">
      <c r="A52" s="127"/>
      <c r="C52" s="255"/>
      <c r="D52" s="267"/>
      <c r="E52" s="11"/>
      <c r="F52" s="267"/>
      <c r="G52" s="4"/>
      <c r="H52" s="166" t="s">
        <v>1061</v>
      </c>
      <c r="I52" s="4"/>
      <c r="J52" s="127"/>
    </row>
    <row r="53" spans="1:18">
      <c r="A53" s="127"/>
      <c r="B53" s="258" t="s">
        <v>1062</v>
      </c>
      <c r="C53" s="255"/>
      <c r="D53" s="267"/>
      <c r="E53" s="11"/>
      <c r="F53" s="267"/>
      <c r="G53" s="514" t="s">
        <v>1063</v>
      </c>
      <c r="H53" s="514" t="s">
        <v>1064</v>
      </c>
      <c r="I53" s="243" t="s">
        <v>1065</v>
      </c>
      <c r="J53" s="127"/>
    </row>
    <row r="54" spans="1:18">
      <c r="A54" s="127">
        <f>A49+1</f>
        <v>213</v>
      </c>
      <c r="B54" s="251" t="s">
        <v>462</v>
      </c>
      <c r="C54" s="268" t="s">
        <v>1066</v>
      </c>
      <c r="D54" s="267"/>
      <c r="E54" s="11"/>
      <c r="F54" s="267"/>
      <c r="G54" s="512">
        <f>'24-Allocators'!C29</f>
        <v>0.16303308552822116</v>
      </c>
      <c r="H54" s="515">
        <f>'24-Allocators'!C56</f>
        <v>0.12718032763496651</v>
      </c>
      <c r="I54" s="513">
        <f>'24-Allocators'!C24</f>
        <v>0.10327848903946341</v>
      </c>
      <c r="J54" s="127">
        <f>A54</f>
        <v>213</v>
      </c>
    </row>
    <row r="55" spans="1:18">
      <c r="B55" s="251"/>
      <c r="C55" s="255"/>
      <c r="D55" s="267"/>
      <c r="E55" s="11"/>
      <c r="F55" s="267"/>
      <c r="G55" s="26"/>
      <c r="J55" s="127"/>
    </row>
    <row r="56" spans="1:18" ht="29.25" customHeight="1">
      <c r="A56" s="127">
        <f>+A54+1</f>
        <v>214</v>
      </c>
      <c r="B56" s="258" t="s">
        <v>1067</v>
      </c>
      <c r="C56" s="153" t="str">
        <f>"(Sum Line "&amp;A37&amp;" to Line "&amp;A49&amp;") / 13"</f>
        <v>(Sum Line 200 to Line 212) / 13</v>
      </c>
      <c r="D56" s="495">
        <f t="shared" ref="D56:I56" si="6">AVERAGE(D37:D49)</f>
        <v>643064366.31461537</v>
      </c>
      <c r="E56" s="495">
        <f t="shared" si="6"/>
        <v>33433819.597692311</v>
      </c>
      <c r="F56" s="495">
        <f t="shared" si="6"/>
        <v>609630546.71692312</v>
      </c>
      <c r="G56" s="495">
        <f t="shared" si="6"/>
        <v>16563061.582307689</v>
      </c>
      <c r="H56" s="495">
        <f t="shared" si="6"/>
        <v>415637114.73615384</v>
      </c>
      <c r="I56" s="495">
        <f t="shared" si="6"/>
        <v>177430370.39846155</v>
      </c>
      <c r="J56" s="127">
        <f>A56</f>
        <v>214</v>
      </c>
      <c r="L56" s="11"/>
    </row>
    <row r="57" spans="1:18">
      <c r="A57" s="127">
        <f>A56+1</f>
        <v>215</v>
      </c>
      <c r="B57" s="251" t="s">
        <v>1068</v>
      </c>
      <c r="C57" s="18" t="str">
        <f>"Line "&amp;A54&amp;" * Line "&amp;A56&amp;""</f>
        <v>Line 213 * Line 214</v>
      </c>
      <c r="D57" s="496"/>
      <c r="E57" s="496"/>
      <c r="F57" s="496">
        <f>+G57+H57+I57</f>
        <v>73885932</v>
      </c>
      <c r="G57" s="495">
        <f>ROUND(G56*G54,0)</f>
        <v>2700327</v>
      </c>
      <c r="H57" s="495">
        <f>ROUND(H56*H54,0)</f>
        <v>52860864</v>
      </c>
      <c r="I57" s="495">
        <f>ROUND(I56*I54,0)</f>
        <v>18324741</v>
      </c>
      <c r="J57" s="127">
        <f>A57</f>
        <v>215</v>
      </c>
      <c r="L57" s="11"/>
    </row>
    <row r="58" spans="1:18">
      <c r="B58" s="251"/>
      <c r="C58" s="248"/>
      <c r="D58" s="267"/>
      <c r="E58" s="267"/>
      <c r="F58" s="267"/>
      <c r="G58" s="267"/>
      <c r="H58" s="267"/>
      <c r="I58" s="267"/>
      <c r="J58" s="127"/>
    </row>
    <row r="59" spans="1:18">
      <c r="A59" s="127">
        <f>A57+1</f>
        <v>216</v>
      </c>
      <c r="B59" s="258" t="s">
        <v>1069</v>
      </c>
      <c r="C59" s="248" t="str">
        <f>"Line "&amp;A49&amp;""</f>
        <v>Line 212</v>
      </c>
      <c r="D59" s="495">
        <f t="shared" ref="D59:I59" si="7">+D49</f>
        <v>520256194.68000007</v>
      </c>
      <c r="E59" s="495">
        <f t="shared" si="7"/>
        <v>36907971.290000007</v>
      </c>
      <c r="F59" s="495">
        <f t="shared" si="7"/>
        <v>483348223.39000005</v>
      </c>
      <c r="G59" s="495">
        <f t="shared" si="7"/>
        <v>5341192.0999999996</v>
      </c>
      <c r="H59" s="495">
        <f t="shared" si="7"/>
        <v>329276041.40999997</v>
      </c>
      <c r="I59" s="495">
        <f t="shared" si="7"/>
        <v>148730989.88</v>
      </c>
      <c r="J59" s="127">
        <f>A59</f>
        <v>216</v>
      </c>
      <c r="L59" s="11"/>
    </row>
    <row r="60" spans="1:18">
      <c r="A60" s="127">
        <f>A59+1</f>
        <v>217</v>
      </c>
      <c r="B60" s="251" t="s">
        <v>1068</v>
      </c>
      <c r="C60" s="18" t="str">
        <f>"Line "&amp;A54&amp;" * Line "&amp;A59&amp;""</f>
        <v>Line 213 * Line 216</v>
      </c>
      <c r="D60" s="495"/>
      <c r="E60" s="495"/>
      <c r="F60" s="496">
        <f>+G60+H60+I60</f>
        <v>58108938</v>
      </c>
      <c r="G60" s="495">
        <f>ROUND(G59*G54,0)</f>
        <v>870791</v>
      </c>
      <c r="H60" s="495">
        <f>ROUND(H59*H54,0)</f>
        <v>41877435</v>
      </c>
      <c r="I60" s="495">
        <f>ROUND(I59*I54,0)</f>
        <v>15360712</v>
      </c>
      <c r="J60" s="127">
        <f>A60</f>
        <v>217</v>
      </c>
      <c r="L60" s="11"/>
    </row>
    <row r="61" spans="1:18">
      <c r="A61" s="127"/>
      <c r="B61" s="258"/>
      <c r="C61" s="255"/>
      <c r="D61" s="267"/>
      <c r="E61" s="267"/>
      <c r="F61" s="267"/>
      <c r="G61" s="267"/>
      <c r="H61" s="267"/>
      <c r="I61" s="267"/>
      <c r="J61" s="127"/>
      <c r="L61" s="11"/>
    </row>
    <row r="62" spans="1:18">
      <c r="A62" s="127"/>
      <c r="B62" s="258" t="s">
        <v>306</v>
      </c>
      <c r="C62" s="255"/>
      <c r="D62" s="267"/>
      <c r="E62" s="267"/>
      <c r="F62" s="267"/>
      <c r="G62" s="267"/>
      <c r="H62" s="267"/>
      <c r="I62" s="267"/>
      <c r="J62" s="127"/>
      <c r="L62" s="11"/>
    </row>
    <row r="63" spans="1:18">
      <c r="A63" s="127"/>
      <c r="B63" s="251" t="s">
        <v>1070</v>
      </c>
      <c r="C63" s="255"/>
      <c r="D63" s="267"/>
      <c r="E63" s="267"/>
      <c r="F63" s="267"/>
      <c r="G63" s="267"/>
      <c r="H63" s="267"/>
      <c r="I63" s="267"/>
      <c r="J63" s="127"/>
      <c r="L63" s="11"/>
    </row>
    <row r="64" spans="1:18">
      <c r="A64" s="127"/>
      <c r="B64" s="251" t="s">
        <v>1071</v>
      </c>
      <c r="C64" s="255"/>
      <c r="D64" s="267"/>
      <c r="E64" s="267"/>
      <c r="F64" s="267"/>
      <c r="G64" s="267"/>
      <c r="H64" s="267"/>
      <c r="I64" s="267"/>
      <c r="J64" s="127"/>
      <c r="L64" s="11"/>
    </row>
    <row r="65" spans="1:12">
      <c r="A65" s="127"/>
      <c r="B65" s="251" t="s">
        <v>1072</v>
      </c>
      <c r="C65" s="255"/>
      <c r="D65" s="267"/>
      <c r="E65" s="267"/>
      <c r="F65" s="267"/>
      <c r="G65" s="267"/>
      <c r="H65" s="267"/>
      <c r="I65" s="267"/>
      <c r="J65" s="127"/>
      <c r="L65" s="11"/>
    </row>
    <row r="66" spans="1:12">
      <c r="A66" s="127"/>
      <c r="B66" s="251" t="s">
        <v>1073</v>
      </c>
      <c r="C66" s="255"/>
      <c r="D66" s="267"/>
      <c r="E66" s="267"/>
      <c r="F66" s="267"/>
      <c r="G66" s="267"/>
      <c r="H66" s="267"/>
      <c r="I66" s="267"/>
      <c r="J66" s="127"/>
      <c r="L66" s="11"/>
    </row>
    <row r="67" spans="1:12">
      <c r="A67" s="127"/>
      <c r="B67" s="251" t="s">
        <v>1074</v>
      </c>
      <c r="C67" s="255"/>
      <c r="D67" s="267"/>
      <c r="E67" s="267"/>
      <c r="F67" s="267"/>
      <c r="G67" s="267"/>
      <c r="H67" s="267"/>
      <c r="I67" s="267"/>
      <c r="J67" s="127"/>
      <c r="L67" s="11"/>
    </row>
    <row r="68" spans="1:12">
      <c r="A68" s="127"/>
      <c r="B68" s="251" t="s">
        <v>1075</v>
      </c>
      <c r="C68" s="255"/>
      <c r="D68" s="267"/>
      <c r="E68" s="267"/>
      <c r="F68" s="267"/>
      <c r="G68" s="267"/>
      <c r="H68" s="267"/>
      <c r="I68" s="267"/>
      <c r="J68" s="127"/>
      <c r="L68" s="11"/>
    </row>
    <row r="69" spans="1:12">
      <c r="B69" s="251" t="s">
        <v>1076</v>
      </c>
    </row>
    <row r="72" spans="1:12">
      <c r="H72" s="12"/>
    </row>
    <row r="74" spans="1:12">
      <c r="H74" s="269"/>
    </row>
  </sheetData>
  <mergeCells count="3">
    <mergeCell ref="B30:I31"/>
    <mergeCell ref="G32:I32"/>
    <mergeCell ref="G35:I35"/>
  </mergeCells>
  <printOptions horizontalCentered="1"/>
  <pageMargins left="1" right="1" top="1" bottom="1" header="0.5" footer="0.5"/>
  <pageSetup scale="47" fitToHeight="0" orientation="portrait" r:id="rId1"/>
  <headerFooter>
    <oddHeader>&amp;C&amp;"-,Bold"&amp;12Pacific Gas and Electric Company
Formula Rate Model
Schedule 13-WorkingCap&amp;"-,Regular"&amp;11</oddHeader>
  </headerFooter>
  <customProperties>
    <customPr name="_pios_id" r:id="rId2"/>
    <customPr name="EpmWorksheetKeyString_GUID" r:id="rId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3"/>
  <sheetViews>
    <sheetView view="pageBreakPreview" zoomScale="115" zoomScaleNormal="100" zoomScaleSheetLayoutView="115" workbookViewId="0">
      <selection activeCell="D58" sqref="D58"/>
    </sheetView>
  </sheetViews>
  <sheetFormatPr defaultRowHeight="15"/>
  <cols>
    <col min="1" max="1" width="30.28515625" bestFit="1" customWidth="1"/>
    <col min="2" max="2" width="100.5703125" bestFit="1" customWidth="1"/>
  </cols>
  <sheetData>
    <row r="1" spans="1:2">
      <c r="A1" s="809" t="s">
        <v>0</v>
      </c>
      <c r="B1" s="809"/>
    </row>
    <row r="2" spans="1:2">
      <c r="A2" s="809" t="s">
        <v>1</v>
      </c>
      <c r="B2" s="809"/>
    </row>
    <row r="3" spans="1:2">
      <c r="A3" s="809" t="s">
        <v>2</v>
      </c>
      <c r="B3" s="809"/>
    </row>
    <row r="4" spans="1:2">
      <c r="A4" s="809" t="s">
        <v>3</v>
      </c>
      <c r="B4" s="809"/>
    </row>
    <row r="6" spans="1:2">
      <c r="A6" s="809" t="s">
        <v>4</v>
      </c>
      <c r="B6" s="809"/>
    </row>
    <row r="8" spans="1:2">
      <c r="A8" s="4" t="s">
        <v>5</v>
      </c>
      <c r="B8" s="4" t="s">
        <v>6</v>
      </c>
    </row>
    <row r="9" spans="1:2">
      <c r="A9" t="s">
        <v>7</v>
      </c>
      <c r="B9" t="s">
        <v>8</v>
      </c>
    </row>
    <row r="10" spans="1:2">
      <c r="A10" t="s">
        <v>9</v>
      </c>
      <c r="B10" t="s">
        <v>10</v>
      </c>
    </row>
    <row r="11" spans="1:2">
      <c r="A11" t="s">
        <v>11</v>
      </c>
      <c r="B11" t="s">
        <v>12</v>
      </c>
    </row>
    <row r="12" spans="1:2">
      <c r="A12" t="s">
        <v>13</v>
      </c>
      <c r="B12" t="s">
        <v>14</v>
      </c>
    </row>
    <row r="13" spans="1:2">
      <c r="A13" t="s">
        <v>15</v>
      </c>
      <c r="B13" t="s">
        <v>16</v>
      </c>
    </row>
    <row r="14" spans="1:2">
      <c r="A14" t="s">
        <v>17</v>
      </c>
      <c r="B14" t="s">
        <v>18</v>
      </c>
    </row>
    <row r="15" spans="1:2">
      <c r="A15" t="s">
        <v>19</v>
      </c>
      <c r="B15" t="s">
        <v>20</v>
      </c>
    </row>
    <row r="16" spans="1:2">
      <c r="A16" t="s">
        <v>21</v>
      </c>
      <c r="B16" t="s">
        <v>22</v>
      </c>
    </row>
    <row r="17" spans="1:2">
      <c r="A17" t="s">
        <v>23</v>
      </c>
      <c r="B17" t="s">
        <v>24</v>
      </c>
    </row>
    <row r="18" spans="1:2">
      <c r="A18" t="s">
        <v>25</v>
      </c>
      <c r="B18" t="s">
        <v>26</v>
      </c>
    </row>
    <row r="19" spans="1:2">
      <c r="A19" t="s">
        <v>27</v>
      </c>
      <c r="B19" t="s">
        <v>28</v>
      </c>
    </row>
    <row r="20" spans="1:2">
      <c r="A20" t="s">
        <v>29</v>
      </c>
      <c r="B20" t="s">
        <v>30</v>
      </c>
    </row>
    <row r="21" spans="1:2">
      <c r="A21" t="s">
        <v>31</v>
      </c>
      <c r="B21" t="s">
        <v>32</v>
      </c>
    </row>
    <row r="22" spans="1:2">
      <c r="A22" t="s">
        <v>33</v>
      </c>
      <c r="B22" t="s">
        <v>34</v>
      </c>
    </row>
    <row r="23" spans="1:2">
      <c r="A23" t="s">
        <v>35</v>
      </c>
      <c r="B23" t="s">
        <v>36</v>
      </c>
    </row>
    <row r="24" spans="1:2">
      <c r="A24" t="s">
        <v>37</v>
      </c>
      <c r="B24" t="s">
        <v>38</v>
      </c>
    </row>
    <row r="25" spans="1:2">
      <c r="A25" t="s">
        <v>39</v>
      </c>
      <c r="B25" t="s">
        <v>40</v>
      </c>
    </row>
    <row r="26" spans="1:2">
      <c r="A26" t="s">
        <v>41</v>
      </c>
      <c r="B26" t="s">
        <v>42</v>
      </c>
    </row>
    <row r="27" spans="1:2">
      <c r="A27" t="s">
        <v>43</v>
      </c>
      <c r="B27" t="s">
        <v>44</v>
      </c>
    </row>
    <row r="28" spans="1:2">
      <c r="A28" t="s">
        <v>45</v>
      </c>
      <c r="B28" t="s">
        <v>46</v>
      </c>
    </row>
    <row r="29" spans="1:2">
      <c r="A29" t="s">
        <v>47</v>
      </c>
      <c r="B29" t="s">
        <v>48</v>
      </c>
    </row>
    <row r="30" spans="1:2">
      <c r="A30" t="s">
        <v>49</v>
      </c>
      <c r="B30" t="s">
        <v>48</v>
      </c>
    </row>
    <row r="31" spans="1:2">
      <c r="A31" t="s">
        <v>50</v>
      </c>
      <c r="B31" t="s">
        <v>51</v>
      </c>
    </row>
    <row r="32" spans="1:2">
      <c r="A32" t="s">
        <v>52</v>
      </c>
      <c r="B32" t="s">
        <v>53</v>
      </c>
    </row>
    <row r="33" spans="1:2">
      <c r="A33" t="s">
        <v>54</v>
      </c>
      <c r="B33" t="s">
        <v>55</v>
      </c>
    </row>
    <row r="34" spans="1:2">
      <c r="A34" t="s">
        <v>56</v>
      </c>
      <c r="B34" t="s">
        <v>57</v>
      </c>
    </row>
    <row r="35" spans="1:2">
      <c r="A35" t="s">
        <v>58</v>
      </c>
      <c r="B35" t="s">
        <v>59</v>
      </c>
    </row>
    <row r="36" spans="1:2">
      <c r="A36" t="s">
        <v>60</v>
      </c>
      <c r="B36" t="s">
        <v>61</v>
      </c>
    </row>
    <row r="37" spans="1:2">
      <c r="A37" t="s">
        <v>62</v>
      </c>
      <c r="B37" t="s">
        <v>63</v>
      </c>
    </row>
    <row r="38" spans="1:2">
      <c r="A38" t="s">
        <v>64</v>
      </c>
      <c r="B38" t="s">
        <v>65</v>
      </c>
    </row>
    <row r="39" spans="1:2">
      <c r="A39" t="s">
        <v>66</v>
      </c>
      <c r="B39" t="s">
        <v>67</v>
      </c>
    </row>
    <row r="40" spans="1:2">
      <c r="A40" t="s">
        <v>68</v>
      </c>
      <c r="B40" t="s">
        <v>69</v>
      </c>
    </row>
    <row r="41" spans="1:2">
      <c r="A41" t="s">
        <v>70</v>
      </c>
      <c r="B41" t="s">
        <v>71</v>
      </c>
    </row>
    <row r="42" spans="1:2">
      <c r="A42" t="s">
        <v>72</v>
      </c>
      <c r="B42" t="s">
        <v>73</v>
      </c>
    </row>
    <row r="43" spans="1:2">
      <c r="A43" t="s">
        <v>74</v>
      </c>
      <c r="B43" t="s">
        <v>75</v>
      </c>
    </row>
  </sheetData>
  <mergeCells count="5">
    <mergeCell ref="A6:B6"/>
    <mergeCell ref="A1:B1"/>
    <mergeCell ref="A2:B2"/>
    <mergeCell ref="A3:B3"/>
    <mergeCell ref="A4:B4"/>
  </mergeCells>
  <pageMargins left="0.7" right="0.7" top="0.75" bottom="0.75" header="0.3" footer="0.3"/>
  <pageSetup scale="64" orientation="portrait" r:id="rId1"/>
  <customProperties>
    <customPr name="_pios_id" r:id="rId2"/>
    <customPr name="EpmWorksheetKeyString_GUI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opLeftCell="A33" zoomScale="70" zoomScaleNormal="70" zoomScaleSheetLayoutView="70" zoomScalePageLayoutView="55" workbookViewId="0">
      <selection activeCell="I93" sqref="I93"/>
    </sheetView>
  </sheetViews>
  <sheetFormatPr defaultColWidth="9.140625" defaultRowHeight="15"/>
  <cols>
    <col min="1" max="1" width="6.7109375" bestFit="1" customWidth="1"/>
    <col min="2" max="2" width="9.5703125" customWidth="1"/>
    <col min="3" max="3" width="54.42578125" customWidth="1"/>
    <col min="4" max="4" width="25.140625" customWidth="1"/>
    <col min="5" max="5" width="28.28515625" customWidth="1"/>
    <col min="6" max="6" width="30.140625" customWidth="1"/>
    <col min="7" max="7" width="25.28515625" customWidth="1"/>
    <col min="8" max="8" width="22.28515625" customWidth="1"/>
    <col min="9" max="9" width="53.5703125" bestFit="1" customWidth="1"/>
    <col min="10" max="10" width="34.7109375" customWidth="1"/>
    <col min="11" max="11" width="19.28515625" bestFit="1" customWidth="1"/>
    <col min="12" max="12" width="15" customWidth="1"/>
    <col min="13" max="13" width="18.7109375" customWidth="1"/>
    <col min="17" max="17" width="11.42578125" bestFit="1" customWidth="1"/>
  </cols>
  <sheetData>
    <row r="1" spans="1:14">
      <c r="B1" s="2" t="s">
        <v>40</v>
      </c>
      <c r="I1" s="6"/>
      <c r="M1" s="6" t="str">
        <f>CONCATENATE("Prior Year: ",'1-BaseTRR'!$G$2)</f>
        <v>Prior Year: 2021</v>
      </c>
    </row>
    <row r="2" spans="1:14">
      <c r="B2" s="113" t="s">
        <v>131</v>
      </c>
      <c r="C2" s="270"/>
      <c r="I2" s="6"/>
      <c r="J2" s="6"/>
    </row>
    <row r="3" spans="1:14">
      <c r="B3" s="138"/>
      <c r="C3" s="175"/>
      <c r="D3" s="175"/>
    </row>
    <row r="4" spans="1:14">
      <c r="B4" s="178" t="s">
        <v>1077</v>
      </c>
      <c r="C4" s="179"/>
      <c r="D4" s="179"/>
      <c r="E4" s="47"/>
      <c r="F4" s="47"/>
      <c r="G4" s="47"/>
      <c r="H4" s="47"/>
      <c r="I4" s="47"/>
      <c r="J4" s="47"/>
      <c r="K4" s="47"/>
      <c r="L4" s="47"/>
      <c r="M4" s="47"/>
    </row>
    <row r="5" spans="1:14">
      <c r="B5" s="271" t="s">
        <v>1078</v>
      </c>
      <c r="C5" s="175"/>
      <c r="D5" s="175"/>
    </row>
    <row r="6" spans="1:14">
      <c r="B6" s="176"/>
      <c r="C6" s="118" t="s">
        <v>371</v>
      </c>
      <c r="D6" s="118" t="s">
        <v>372</v>
      </c>
      <c r="E6" s="118" t="s">
        <v>373</v>
      </c>
    </row>
    <row r="7" spans="1:14">
      <c r="C7" s="175"/>
    </row>
    <row r="8" spans="1:14">
      <c r="A8" s="115" t="s">
        <v>100</v>
      </c>
      <c r="B8" s="176"/>
      <c r="C8" s="7" t="s">
        <v>1079</v>
      </c>
      <c r="D8" s="115" t="s">
        <v>1080</v>
      </c>
      <c r="E8" s="3" t="s">
        <v>135</v>
      </c>
      <c r="N8" s="115" t="str">
        <f t="shared" ref="N8:N13" si="0">A8</f>
        <v>Line</v>
      </c>
    </row>
    <row r="9" spans="1:14">
      <c r="A9" s="127">
        <v>100</v>
      </c>
      <c r="B9" s="176"/>
      <c r="C9" s="8" t="s">
        <v>1081</v>
      </c>
      <c r="D9" s="425">
        <f>+D45</f>
        <v>429533696.00555134</v>
      </c>
      <c r="E9" s="9" t="str">
        <f>"Line "&amp;A45&amp;", Col. 2"</f>
        <v>Line 212, Col. 2</v>
      </c>
      <c r="N9" s="4">
        <f t="shared" si="0"/>
        <v>100</v>
      </c>
    </row>
    <row r="10" spans="1:14">
      <c r="A10" s="127">
        <f>A9+1</f>
        <v>101</v>
      </c>
      <c r="B10" s="176"/>
      <c r="C10" s="8" t="s">
        <v>1082</v>
      </c>
      <c r="D10" s="425">
        <f>+D64</f>
        <v>-1934015684.4627759</v>
      </c>
      <c r="E10" s="9" t="str">
        <f>"Line "&amp;A64&amp;", Col. 2"</f>
        <v>Line 309, Col. 2</v>
      </c>
      <c r="N10" s="4">
        <f t="shared" si="0"/>
        <v>101</v>
      </c>
    </row>
    <row r="11" spans="1:14">
      <c r="A11" s="127">
        <f>A10+1</f>
        <v>102</v>
      </c>
      <c r="B11" s="176"/>
      <c r="C11" s="8" t="s">
        <v>1083</v>
      </c>
      <c r="D11" s="425">
        <f>+D83</f>
        <v>0</v>
      </c>
      <c r="E11" s="9" t="str">
        <f>"Line "&amp;A83&amp;", Col. 2"</f>
        <v>Line 406, Col. 2</v>
      </c>
      <c r="I11" s="241"/>
      <c r="N11" s="4">
        <f t="shared" si="0"/>
        <v>102</v>
      </c>
    </row>
    <row r="12" spans="1:14">
      <c r="A12" s="127">
        <f>A11+1</f>
        <v>103</v>
      </c>
      <c r="B12" s="176"/>
      <c r="C12" s="8" t="s">
        <v>1084</v>
      </c>
      <c r="D12" s="425">
        <f>+D99</f>
        <v>-4246951.5934927315</v>
      </c>
      <c r="E12" s="9" t="str">
        <f>"Line "&amp;A99&amp;", Col. 2"</f>
        <v>Line 505, Col. 2</v>
      </c>
      <c r="I12" s="241"/>
      <c r="N12" s="4">
        <f t="shared" si="0"/>
        <v>103</v>
      </c>
    </row>
    <row r="13" spans="1:14">
      <c r="A13" s="127">
        <f>A12+1</f>
        <v>104</v>
      </c>
      <c r="B13" s="176"/>
      <c r="C13" s="8" t="s">
        <v>1085</v>
      </c>
      <c r="D13" s="426">
        <f>SUM(D9:D12)</f>
        <v>-1508728940.0507174</v>
      </c>
      <c r="E13" s="272" t="str">
        <f>"Sum of Lines "&amp;A9&amp;" to "&amp;A12&amp;""</f>
        <v>Sum of Lines 100 to 103</v>
      </c>
      <c r="N13" s="4">
        <f t="shared" si="0"/>
        <v>104</v>
      </c>
    </row>
    <row r="14" spans="1:14">
      <c r="A14" s="127"/>
      <c r="B14" s="176"/>
      <c r="G14" s="273"/>
      <c r="H14" s="26"/>
      <c r="I14" s="241"/>
      <c r="N14" s="4"/>
    </row>
    <row r="15" spans="1:14">
      <c r="A15" s="127"/>
      <c r="B15" s="271" t="s">
        <v>1086</v>
      </c>
      <c r="G15" s="241"/>
      <c r="H15" s="274"/>
      <c r="I15" s="241"/>
      <c r="N15" s="4"/>
    </row>
    <row r="16" spans="1:14">
      <c r="A16" s="127"/>
      <c r="B16" s="176"/>
      <c r="D16" s="115" t="s">
        <v>1087</v>
      </c>
      <c r="E16" s="3" t="s">
        <v>135</v>
      </c>
      <c r="G16" s="275"/>
      <c r="H16" s="241"/>
      <c r="I16" s="241"/>
      <c r="N16" s="4"/>
    </row>
    <row r="17" spans="1:14" ht="15.75" thickBot="1">
      <c r="A17" s="127">
        <f>A13+1</f>
        <v>105</v>
      </c>
      <c r="B17" s="176"/>
      <c r="C17" s="8" t="s">
        <v>1085</v>
      </c>
      <c r="D17" s="804">
        <v>-1470878157.7303393</v>
      </c>
      <c r="E17" s="26" t="s">
        <v>1088</v>
      </c>
      <c r="G17" s="241"/>
      <c r="H17" s="241"/>
      <c r="I17" s="241"/>
      <c r="N17" s="4">
        <f>A17</f>
        <v>105</v>
      </c>
    </row>
    <row r="18" spans="1:14" ht="15.75" thickTop="1">
      <c r="A18" s="127"/>
      <c r="B18" s="176"/>
      <c r="F18" s="241"/>
      <c r="G18" s="241"/>
      <c r="H18" s="241"/>
      <c r="I18" s="241"/>
      <c r="N18" s="4"/>
    </row>
    <row r="19" spans="1:14">
      <c r="A19" s="127"/>
      <c r="B19" s="271" t="s">
        <v>1089</v>
      </c>
      <c r="F19" s="241"/>
      <c r="G19" s="241"/>
      <c r="H19" s="241"/>
      <c r="I19" s="241"/>
      <c r="N19" s="4"/>
    </row>
    <row r="20" spans="1:14">
      <c r="A20" s="127"/>
      <c r="B20" s="175"/>
      <c r="D20" s="115" t="s">
        <v>1090</v>
      </c>
      <c r="E20" s="3" t="s">
        <v>135</v>
      </c>
      <c r="G20" s="275"/>
      <c r="N20" s="4"/>
    </row>
    <row r="21" spans="1:14">
      <c r="A21" s="127">
        <f>A17+1</f>
        <v>106</v>
      </c>
      <c r="B21" s="175"/>
      <c r="C21" s="195" t="s">
        <v>1091</v>
      </c>
      <c r="D21" s="440">
        <f>J124</f>
        <v>-1488412230.1796651</v>
      </c>
      <c r="E21" s="9" t="str">
        <f>"Line "&amp;A124&amp;", Col. 8"</f>
        <v>Line 614, Col. 8</v>
      </c>
      <c r="G21" s="241"/>
      <c r="N21" s="4">
        <f>A21</f>
        <v>106</v>
      </c>
    </row>
    <row r="22" spans="1:14">
      <c r="A22" s="127">
        <f>+A21+1</f>
        <v>107</v>
      </c>
      <c r="B22" s="175"/>
      <c r="C22" s="195" t="s">
        <v>1092</v>
      </c>
      <c r="D22" s="805">
        <v>0</v>
      </c>
      <c r="E22" s="9" t="s">
        <v>1093</v>
      </c>
      <c r="G22" s="241"/>
      <c r="N22" s="4">
        <f t="shared" ref="N22:N23" si="1">A22</f>
        <v>107</v>
      </c>
    </row>
    <row r="23" spans="1:14" ht="15.75" thickBot="1">
      <c r="A23" s="127">
        <f>+A22+1</f>
        <v>108</v>
      </c>
      <c r="B23" s="175"/>
      <c r="C23" s="195" t="s">
        <v>1094</v>
      </c>
      <c r="D23" s="674">
        <f>SUM(D21:D22)</f>
        <v>-1488412230.1796651</v>
      </c>
      <c r="E23" s="9" t="s">
        <v>1095</v>
      </c>
      <c r="G23" s="241"/>
      <c r="I23" s="24"/>
      <c r="N23" s="4">
        <f t="shared" si="1"/>
        <v>108</v>
      </c>
    </row>
    <row r="24" spans="1:14" ht="15.75" thickTop="1">
      <c r="A24" s="127"/>
      <c r="B24" s="175"/>
      <c r="C24" s="195"/>
      <c r="D24" s="440"/>
      <c r="E24" s="9"/>
      <c r="G24" s="241"/>
      <c r="N24" s="4"/>
    </row>
    <row r="25" spans="1:14">
      <c r="A25" s="127"/>
      <c r="B25" s="175"/>
      <c r="C25" s="195"/>
      <c r="D25" s="440"/>
      <c r="E25" s="9"/>
      <c r="G25" s="241"/>
      <c r="N25" s="4"/>
    </row>
    <row r="26" spans="1:14">
      <c r="A26" s="127"/>
      <c r="B26" s="175"/>
      <c r="C26" s="276"/>
      <c r="D26" s="277"/>
      <c r="N26" s="4"/>
    </row>
    <row r="27" spans="1:14">
      <c r="A27" s="127"/>
      <c r="B27" s="178" t="s">
        <v>1096</v>
      </c>
      <c r="C27" s="278"/>
      <c r="D27" s="279"/>
      <c r="E27" s="47"/>
      <c r="F27" s="47"/>
      <c r="G27" s="47"/>
      <c r="H27" s="47"/>
      <c r="I27" s="47"/>
      <c r="J27" s="47"/>
      <c r="K27" s="47"/>
      <c r="L27" s="47"/>
      <c r="M27" s="47"/>
      <c r="N27" s="21"/>
    </row>
    <row r="28" spans="1:14">
      <c r="A28" s="127"/>
      <c r="B28" s="176"/>
      <c r="C28" s="118" t="s">
        <v>371</v>
      </c>
      <c r="D28" s="118" t="s">
        <v>372</v>
      </c>
      <c r="E28" s="118" t="s">
        <v>373</v>
      </c>
      <c r="F28" s="118" t="s">
        <v>374</v>
      </c>
      <c r="G28" s="118" t="s">
        <v>375</v>
      </c>
      <c r="H28" s="118" t="s">
        <v>376</v>
      </c>
      <c r="I28" s="118" t="s">
        <v>377</v>
      </c>
      <c r="N28" s="21"/>
    </row>
    <row r="29" spans="1:14">
      <c r="A29" s="18"/>
      <c r="B29" s="181"/>
      <c r="C29" s="181"/>
      <c r="D29" s="181" t="s">
        <v>1097</v>
      </c>
      <c r="E29" s="181" t="s">
        <v>1098</v>
      </c>
      <c r="F29" s="181"/>
      <c r="G29" s="181" t="s">
        <v>853</v>
      </c>
      <c r="H29" s="181" t="s">
        <v>1099</v>
      </c>
      <c r="I29" s="280"/>
      <c r="N29" s="21"/>
    </row>
    <row r="30" spans="1:14">
      <c r="A30" s="115" t="s">
        <v>100</v>
      </c>
      <c r="B30" s="281" t="s">
        <v>1100</v>
      </c>
      <c r="C30" s="281" t="s">
        <v>1101</v>
      </c>
      <c r="D30" s="281" t="s">
        <v>1102</v>
      </c>
      <c r="E30" s="281" t="s">
        <v>1103</v>
      </c>
      <c r="F30" s="281" t="s">
        <v>1104</v>
      </c>
      <c r="G30" s="281" t="s">
        <v>1105</v>
      </c>
      <c r="H30" s="281" t="s">
        <v>1106</v>
      </c>
      <c r="I30" s="281" t="s">
        <v>6</v>
      </c>
      <c r="J30" s="181" t="s">
        <v>594</v>
      </c>
      <c r="N30" s="115" t="str">
        <f>A30</f>
        <v>Line</v>
      </c>
    </row>
    <row r="31" spans="1:14">
      <c r="A31" s="127"/>
      <c r="B31" s="175" t="s">
        <v>1107</v>
      </c>
      <c r="C31" s="175"/>
      <c r="D31" s="175"/>
      <c r="N31" s="4"/>
    </row>
    <row r="32" spans="1:14">
      <c r="A32" s="127">
        <v>200</v>
      </c>
      <c r="B32" s="282">
        <v>190</v>
      </c>
      <c r="C32" s="270" t="s">
        <v>1108</v>
      </c>
      <c r="D32" s="638">
        <f t="shared" ref="D32:D40" si="2">SUM(E32:H32)</f>
        <v>-219094425</v>
      </c>
      <c r="E32" s="792">
        <v>-219094425</v>
      </c>
      <c r="F32" s="351"/>
      <c r="G32" s="428"/>
      <c r="H32" s="428"/>
      <c r="I32" s="283" t="s">
        <v>1109</v>
      </c>
      <c r="J32" s="26" t="s">
        <v>1110</v>
      </c>
      <c r="N32" s="4">
        <f t="shared" ref="N32:N41" si="3">A32</f>
        <v>200</v>
      </c>
    </row>
    <row r="33" spans="1:14">
      <c r="A33" s="127">
        <f t="shared" ref="A33:A41" si="4">A32+1</f>
        <v>201</v>
      </c>
      <c r="B33" s="282">
        <v>190</v>
      </c>
      <c r="C33" s="270" t="s">
        <v>1111</v>
      </c>
      <c r="D33" s="638">
        <f t="shared" si="2"/>
        <v>72055771</v>
      </c>
      <c r="E33" s="792">
        <v>72055771</v>
      </c>
      <c r="F33" s="351"/>
      <c r="G33" s="428"/>
      <c r="H33" s="428"/>
      <c r="I33" s="283" t="s">
        <v>1109</v>
      </c>
      <c r="J33" s="26" t="s">
        <v>1112</v>
      </c>
      <c r="N33" s="4">
        <f t="shared" si="3"/>
        <v>201</v>
      </c>
    </row>
    <row r="34" spans="1:14">
      <c r="A34" s="127">
        <f t="shared" si="4"/>
        <v>202</v>
      </c>
      <c r="B34" s="282">
        <v>190</v>
      </c>
      <c r="C34" s="270" t="s">
        <v>1113</v>
      </c>
      <c r="D34" s="638">
        <f t="shared" si="2"/>
        <v>46370272</v>
      </c>
      <c r="E34" s="792">
        <v>13693729</v>
      </c>
      <c r="F34" s="351"/>
      <c r="G34" s="428"/>
      <c r="H34" s="793">
        <v>32676543</v>
      </c>
      <c r="I34" s="283" t="s">
        <v>1114</v>
      </c>
      <c r="J34" s="26" t="s">
        <v>1115</v>
      </c>
      <c r="N34" s="4">
        <f t="shared" si="3"/>
        <v>202</v>
      </c>
    </row>
    <row r="35" spans="1:14">
      <c r="A35" s="127">
        <f t="shared" si="4"/>
        <v>203</v>
      </c>
      <c r="B35" s="282">
        <v>190</v>
      </c>
      <c r="C35" s="270" t="s">
        <v>1116</v>
      </c>
      <c r="D35" s="638">
        <f t="shared" si="2"/>
        <v>57294848</v>
      </c>
      <c r="E35" s="792">
        <v>57294848</v>
      </c>
      <c r="F35" s="428"/>
      <c r="G35" s="428"/>
      <c r="H35" s="428"/>
      <c r="I35" s="283" t="s">
        <v>1109</v>
      </c>
      <c r="J35" s="26" t="s">
        <v>1117</v>
      </c>
      <c r="N35" s="4">
        <f t="shared" si="3"/>
        <v>203</v>
      </c>
    </row>
    <row r="36" spans="1:14">
      <c r="A36" s="127">
        <f t="shared" si="4"/>
        <v>204</v>
      </c>
      <c r="B36" s="282">
        <v>190</v>
      </c>
      <c r="C36" s="270" t="s">
        <v>1118</v>
      </c>
      <c r="D36" s="638">
        <f t="shared" si="2"/>
        <v>1559521843</v>
      </c>
      <c r="E36" s="792">
        <v>1559521843</v>
      </c>
      <c r="F36" s="351"/>
      <c r="G36" s="428"/>
      <c r="H36" s="428"/>
      <c r="I36" s="283" t="s">
        <v>1109</v>
      </c>
      <c r="J36" s="26" t="s">
        <v>1119</v>
      </c>
      <c r="N36" s="4">
        <f t="shared" si="3"/>
        <v>204</v>
      </c>
    </row>
    <row r="37" spans="1:14" ht="15.75" customHeight="1">
      <c r="A37" s="127">
        <f t="shared" si="4"/>
        <v>205</v>
      </c>
      <c r="B37" s="282">
        <v>190</v>
      </c>
      <c r="C37" s="270" t="s">
        <v>1120</v>
      </c>
      <c r="D37" s="638">
        <f t="shared" si="2"/>
        <v>-244848194</v>
      </c>
      <c r="E37" s="427">
        <v>-275368549</v>
      </c>
      <c r="F37" s="351"/>
      <c r="G37" s="428">
        <v>30520355</v>
      </c>
      <c r="H37" s="428"/>
      <c r="I37" s="283" t="s">
        <v>1114</v>
      </c>
      <c r="J37" s="26" t="s">
        <v>1121</v>
      </c>
      <c r="N37" s="4">
        <f t="shared" si="3"/>
        <v>205</v>
      </c>
    </row>
    <row r="38" spans="1:14">
      <c r="A38" s="127">
        <f t="shared" si="4"/>
        <v>206</v>
      </c>
      <c r="B38" s="282">
        <v>190</v>
      </c>
      <c r="C38" s="270" t="s">
        <v>1122</v>
      </c>
      <c r="D38" s="638">
        <f t="shared" si="2"/>
        <v>5694993263</v>
      </c>
      <c r="E38" s="792">
        <v>5289266429.8276653</v>
      </c>
      <c r="F38" s="428">
        <v>405726833.17233497</v>
      </c>
      <c r="G38" s="428"/>
      <c r="H38" s="428"/>
      <c r="I38" s="283" t="s">
        <v>1123</v>
      </c>
      <c r="J38" s="26" t="s">
        <v>1124</v>
      </c>
      <c r="N38" s="4">
        <f t="shared" si="3"/>
        <v>206</v>
      </c>
    </row>
    <row r="39" spans="1:14">
      <c r="A39" s="127">
        <f t="shared" si="4"/>
        <v>207</v>
      </c>
      <c r="B39" s="282">
        <v>190</v>
      </c>
      <c r="C39" s="270" t="s">
        <v>1125</v>
      </c>
      <c r="D39" s="638">
        <f t="shared" si="2"/>
        <v>0</v>
      </c>
      <c r="E39" s="427">
        <v>0</v>
      </c>
      <c r="F39" s="351"/>
      <c r="G39" s="428"/>
      <c r="H39" s="428"/>
      <c r="I39" s="283" t="s">
        <v>1109</v>
      </c>
      <c r="J39" s="26" t="s">
        <v>1126</v>
      </c>
      <c r="N39" s="4">
        <f t="shared" si="3"/>
        <v>207</v>
      </c>
    </row>
    <row r="40" spans="1:14">
      <c r="A40" s="127">
        <f t="shared" si="4"/>
        <v>208</v>
      </c>
      <c r="B40" s="282">
        <v>190</v>
      </c>
      <c r="C40" s="270" t="s">
        <v>1127</v>
      </c>
      <c r="D40" s="638">
        <f t="shared" si="2"/>
        <v>-71624223</v>
      </c>
      <c r="E40" s="792">
        <v>-18188079</v>
      </c>
      <c r="F40" s="794"/>
      <c r="G40" s="793">
        <v>-53436144</v>
      </c>
      <c r="H40" s="428"/>
      <c r="I40" s="283" t="s">
        <v>1114</v>
      </c>
      <c r="J40" s="26" t="s">
        <v>1128</v>
      </c>
      <c r="N40" s="4">
        <f t="shared" si="3"/>
        <v>208</v>
      </c>
    </row>
    <row r="41" spans="1:14">
      <c r="A41" s="127">
        <f t="shared" si="4"/>
        <v>209</v>
      </c>
      <c r="B41" s="282">
        <v>190</v>
      </c>
      <c r="C41" s="270" t="s">
        <v>381</v>
      </c>
      <c r="D41" s="638">
        <f>SUM(E41:H41)</f>
        <v>1805629311</v>
      </c>
      <c r="E41" s="792">
        <v>1781596648.9797633</v>
      </c>
      <c r="F41" s="351">
        <v>24032662.020236846</v>
      </c>
      <c r="G41" s="795"/>
      <c r="H41" s="428"/>
      <c r="I41" s="283" t="s">
        <v>1114</v>
      </c>
      <c r="J41" s="26" t="s">
        <v>1129</v>
      </c>
      <c r="N41" s="4">
        <f t="shared" si="3"/>
        <v>209</v>
      </c>
    </row>
    <row r="42" spans="1:14">
      <c r="A42" s="127"/>
      <c r="B42" s="284"/>
      <c r="C42" s="175"/>
      <c r="D42" s="183"/>
      <c r="E42" s="11"/>
      <c r="F42" s="11"/>
      <c r="G42" s="11"/>
      <c r="H42" s="11"/>
      <c r="I42" s="3"/>
      <c r="N42" s="4"/>
    </row>
    <row r="43" spans="1:14">
      <c r="A43" s="127">
        <f>+A41+1</f>
        <v>210</v>
      </c>
      <c r="B43" s="175"/>
      <c r="C43" s="175" t="s">
        <v>1130</v>
      </c>
      <c r="D43" s="429">
        <f>SUM(D32:D41)</f>
        <v>8700298466</v>
      </c>
      <c r="E43" s="429">
        <f>SUM(E32:E41)</f>
        <v>8260778216.8074284</v>
      </c>
      <c r="F43" s="430">
        <f>SUM(F32:F41)</f>
        <v>429759495.19257182</v>
      </c>
      <c r="G43" s="430">
        <f>SUM(G32:G41)</f>
        <v>-22915789</v>
      </c>
      <c r="H43" s="430">
        <f>SUM(H32:H41)</f>
        <v>32676543</v>
      </c>
      <c r="I43" s="26" t="str">
        <f>"Sum of Above Lines beginning on Line "&amp;A32&amp;""</f>
        <v>Sum of Above Lines beginning on Line 200</v>
      </c>
      <c r="N43" s="4">
        <f>A43</f>
        <v>210</v>
      </c>
    </row>
    <row r="44" spans="1:14">
      <c r="A44" s="127">
        <f>A43+1</f>
        <v>211</v>
      </c>
      <c r="B44" s="175"/>
      <c r="C44" s="175" t="s">
        <v>1131</v>
      </c>
      <c r="D44" s="286"/>
      <c r="E44" s="286">
        <f>+D48-D43</f>
        <v>0</v>
      </c>
      <c r="F44" s="286"/>
      <c r="G44" s="308">
        <f>'24-Allocators'!C33</f>
        <v>0.21932528287670497</v>
      </c>
      <c r="H44" s="308">
        <f>'24-Allocators'!C23</f>
        <v>0.14690087374748809</v>
      </c>
      <c r="I44" s="287" t="s">
        <v>1132</v>
      </c>
      <c r="N44" s="4">
        <f>A44</f>
        <v>211</v>
      </c>
    </row>
    <row r="45" spans="1:14">
      <c r="A45" s="127">
        <f>+A44+1</f>
        <v>212</v>
      </c>
      <c r="B45" s="175"/>
      <c r="C45" s="176" t="s">
        <v>1133</v>
      </c>
      <c r="D45" s="550">
        <f>SUM(F45:H45)</f>
        <v>429533696.00555134</v>
      </c>
      <c r="E45" s="430"/>
      <c r="F45" s="431">
        <f>+F43</f>
        <v>429759495.19257182</v>
      </c>
      <c r="G45" s="431">
        <f>+G43*G44</f>
        <v>-5026011.9047678839</v>
      </c>
      <c r="H45" s="431">
        <f>+H43*H44</f>
        <v>4800212.7177473661</v>
      </c>
      <c r="I45" s="289" t="str">
        <f>CONCATENATE("Line ",A43," * ","Line ",A44," for Cols 5 and 6")</f>
        <v>Line 210 * Line 211 for Cols 5 and 6</v>
      </c>
      <c r="N45" s="4">
        <f>A45</f>
        <v>212</v>
      </c>
    </row>
    <row r="46" spans="1:14">
      <c r="A46" s="127"/>
      <c r="B46" s="175"/>
      <c r="C46" s="290" t="s">
        <v>1134</v>
      </c>
      <c r="D46" s="286"/>
      <c r="E46" s="286"/>
      <c r="F46" s="286"/>
      <c r="G46" s="286"/>
      <c r="H46" s="286"/>
      <c r="I46" s="289"/>
      <c r="N46" s="4"/>
    </row>
    <row r="47" spans="1:14">
      <c r="A47" s="127"/>
      <c r="B47" s="175"/>
      <c r="C47" s="175"/>
      <c r="D47" s="285"/>
      <c r="E47" s="286"/>
      <c r="F47" s="286"/>
      <c r="G47" s="286"/>
      <c r="H47" s="286"/>
      <c r="I47" s="289"/>
      <c r="N47" s="4"/>
    </row>
    <row r="48" spans="1:14">
      <c r="A48" s="127">
        <f>+A45+1</f>
        <v>213</v>
      </c>
      <c r="B48" s="175"/>
      <c r="C48" s="175" t="s">
        <v>1135</v>
      </c>
      <c r="D48" s="791">
        <v>8700298466</v>
      </c>
      <c r="E48" s="291" t="str">
        <f>CONCATENATE("Must match amount on Line ",A43," ",D28)</f>
        <v>Must match amount on Line 210 Col 2</v>
      </c>
      <c r="G48" s="286"/>
      <c r="H48" s="286"/>
      <c r="J48" s="289" t="s">
        <v>1136</v>
      </c>
      <c r="N48" s="4">
        <f>A48</f>
        <v>213</v>
      </c>
    </row>
    <row r="49" spans="1:14">
      <c r="A49" s="127"/>
      <c r="B49" s="175"/>
      <c r="C49" s="175"/>
      <c r="D49" s="292"/>
      <c r="E49" s="292"/>
      <c r="F49" s="292"/>
      <c r="G49" s="292"/>
      <c r="H49" s="292"/>
      <c r="I49" s="236"/>
      <c r="N49" s="4"/>
    </row>
    <row r="50" spans="1:14">
      <c r="A50" s="18"/>
      <c r="B50" s="178" t="s">
        <v>1137</v>
      </c>
      <c r="C50" s="293"/>
      <c r="D50" s="294"/>
      <c r="E50" s="47"/>
      <c r="F50" s="47"/>
      <c r="G50" s="47"/>
      <c r="H50" s="47"/>
      <c r="I50" s="47"/>
      <c r="J50" s="47"/>
      <c r="K50" s="47"/>
      <c r="L50" s="47"/>
      <c r="M50" s="47"/>
      <c r="N50" s="4"/>
    </row>
    <row r="51" spans="1:14">
      <c r="A51" s="18"/>
      <c r="C51" s="118" t="s">
        <v>371</v>
      </c>
      <c r="D51" s="118" t="s">
        <v>372</v>
      </c>
      <c r="E51" s="118" t="s">
        <v>373</v>
      </c>
      <c r="F51" s="118" t="s">
        <v>374</v>
      </c>
      <c r="G51" s="118" t="s">
        <v>375</v>
      </c>
      <c r="H51" s="118" t="s">
        <v>376</v>
      </c>
      <c r="I51" s="118" t="s">
        <v>377</v>
      </c>
      <c r="N51" s="4"/>
    </row>
    <row r="52" spans="1:14">
      <c r="A52" s="18"/>
      <c r="B52" s="181"/>
      <c r="C52" s="181"/>
      <c r="D52" s="181" t="s">
        <v>1097</v>
      </c>
      <c r="E52" s="181" t="s">
        <v>1098</v>
      </c>
      <c r="F52" s="181"/>
      <c r="G52" s="181" t="s">
        <v>1138</v>
      </c>
      <c r="H52" s="181" t="s">
        <v>1139</v>
      </c>
      <c r="I52" s="280"/>
      <c r="N52" s="4"/>
    </row>
    <row r="53" spans="1:14">
      <c r="A53" s="115" t="s">
        <v>100</v>
      </c>
      <c r="B53" s="281" t="s">
        <v>1140</v>
      </c>
      <c r="C53" s="281" t="s">
        <v>1101</v>
      </c>
      <c r="D53" s="281" t="s">
        <v>1102</v>
      </c>
      <c r="E53" s="281" t="s">
        <v>1103</v>
      </c>
      <c r="F53" s="281" t="s">
        <v>1104</v>
      </c>
      <c r="G53" s="281" t="s">
        <v>1105</v>
      </c>
      <c r="H53" s="281" t="s">
        <v>1106</v>
      </c>
      <c r="I53" s="281" t="s">
        <v>6</v>
      </c>
      <c r="N53" s="115" t="str">
        <f t="shared" ref="N53:N60" si="5">A53</f>
        <v>Line</v>
      </c>
    </row>
    <row r="54" spans="1:14">
      <c r="A54" s="127">
        <v>300</v>
      </c>
      <c r="B54" s="295">
        <v>282</v>
      </c>
      <c r="C54" s="87" t="s">
        <v>1141</v>
      </c>
      <c r="D54" s="639">
        <f t="shared" ref="D54:D60" si="6">SUM(E54:H54)</f>
        <v>-1950960688</v>
      </c>
      <c r="E54" s="428"/>
      <c r="F54" s="796">
        <v>-1950960688</v>
      </c>
      <c r="G54" s="428"/>
      <c r="H54" s="428"/>
      <c r="I54" s="283" t="s">
        <v>1123</v>
      </c>
      <c r="J54" s="26" t="s">
        <v>1142</v>
      </c>
      <c r="N54" s="4">
        <f t="shared" si="5"/>
        <v>300</v>
      </c>
    </row>
    <row r="55" spans="1:14">
      <c r="A55" s="127">
        <f t="shared" ref="A55:A60" si="7">A54+1</f>
        <v>301</v>
      </c>
      <c r="B55" s="295">
        <v>282</v>
      </c>
      <c r="C55" s="87" t="s">
        <v>1143</v>
      </c>
      <c r="D55" s="639">
        <f t="shared" si="6"/>
        <v>-7380974700</v>
      </c>
      <c r="E55" s="796">
        <v>-7380974700</v>
      </c>
      <c r="F55" s="428"/>
      <c r="G55" s="428"/>
      <c r="H55" s="428"/>
      <c r="I55" s="283" t="s">
        <v>1144</v>
      </c>
      <c r="J55" s="26"/>
      <c r="N55" s="4">
        <f t="shared" si="5"/>
        <v>301</v>
      </c>
    </row>
    <row r="56" spans="1:14">
      <c r="A56" s="127">
        <f t="shared" si="7"/>
        <v>302</v>
      </c>
      <c r="B56" s="295">
        <v>282</v>
      </c>
      <c r="C56" s="87" t="s">
        <v>1145</v>
      </c>
      <c r="D56" s="639">
        <f t="shared" si="6"/>
        <v>-481179946</v>
      </c>
      <c r="E56" s="428"/>
      <c r="F56" s="428"/>
      <c r="G56" s="796">
        <v>-481179946</v>
      </c>
      <c r="H56" s="428"/>
      <c r="I56" s="283" t="s">
        <v>1146</v>
      </c>
      <c r="J56" s="26" t="s">
        <v>1147</v>
      </c>
      <c r="N56" s="4">
        <f t="shared" si="5"/>
        <v>302</v>
      </c>
    </row>
    <row r="57" spans="1:14">
      <c r="A57" s="127">
        <f t="shared" si="7"/>
        <v>303</v>
      </c>
      <c r="B57" s="295"/>
      <c r="C57" s="87"/>
      <c r="D57" s="639">
        <f t="shared" si="6"/>
        <v>0</v>
      </c>
      <c r="E57" s="428"/>
      <c r="F57" s="428"/>
      <c r="G57" s="428"/>
      <c r="H57" s="428"/>
      <c r="I57" s="283"/>
      <c r="J57" s="26"/>
      <c r="N57" s="4">
        <f t="shared" si="5"/>
        <v>303</v>
      </c>
    </row>
    <row r="58" spans="1:14">
      <c r="A58" s="127">
        <f t="shared" si="7"/>
        <v>304</v>
      </c>
      <c r="B58" s="295"/>
      <c r="C58" s="87"/>
      <c r="D58" s="639">
        <f t="shared" si="6"/>
        <v>0</v>
      </c>
      <c r="E58" s="428"/>
      <c r="F58" s="428"/>
      <c r="G58" s="428"/>
      <c r="H58" s="428"/>
      <c r="I58" s="283"/>
      <c r="J58" s="26"/>
      <c r="N58" s="4">
        <f t="shared" si="5"/>
        <v>304</v>
      </c>
    </row>
    <row r="59" spans="1:14">
      <c r="A59" s="127">
        <f t="shared" si="7"/>
        <v>305</v>
      </c>
      <c r="B59" s="295"/>
      <c r="C59" s="87"/>
      <c r="D59" s="639">
        <f t="shared" si="6"/>
        <v>0</v>
      </c>
      <c r="E59" s="428"/>
      <c r="F59" s="428"/>
      <c r="G59" s="428"/>
      <c r="H59" s="428"/>
      <c r="I59" s="283"/>
      <c r="J59" s="26"/>
      <c r="N59" s="4">
        <f t="shared" si="5"/>
        <v>305</v>
      </c>
    </row>
    <row r="60" spans="1:14">
      <c r="A60" s="127">
        <f t="shared" si="7"/>
        <v>306</v>
      </c>
      <c r="B60" s="282"/>
      <c r="C60" s="270"/>
      <c r="D60" s="639">
        <f t="shared" si="6"/>
        <v>0</v>
      </c>
      <c r="E60" s="351"/>
      <c r="F60" s="351"/>
      <c r="G60" s="351"/>
      <c r="H60" s="351"/>
      <c r="I60" s="42"/>
      <c r="N60" s="4">
        <f t="shared" si="5"/>
        <v>306</v>
      </c>
    </row>
    <row r="61" spans="1:14">
      <c r="A61" s="127"/>
      <c r="B61" s="136"/>
      <c r="C61" s="8"/>
      <c r="D61" s="285"/>
      <c r="E61" s="11"/>
      <c r="F61" s="11"/>
      <c r="G61" s="11"/>
      <c r="H61" s="11"/>
      <c r="N61" s="4"/>
    </row>
    <row r="62" spans="1:14">
      <c r="A62" s="127">
        <f>+A60+1</f>
        <v>307</v>
      </c>
      <c r="B62" s="18"/>
      <c r="C62" s="8" t="s">
        <v>1148</v>
      </c>
      <c r="D62" s="430">
        <f>SUM(D54:D60)</f>
        <v>-9813115334</v>
      </c>
      <c r="E62" s="430">
        <f>SUM(E54:E60)</f>
        <v>-7380974700</v>
      </c>
      <c r="F62" s="430">
        <f>SUM(F54:F60)</f>
        <v>-1950960688</v>
      </c>
      <c r="G62" s="430">
        <f>SUM(G54:G60)</f>
        <v>-481179946</v>
      </c>
      <c r="H62" s="430">
        <f>SUM(H54:H60)</f>
        <v>0</v>
      </c>
      <c r="I62" s="26" t="str">
        <f>"Sum of Above Lines beginning on Line "&amp;A54&amp;""</f>
        <v>Sum of Above Lines beginning on Line 300</v>
      </c>
      <c r="N62" s="4">
        <f>A62</f>
        <v>307</v>
      </c>
    </row>
    <row r="63" spans="1:14">
      <c r="A63" s="127">
        <f>+A62+1</f>
        <v>308</v>
      </c>
      <c r="B63" s="175"/>
      <c r="C63" s="175" t="s">
        <v>1131</v>
      </c>
      <c r="D63" s="286"/>
      <c r="E63" s="286"/>
      <c r="F63" s="229">
        <f>+'24-Allocators'!C37</f>
        <v>0.951104471035909</v>
      </c>
      <c r="G63" s="308">
        <f>'24-Allocators'!$C$29</f>
        <v>0.16303308552822116</v>
      </c>
      <c r="H63" s="308">
        <f>'24-Allocators'!$C$24</f>
        <v>0.10327848903946341</v>
      </c>
      <c r="I63" s="287" t="s">
        <v>1149</v>
      </c>
      <c r="N63" s="4">
        <f>A63</f>
        <v>308</v>
      </c>
    </row>
    <row r="64" spans="1:14">
      <c r="A64" s="127">
        <f>+A63+1</f>
        <v>309</v>
      </c>
      <c r="B64" s="175"/>
      <c r="C64" s="176" t="s">
        <v>1150</v>
      </c>
      <c r="D64" s="550">
        <f>SUM(F64:H64)</f>
        <v>-1934015684.4627759</v>
      </c>
      <c r="E64" s="433"/>
      <c r="F64" s="441">
        <f>+F62*F63</f>
        <v>-1855567433.1720932</v>
      </c>
      <c r="G64" s="431">
        <f>+G62*G63</f>
        <v>-78448251.290682837</v>
      </c>
      <c r="H64" s="431">
        <f>+H62*H63</f>
        <v>0</v>
      </c>
      <c r="I64" s="289" t="str">
        <f>CONCATENATE("Line ",A62," * ","Line ",A63," for Cols 4 to 6")</f>
        <v>Line 307 * Line 308 for Cols 4 to 6</v>
      </c>
      <c r="N64" s="4">
        <f>A64</f>
        <v>309</v>
      </c>
    </row>
    <row r="65" spans="1:14">
      <c r="A65" s="127"/>
      <c r="B65" s="175"/>
      <c r="C65" s="290" t="s">
        <v>1134</v>
      </c>
      <c r="E65" s="286"/>
      <c r="F65" s="286"/>
      <c r="G65" s="286"/>
      <c r="H65" s="286"/>
      <c r="I65" s="289"/>
      <c r="N65" s="4"/>
    </row>
    <row r="66" spans="1:14">
      <c r="A66" s="127"/>
      <c r="B66" s="175"/>
      <c r="D66" s="290"/>
      <c r="E66" s="286"/>
      <c r="F66" s="286"/>
      <c r="G66" s="286"/>
      <c r="H66" s="286"/>
      <c r="I66" s="289"/>
      <c r="N66" s="4"/>
    </row>
    <row r="67" spans="1:14">
      <c r="A67" s="127">
        <f>+A64+1</f>
        <v>310</v>
      </c>
      <c r="B67" s="18"/>
      <c r="C67" s="175" t="s">
        <v>1151</v>
      </c>
      <c r="D67" s="640">
        <v>-9813115334</v>
      </c>
      <c r="E67" s="291"/>
      <c r="F67" s="286"/>
      <c r="G67" s="286"/>
      <c r="H67" s="286"/>
      <c r="J67" s="26" t="s">
        <v>1152</v>
      </c>
      <c r="N67" s="4">
        <f>A67</f>
        <v>310</v>
      </c>
    </row>
    <row r="68" spans="1:14">
      <c r="A68" s="127">
        <f>A67+1</f>
        <v>311</v>
      </c>
      <c r="B68" s="18"/>
      <c r="C68" s="175" t="s">
        <v>1153</v>
      </c>
      <c r="D68" s="429"/>
      <c r="E68" s="291"/>
      <c r="F68" s="286"/>
      <c r="G68" s="286"/>
      <c r="H68" s="286"/>
      <c r="J68" s="26"/>
      <c r="N68" s="4">
        <f>A68</f>
        <v>311</v>
      </c>
    </row>
    <row r="69" spans="1:14" ht="15.75" thickBot="1">
      <c r="A69" s="127">
        <f>A68+1</f>
        <v>312</v>
      </c>
      <c r="B69" s="18"/>
      <c r="C69" s="175" t="s">
        <v>1151</v>
      </c>
      <c r="D69" s="434">
        <f>SUM(D67:D68)</f>
        <v>-9813115334</v>
      </c>
      <c r="E69" s="291" t="str">
        <f>CONCATENATE("Must match amount on Line ",A62," ",D51)</f>
        <v>Must match amount on Line 307 Col 2</v>
      </c>
      <c r="F69" s="286"/>
      <c r="G69" s="286"/>
      <c r="H69" s="286"/>
      <c r="I69" s="236"/>
      <c r="N69" s="4">
        <f>A69</f>
        <v>312</v>
      </c>
    </row>
    <row r="70" spans="1:14" ht="15.75" thickTop="1">
      <c r="A70" s="127"/>
      <c r="B70" s="18"/>
      <c r="C70" s="8"/>
      <c r="D70" s="285"/>
      <c r="E70" s="291"/>
      <c r="F70" s="286"/>
      <c r="G70" s="286"/>
      <c r="H70" s="286"/>
      <c r="I70" s="236"/>
      <c r="N70" s="4"/>
    </row>
    <row r="71" spans="1:14">
      <c r="A71" s="18"/>
      <c r="B71" s="178" t="s">
        <v>1154</v>
      </c>
      <c r="C71" s="179"/>
      <c r="D71" s="296"/>
      <c r="E71" s="52"/>
      <c r="F71" s="52"/>
      <c r="G71" s="52"/>
      <c r="H71" s="52"/>
      <c r="I71" s="47"/>
      <c r="J71" s="47"/>
      <c r="K71" s="47"/>
      <c r="L71" s="47"/>
      <c r="M71" s="47"/>
      <c r="N71" s="4"/>
    </row>
    <row r="72" spans="1:14">
      <c r="A72" s="18"/>
      <c r="B72" s="176"/>
      <c r="C72" s="118" t="s">
        <v>371</v>
      </c>
      <c r="D72" s="118" t="s">
        <v>372</v>
      </c>
      <c r="E72" s="118" t="s">
        <v>373</v>
      </c>
      <c r="F72" s="118" t="s">
        <v>374</v>
      </c>
      <c r="G72" s="118" t="s">
        <v>375</v>
      </c>
      <c r="H72" s="118" t="s">
        <v>376</v>
      </c>
      <c r="I72" s="118" t="s">
        <v>377</v>
      </c>
      <c r="N72" s="4"/>
    </row>
    <row r="73" spans="1:14">
      <c r="A73" s="18"/>
      <c r="B73" s="181"/>
      <c r="C73" s="181"/>
      <c r="D73" s="181" t="s">
        <v>1097</v>
      </c>
      <c r="E73" s="181" t="s">
        <v>1098</v>
      </c>
      <c r="F73" s="297"/>
      <c r="G73" s="181" t="s">
        <v>1138</v>
      </c>
      <c r="H73" s="181" t="s">
        <v>1139</v>
      </c>
      <c r="I73" s="280"/>
      <c r="N73" s="4"/>
    </row>
    <row r="74" spans="1:14">
      <c r="A74" s="115" t="s">
        <v>100</v>
      </c>
      <c r="B74" s="281" t="s">
        <v>1155</v>
      </c>
      <c r="C74" s="281" t="s">
        <v>1101</v>
      </c>
      <c r="D74" s="281" t="s">
        <v>1102</v>
      </c>
      <c r="E74" s="281" t="s">
        <v>1103</v>
      </c>
      <c r="F74" s="298" t="s">
        <v>1104</v>
      </c>
      <c r="G74" s="298" t="s">
        <v>1105</v>
      </c>
      <c r="H74" s="298" t="s">
        <v>1106</v>
      </c>
      <c r="I74" s="281" t="s">
        <v>6</v>
      </c>
      <c r="N74" s="115" t="str">
        <f>A74</f>
        <v>Line</v>
      </c>
    </row>
    <row r="75" spans="1:14">
      <c r="A75" s="127"/>
      <c r="B75" s="175" t="s">
        <v>1107</v>
      </c>
      <c r="D75" s="11"/>
      <c r="E75" s="11"/>
      <c r="F75" s="11"/>
      <c r="G75" s="11"/>
      <c r="H75" s="11"/>
      <c r="N75" s="4"/>
    </row>
    <row r="76" spans="1:14">
      <c r="A76" s="127">
        <v>400</v>
      </c>
      <c r="B76" s="295">
        <v>283</v>
      </c>
      <c r="C76" s="87" t="s">
        <v>1156</v>
      </c>
      <c r="D76" s="639">
        <f>SUM(E76:H76)</f>
        <v>-39328848</v>
      </c>
      <c r="E76" s="478">
        <v>-39328848</v>
      </c>
      <c r="F76" s="478"/>
      <c r="G76" s="478"/>
      <c r="H76" s="478"/>
      <c r="I76" s="283" t="s">
        <v>1109</v>
      </c>
      <c r="J76" s="26" t="s">
        <v>1157</v>
      </c>
      <c r="N76" s="4">
        <f>A76</f>
        <v>400</v>
      </c>
    </row>
    <row r="77" spans="1:14">
      <c r="A77" s="127">
        <f>A76+1</f>
        <v>401</v>
      </c>
      <c r="B77" s="295">
        <v>283</v>
      </c>
      <c r="C77" s="87" t="s">
        <v>1158</v>
      </c>
      <c r="D77" s="639">
        <f>SUM(E77:H77)</f>
        <v>-2005703135</v>
      </c>
      <c r="E77" s="478">
        <v>-2005703135</v>
      </c>
      <c r="F77" s="478"/>
      <c r="G77" s="478"/>
      <c r="H77" s="478"/>
      <c r="I77" s="283" t="s">
        <v>1159</v>
      </c>
      <c r="J77" s="26" t="s">
        <v>1160</v>
      </c>
      <c r="N77" s="4">
        <f>A77</f>
        <v>401</v>
      </c>
    </row>
    <row r="78" spans="1:14">
      <c r="A78" s="127">
        <f>A77+1</f>
        <v>402</v>
      </c>
      <c r="B78" s="295">
        <v>283</v>
      </c>
      <c r="C78" s="87" t="s">
        <v>381</v>
      </c>
      <c r="D78" s="639">
        <f>SUM(E78:H78)</f>
        <v>-365098002</v>
      </c>
      <c r="E78" s="478">
        <v>-365098002</v>
      </c>
      <c r="F78" s="478"/>
      <c r="G78" s="478"/>
      <c r="H78" s="478"/>
      <c r="I78" s="283" t="s">
        <v>1109</v>
      </c>
      <c r="J78" s="26" t="s">
        <v>1161</v>
      </c>
      <c r="N78" s="4">
        <f>A78</f>
        <v>402</v>
      </c>
    </row>
    <row r="79" spans="1:14">
      <c r="A79" s="127">
        <f>A78+1</f>
        <v>403</v>
      </c>
      <c r="B79" s="295"/>
      <c r="C79" s="87"/>
      <c r="D79" s="639"/>
      <c r="E79" s="478"/>
      <c r="F79" s="478"/>
      <c r="G79" s="478"/>
      <c r="H79" s="478"/>
      <c r="I79" s="283"/>
      <c r="J79" s="26"/>
      <c r="N79" s="4">
        <f>A79</f>
        <v>403</v>
      </c>
    </row>
    <row r="80" spans="1:14">
      <c r="A80" s="127"/>
      <c r="B80" s="112"/>
      <c r="C80" s="8"/>
      <c r="D80" s="163"/>
      <c r="E80" s="11"/>
      <c r="F80" s="11"/>
      <c r="G80" s="11"/>
      <c r="H80" s="11"/>
      <c r="N80" s="4"/>
    </row>
    <row r="81" spans="1:14">
      <c r="A81" s="127">
        <f>A79+1</f>
        <v>404</v>
      </c>
      <c r="B81" s="8"/>
      <c r="C81" s="8" t="s">
        <v>1162</v>
      </c>
      <c r="D81" s="430">
        <f>SUM(D76:D79)</f>
        <v>-2410129985</v>
      </c>
      <c r="E81" s="430">
        <f>SUM(E76:E79)</f>
        <v>-2410129985</v>
      </c>
      <c r="F81" s="430">
        <f>SUM(F76:F79)</f>
        <v>0</v>
      </c>
      <c r="G81" s="430">
        <f>SUM(G76:G79)</f>
        <v>0</v>
      </c>
      <c r="H81" s="430">
        <f>SUM(H76:H79)</f>
        <v>0</v>
      </c>
      <c r="I81" s="26" t="str">
        <f>"Sum of Above Lines beginning on Line "&amp;A76&amp;""</f>
        <v>Sum of Above Lines beginning on Line 400</v>
      </c>
      <c r="N81" s="4">
        <f>A81</f>
        <v>404</v>
      </c>
    </row>
    <row r="82" spans="1:14">
      <c r="A82" s="127">
        <f>A81+1</f>
        <v>405</v>
      </c>
      <c r="B82" s="175"/>
      <c r="C82" s="175" t="s">
        <v>1131</v>
      </c>
      <c r="D82" s="299"/>
      <c r="E82" s="299"/>
      <c r="F82" s="286"/>
      <c r="G82" s="308">
        <f>'24-Allocators'!$C$29</f>
        <v>0.16303308552822116</v>
      </c>
      <c r="H82" s="308">
        <f>'24-Allocators'!$C$24</f>
        <v>0.10327848903946341</v>
      </c>
      <c r="I82" s="287" t="s">
        <v>1163</v>
      </c>
      <c r="N82" s="4">
        <f>A82</f>
        <v>405</v>
      </c>
    </row>
    <row r="83" spans="1:14">
      <c r="A83" s="127">
        <f>+A82+1</f>
        <v>406</v>
      </c>
      <c r="B83" s="175"/>
      <c r="C83" s="176" t="s">
        <v>1164</v>
      </c>
      <c r="D83" s="551">
        <f>SUM(F83:H83)</f>
        <v>0</v>
      </c>
      <c r="E83" s="286"/>
      <c r="F83" s="288">
        <f>+F81</f>
        <v>0</v>
      </c>
      <c r="G83" s="288">
        <f>+G81*G82</f>
        <v>0</v>
      </c>
      <c r="H83" s="300">
        <f>+H81*H82</f>
        <v>0</v>
      </c>
      <c r="I83" s="289" t="str">
        <f>CONCATENATE("Line ",A81," * ","Line ",A82," for Cols 5 and 6")</f>
        <v>Line 404 * Line 405 for Cols 5 and 6</v>
      </c>
      <c r="N83" s="4">
        <f>A83</f>
        <v>406</v>
      </c>
    </row>
    <row r="84" spans="1:14">
      <c r="A84" s="127"/>
      <c r="C84" s="290" t="s">
        <v>1134</v>
      </c>
      <c r="D84" s="163"/>
      <c r="E84" s="163"/>
      <c r="F84" s="163"/>
      <c r="G84" s="163"/>
      <c r="H84" s="163"/>
      <c r="I84" s="289"/>
      <c r="J84" s="11"/>
      <c r="N84" s="4"/>
    </row>
    <row r="85" spans="1:14">
      <c r="A85" s="127"/>
      <c r="C85" s="8"/>
      <c r="D85" s="163"/>
      <c r="E85" s="163"/>
      <c r="F85" s="163"/>
      <c r="G85" s="163"/>
      <c r="H85" s="163"/>
      <c r="I85" s="289"/>
      <c r="N85" s="4"/>
    </row>
    <row r="86" spans="1:14">
      <c r="A86" s="127">
        <f>A83+1</f>
        <v>407</v>
      </c>
      <c r="C86" s="175" t="s">
        <v>1165</v>
      </c>
      <c r="D86" s="640">
        <v>-2410129985</v>
      </c>
      <c r="E86" s="291" t="str">
        <f>CONCATENATE("Must match amount on Line ",A81," ",D72)</f>
        <v>Must match amount on Line 404 Col 2</v>
      </c>
      <c r="F86" s="286"/>
      <c r="G86" s="286"/>
      <c r="H86" s="286"/>
      <c r="J86" s="26" t="s">
        <v>1166</v>
      </c>
      <c r="N86" s="4">
        <f>A86</f>
        <v>407</v>
      </c>
    </row>
    <row r="87" spans="1:14">
      <c r="A87" s="127"/>
      <c r="C87" s="175"/>
      <c r="D87" s="291"/>
      <c r="E87" s="291"/>
      <c r="F87" s="286"/>
      <c r="G87" s="286"/>
      <c r="H87" s="286"/>
      <c r="I87" s="26"/>
      <c r="N87" s="4"/>
    </row>
    <row r="88" spans="1:14">
      <c r="A88" s="18"/>
      <c r="B88" s="178" t="s">
        <v>1167</v>
      </c>
      <c r="C88" s="179"/>
      <c r="D88" s="296"/>
      <c r="E88" s="52"/>
      <c r="F88" s="52"/>
      <c r="G88" s="52"/>
      <c r="H88" s="52"/>
      <c r="I88" s="47"/>
      <c r="J88" s="47"/>
      <c r="K88" s="47"/>
      <c r="L88" s="47"/>
      <c r="M88" s="47"/>
      <c r="N88" s="4"/>
    </row>
    <row r="89" spans="1:14">
      <c r="A89" s="18"/>
      <c r="B89" s="176"/>
      <c r="C89" s="118" t="s">
        <v>371</v>
      </c>
      <c r="D89" s="118" t="s">
        <v>372</v>
      </c>
      <c r="E89" s="118" t="s">
        <v>373</v>
      </c>
      <c r="F89" s="118" t="s">
        <v>374</v>
      </c>
      <c r="G89" s="118" t="s">
        <v>375</v>
      </c>
      <c r="H89" s="118" t="s">
        <v>376</v>
      </c>
      <c r="I89" s="118" t="s">
        <v>377</v>
      </c>
      <c r="N89" s="4"/>
    </row>
    <row r="90" spans="1:14">
      <c r="A90" s="18"/>
      <c r="B90" s="181"/>
      <c r="C90" s="181"/>
      <c r="D90" s="181" t="s">
        <v>1097</v>
      </c>
      <c r="E90" s="181" t="s">
        <v>1098</v>
      </c>
      <c r="F90" s="297"/>
      <c r="G90" s="181" t="s">
        <v>1138</v>
      </c>
      <c r="H90" s="181" t="s">
        <v>1139</v>
      </c>
      <c r="I90" s="280"/>
      <c r="N90" s="4"/>
    </row>
    <row r="91" spans="1:14">
      <c r="A91" s="115" t="s">
        <v>100</v>
      </c>
      <c r="B91" s="281" t="s">
        <v>1168</v>
      </c>
      <c r="C91" s="281" t="s">
        <v>1101</v>
      </c>
      <c r="D91" s="281" t="s">
        <v>1102</v>
      </c>
      <c r="E91" s="281" t="s">
        <v>1103</v>
      </c>
      <c r="F91" s="298" t="s">
        <v>1104</v>
      </c>
      <c r="G91" s="298" t="s">
        <v>1105</v>
      </c>
      <c r="H91" s="298" t="s">
        <v>1106</v>
      </c>
      <c r="I91" s="281" t="s">
        <v>6</v>
      </c>
      <c r="N91" s="115" t="str">
        <f>A91</f>
        <v>Line</v>
      </c>
    </row>
    <row r="92" spans="1:14">
      <c r="A92" s="127"/>
      <c r="B92" s="175" t="s">
        <v>1107</v>
      </c>
      <c r="D92" s="11"/>
      <c r="E92" s="11"/>
      <c r="F92" s="11"/>
      <c r="G92" s="11"/>
      <c r="H92" s="11"/>
      <c r="N92" s="4"/>
    </row>
    <row r="93" spans="1:14">
      <c r="A93" s="127">
        <v>500</v>
      </c>
      <c r="B93" s="295">
        <v>255</v>
      </c>
      <c r="C93" s="87" t="s">
        <v>1169</v>
      </c>
      <c r="D93" s="639">
        <f>SUM(E93:H93)</f>
        <v>-86730569</v>
      </c>
      <c r="E93" s="797">
        <v>-83953362</v>
      </c>
      <c r="F93" s="797">
        <v>-2777207</v>
      </c>
      <c r="G93" s="478"/>
      <c r="H93" s="478"/>
      <c r="I93" s="283" t="s">
        <v>1123</v>
      </c>
      <c r="J93" s="26" t="s">
        <v>1170</v>
      </c>
      <c r="N93" s="4">
        <f>A93</f>
        <v>500</v>
      </c>
    </row>
    <row r="94" spans="1:14">
      <c r="A94" s="127">
        <f>A93+1</f>
        <v>501</v>
      </c>
      <c r="B94" s="295">
        <v>255</v>
      </c>
      <c r="C94" s="87" t="s">
        <v>1171</v>
      </c>
      <c r="D94" s="639">
        <f>SUM(E94:H94)</f>
        <v>-9847925</v>
      </c>
      <c r="E94" s="478"/>
      <c r="F94" s="478"/>
      <c r="G94" s="797">
        <v>-9847925</v>
      </c>
      <c r="H94" s="478"/>
      <c r="I94" s="283" t="s">
        <v>1146</v>
      </c>
      <c r="J94" s="26" t="s">
        <v>1172</v>
      </c>
      <c r="N94" s="4">
        <f>A94</f>
        <v>501</v>
      </c>
    </row>
    <row r="95" spans="1:14">
      <c r="A95" s="127">
        <f>+A94+1</f>
        <v>502</v>
      </c>
      <c r="B95" s="295">
        <v>255</v>
      </c>
      <c r="C95" s="87" t="s">
        <v>1173</v>
      </c>
      <c r="D95" s="639">
        <f>SUM(E95:H95)</f>
        <v>36396</v>
      </c>
      <c r="E95" s="797">
        <v>36396</v>
      </c>
      <c r="F95" s="478"/>
      <c r="G95" s="478"/>
      <c r="H95" s="478"/>
      <c r="I95" s="283" t="s">
        <v>1109</v>
      </c>
      <c r="N95" s="4">
        <f>A95</f>
        <v>502</v>
      </c>
    </row>
    <row r="96" spans="1:14">
      <c r="A96" s="127"/>
      <c r="B96" s="112"/>
      <c r="C96" s="8"/>
      <c r="D96" s="163"/>
      <c r="E96" s="11"/>
      <c r="F96" s="11"/>
      <c r="G96" s="11"/>
      <c r="H96" s="11"/>
      <c r="N96" s="4"/>
    </row>
    <row r="97" spans="1:14">
      <c r="A97" s="127">
        <f>A95+1</f>
        <v>503</v>
      </c>
      <c r="B97" s="8"/>
      <c r="C97" s="8" t="s">
        <v>1174</v>
      </c>
      <c r="D97" s="430">
        <f>SUM(D93:D95)</f>
        <v>-96542098</v>
      </c>
      <c r="E97" s="430">
        <f>SUM(E93:E95)</f>
        <v>-83916966</v>
      </c>
      <c r="F97" s="430">
        <f>SUM(F93:F95)</f>
        <v>-2777207</v>
      </c>
      <c r="G97" s="430">
        <f>SUM(G93:G95)</f>
        <v>-9847925</v>
      </c>
      <c r="H97" s="430">
        <f>SUM(H93:H95)</f>
        <v>0</v>
      </c>
      <c r="I97" s="26" t="str">
        <f>"Sum of Above Lines beginning on Line "&amp;A93&amp;""</f>
        <v>Sum of Above Lines beginning on Line 500</v>
      </c>
      <c r="N97" s="4">
        <f>A97</f>
        <v>503</v>
      </c>
    </row>
    <row r="98" spans="1:14">
      <c r="A98" s="127">
        <f>A97+1</f>
        <v>504</v>
      </c>
      <c r="B98" s="175"/>
      <c r="C98" s="175" t="s">
        <v>1131</v>
      </c>
      <c r="D98" s="299"/>
      <c r="E98" s="299"/>
      <c r="F98" s="698">
        <f>+'24-Allocators'!C37</f>
        <v>0.951104471035909</v>
      </c>
      <c r="G98" s="308">
        <f>'24-Allocators'!$C$29</f>
        <v>0.16303308552822116</v>
      </c>
      <c r="H98" s="308">
        <f>'24-Allocators'!$C$24</f>
        <v>0.10327848903946341</v>
      </c>
      <c r="I98" s="287" t="s">
        <v>1149</v>
      </c>
      <c r="N98" s="4">
        <f>A98</f>
        <v>504</v>
      </c>
    </row>
    <row r="99" spans="1:14">
      <c r="A99" s="127">
        <f>+A98+1</f>
        <v>505</v>
      </c>
      <c r="B99" s="175"/>
      <c r="C99" s="176" t="s">
        <v>1175</v>
      </c>
      <c r="D99" s="552">
        <f>SUM(F99:H99)</f>
        <v>-4246951.5934927315</v>
      </c>
      <c r="E99" s="430"/>
      <c r="F99" s="431">
        <f>F97*F98</f>
        <v>-2641413.9946922236</v>
      </c>
      <c r="G99" s="431">
        <f>+G97*G98</f>
        <v>-1605537.5988005074</v>
      </c>
      <c r="H99" s="441">
        <f>+H97*H98</f>
        <v>0</v>
      </c>
      <c r="I99" s="289" t="str">
        <f>CONCATENATE("Line ",A97," * ","Line ",A98," for Cols 4 to 6")</f>
        <v>Line 503 * Line 504 for Cols 4 to 6</v>
      </c>
      <c r="N99" s="4">
        <f>A99</f>
        <v>505</v>
      </c>
    </row>
    <row r="100" spans="1:14">
      <c r="A100" s="127"/>
      <c r="C100" s="290" t="s">
        <v>1134</v>
      </c>
      <c r="D100" s="163"/>
      <c r="E100" s="163"/>
      <c r="F100" s="163"/>
      <c r="G100" s="163"/>
      <c r="H100" s="163"/>
      <c r="I100" s="289"/>
      <c r="J100" s="11"/>
      <c r="N100" s="4"/>
    </row>
    <row r="101" spans="1:14">
      <c r="A101" s="127"/>
      <c r="C101" s="8"/>
      <c r="D101" s="163"/>
      <c r="E101" s="163"/>
      <c r="F101" s="163"/>
      <c r="G101" s="163"/>
      <c r="H101" s="163"/>
      <c r="I101" s="289"/>
      <c r="N101" s="4"/>
    </row>
    <row r="102" spans="1:14">
      <c r="A102" s="127">
        <f>A99+1</f>
        <v>506</v>
      </c>
      <c r="C102" s="175" t="s">
        <v>1176</v>
      </c>
      <c r="D102" s="640">
        <v>-96542098</v>
      </c>
      <c r="E102" s="291" t="str">
        <f>CONCATENATE("Must match amount on Line ",A97," ",D89)</f>
        <v>Must match amount on Line 503 Col 2</v>
      </c>
      <c r="F102" s="286"/>
      <c r="G102" s="286"/>
      <c r="H102" s="286"/>
      <c r="J102" s="26" t="s">
        <v>1177</v>
      </c>
      <c r="N102" s="4">
        <f>A102</f>
        <v>506</v>
      </c>
    </row>
    <row r="103" spans="1:14">
      <c r="A103" s="127"/>
      <c r="C103" s="175"/>
      <c r="D103" s="291"/>
      <c r="E103" s="291"/>
      <c r="F103" s="286"/>
      <c r="G103" s="286"/>
      <c r="H103" s="286"/>
      <c r="I103" s="26"/>
      <c r="N103" s="4"/>
    </row>
    <row r="104" spans="1:14">
      <c r="A104" s="127"/>
      <c r="B104" s="114" t="s">
        <v>1178</v>
      </c>
      <c r="C104" s="179"/>
      <c r="D104" s="301"/>
      <c r="E104" s="301"/>
      <c r="F104" s="296"/>
      <c r="G104" s="296"/>
      <c r="H104" s="296"/>
      <c r="I104" s="302"/>
      <c r="J104" s="140"/>
      <c r="K104" s="47"/>
      <c r="L104" s="47"/>
      <c r="M104" s="47"/>
      <c r="N104" s="4"/>
    </row>
    <row r="105" spans="1:14">
      <c r="A105" s="127"/>
      <c r="B105" s="8"/>
      <c r="C105" s="118" t="s">
        <v>371</v>
      </c>
      <c r="D105" s="118" t="s">
        <v>372</v>
      </c>
      <c r="E105" s="118" t="s">
        <v>373</v>
      </c>
      <c r="F105" s="118" t="s">
        <v>374</v>
      </c>
      <c r="G105" s="118" t="s">
        <v>375</v>
      </c>
      <c r="H105" s="118" t="s">
        <v>376</v>
      </c>
      <c r="I105" s="118" t="s">
        <v>377</v>
      </c>
      <c r="J105" s="118" t="s">
        <v>378</v>
      </c>
      <c r="N105" s="4"/>
    </row>
    <row r="106" spans="1:14">
      <c r="A106" s="127"/>
      <c r="B106" s="8"/>
      <c r="C106" s="175"/>
      <c r="D106" s="303" t="s">
        <v>1179</v>
      </c>
      <c r="E106" s="303" t="s">
        <v>1180</v>
      </c>
      <c r="F106" s="286"/>
      <c r="G106" s="286"/>
      <c r="H106" s="303" t="s">
        <v>1181</v>
      </c>
      <c r="I106" s="304" t="s">
        <v>1182</v>
      </c>
      <c r="J106" s="303" t="s">
        <v>1183</v>
      </c>
      <c r="N106" s="4"/>
    </row>
    <row r="107" spans="1:14">
      <c r="A107" s="127"/>
      <c r="B107" s="8"/>
      <c r="C107" s="175"/>
      <c r="D107" s="291"/>
      <c r="E107" s="291"/>
      <c r="F107" s="286"/>
      <c r="G107" s="286"/>
      <c r="H107" s="286"/>
      <c r="I107" s="9"/>
      <c r="J107" s="8"/>
      <c r="N107" s="4"/>
    </row>
    <row r="108" spans="1:14">
      <c r="A108" s="127"/>
      <c r="B108" s="8"/>
      <c r="C108" s="182"/>
      <c r="D108" s="303" t="s">
        <v>1184</v>
      </c>
      <c r="E108" s="303" t="s">
        <v>1185</v>
      </c>
      <c r="F108" s="303"/>
      <c r="G108" s="303" t="s">
        <v>1186</v>
      </c>
      <c r="H108" s="303" t="s">
        <v>1187</v>
      </c>
      <c r="I108" s="127" t="s">
        <v>1188</v>
      </c>
      <c r="J108" s="127" t="s">
        <v>1189</v>
      </c>
      <c r="N108" s="4"/>
    </row>
    <row r="109" spans="1:14">
      <c r="A109" s="115" t="s">
        <v>100</v>
      </c>
      <c r="B109" s="115" t="s">
        <v>420</v>
      </c>
      <c r="C109" s="182" t="s">
        <v>1190</v>
      </c>
      <c r="D109" s="305" t="s">
        <v>1191</v>
      </c>
      <c r="E109" s="305" t="s">
        <v>1192</v>
      </c>
      <c r="F109" s="305" t="s">
        <v>1193</v>
      </c>
      <c r="G109" s="305" t="s">
        <v>1194</v>
      </c>
      <c r="H109" s="305" t="s">
        <v>1195</v>
      </c>
      <c r="I109" s="115" t="s">
        <v>1196</v>
      </c>
      <c r="J109" s="115" t="s">
        <v>1197</v>
      </c>
      <c r="N109" s="115" t="str">
        <f t="shared" ref="N109:N124" si="8">A109</f>
        <v>Line</v>
      </c>
    </row>
    <row r="110" spans="1:14">
      <c r="A110" s="127">
        <v>600</v>
      </c>
      <c r="B110" s="8"/>
      <c r="C110" s="306" t="s">
        <v>1198</v>
      </c>
      <c r="D110" s="435"/>
      <c r="E110" s="209">
        <f>D17</f>
        <v>-1470878157.7303393</v>
      </c>
      <c r="F110" s="286"/>
      <c r="G110" s="37">
        <f>+G111+F111-G122</f>
        <v>365</v>
      </c>
      <c r="H110" s="308">
        <f>1</f>
        <v>1</v>
      </c>
      <c r="I110" s="309"/>
      <c r="J110" s="437">
        <f>+E110</f>
        <v>-1470878157.7303393</v>
      </c>
      <c r="N110" s="4">
        <f t="shared" si="8"/>
        <v>600</v>
      </c>
    </row>
    <row r="111" spans="1:14">
      <c r="A111" s="127">
        <f t="shared" ref="A111:A124" si="9">A110+1</f>
        <v>601</v>
      </c>
      <c r="B111" s="18">
        <f>'1-BaseTRR'!$G$2</f>
        <v>2021</v>
      </c>
      <c r="C111" s="306" t="s">
        <v>430</v>
      </c>
      <c r="D111" s="209">
        <f t="shared" ref="D111:D122" si="10">($D$13-$D$17)/12</f>
        <v>-3154231.8600315056</v>
      </c>
      <c r="E111" s="209">
        <f t="shared" ref="E111:E122" si="11">E110+D111</f>
        <v>-1474032389.5903709</v>
      </c>
      <c r="F111" s="37">
        <v>31</v>
      </c>
      <c r="G111" s="37">
        <f t="shared" ref="G111:G120" si="12">+G112+F112</f>
        <v>335</v>
      </c>
      <c r="H111" s="308">
        <f>G111/G110</f>
        <v>0.9178082191780822</v>
      </c>
      <c r="I111" s="436">
        <f t="shared" ref="I111:I122" si="13">D111*H111</f>
        <v>-2894979.9263302861</v>
      </c>
      <c r="J111" s="241">
        <f t="shared" ref="J111:J122" si="14">J110+I111</f>
        <v>-1473773137.6566696</v>
      </c>
      <c r="N111" s="4">
        <f t="shared" si="8"/>
        <v>601</v>
      </c>
    </row>
    <row r="112" spans="1:14">
      <c r="A112" s="127">
        <f t="shared" si="9"/>
        <v>602</v>
      </c>
      <c r="B112" s="18">
        <f>'1-BaseTRR'!$G$2</f>
        <v>2021</v>
      </c>
      <c r="C112" s="306" t="s">
        <v>431</v>
      </c>
      <c r="D112" s="209">
        <f t="shared" si="10"/>
        <v>-3154231.8600315056</v>
      </c>
      <c r="E112" s="209">
        <f t="shared" si="11"/>
        <v>-1477186621.4504025</v>
      </c>
      <c r="F112" s="311">
        <v>28</v>
      </c>
      <c r="G112" s="37">
        <f t="shared" si="12"/>
        <v>307</v>
      </c>
      <c r="H112" s="308">
        <f>G112/G110</f>
        <v>0.84109589041095889</v>
      </c>
      <c r="I112" s="436">
        <f t="shared" si="13"/>
        <v>-2653011.4548758143</v>
      </c>
      <c r="J112" s="241">
        <f t="shared" si="14"/>
        <v>-1476426149.1115453</v>
      </c>
      <c r="N112" s="4">
        <f t="shared" si="8"/>
        <v>602</v>
      </c>
    </row>
    <row r="113" spans="1:14">
      <c r="A113" s="127">
        <f t="shared" si="9"/>
        <v>603</v>
      </c>
      <c r="B113" s="18">
        <f>'1-BaseTRR'!$G$2</f>
        <v>2021</v>
      </c>
      <c r="C113" s="306" t="s">
        <v>432</v>
      </c>
      <c r="D113" s="209">
        <f t="shared" si="10"/>
        <v>-3154231.8600315056</v>
      </c>
      <c r="E113" s="209">
        <f t="shared" si="11"/>
        <v>-1480340853.3104341</v>
      </c>
      <c r="F113" s="37">
        <v>31</v>
      </c>
      <c r="G113" s="37">
        <f t="shared" si="12"/>
        <v>276</v>
      </c>
      <c r="H113" s="308">
        <f>G113/G110</f>
        <v>0.75616438356164384</v>
      </c>
      <c r="I113" s="436">
        <f t="shared" si="13"/>
        <v>-2385117.7900512205</v>
      </c>
      <c r="J113" s="241">
        <f t="shared" si="14"/>
        <v>-1478811266.9015965</v>
      </c>
      <c r="N113" s="4">
        <f t="shared" si="8"/>
        <v>603</v>
      </c>
    </row>
    <row r="114" spans="1:14">
      <c r="A114" s="127">
        <f t="shared" si="9"/>
        <v>604</v>
      </c>
      <c r="B114" s="18">
        <f>'1-BaseTRR'!$G$2</f>
        <v>2021</v>
      </c>
      <c r="C114" s="306" t="s">
        <v>433</v>
      </c>
      <c r="D114" s="209">
        <f t="shared" si="10"/>
        <v>-3154231.8600315056</v>
      </c>
      <c r="E114" s="209">
        <f t="shared" si="11"/>
        <v>-1483495085.1704657</v>
      </c>
      <c r="F114" s="37">
        <v>30</v>
      </c>
      <c r="G114" s="37">
        <f t="shared" si="12"/>
        <v>246</v>
      </c>
      <c r="H114" s="308">
        <f>G114/G110</f>
        <v>0.67397260273972603</v>
      </c>
      <c r="I114" s="436">
        <f t="shared" si="13"/>
        <v>-2125865.8563500009</v>
      </c>
      <c r="J114" s="241">
        <f t="shared" si="14"/>
        <v>-1480937132.7579465</v>
      </c>
      <c r="N114" s="4">
        <f t="shared" si="8"/>
        <v>604</v>
      </c>
    </row>
    <row r="115" spans="1:14">
      <c r="A115" s="127">
        <f t="shared" si="9"/>
        <v>605</v>
      </c>
      <c r="B115" s="18">
        <f>'1-BaseTRR'!$G$2</f>
        <v>2021</v>
      </c>
      <c r="C115" s="306" t="s">
        <v>395</v>
      </c>
      <c r="D115" s="209">
        <f t="shared" si="10"/>
        <v>-3154231.8600315056</v>
      </c>
      <c r="E115" s="209">
        <f t="shared" si="11"/>
        <v>-1486649317.0304973</v>
      </c>
      <c r="F115" s="37">
        <v>31</v>
      </c>
      <c r="G115" s="37">
        <f t="shared" si="12"/>
        <v>215</v>
      </c>
      <c r="H115" s="308">
        <f>G115/G110</f>
        <v>0.58904109589041098</v>
      </c>
      <c r="I115" s="436">
        <f t="shared" si="13"/>
        <v>-1857972.1915254074</v>
      </c>
      <c r="J115" s="241">
        <f t="shared" si="14"/>
        <v>-1482795104.949472</v>
      </c>
      <c r="N115" s="4">
        <f t="shared" si="8"/>
        <v>605</v>
      </c>
    </row>
    <row r="116" spans="1:14">
      <c r="A116" s="127">
        <f t="shared" si="9"/>
        <v>606</v>
      </c>
      <c r="B116" s="18">
        <f>'1-BaseTRR'!$G$2</f>
        <v>2021</v>
      </c>
      <c r="C116" s="306" t="s">
        <v>531</v>
      </c>
      <c r="D116" s="209">
        <f t="shared" si="10"/>
        <v>-3154231.8600315056</v>
      </c>
      <c r="E116" s="209">
        <f t="shared" si="11"/>
        <v>-1489803548.8905289</v>
      </c>
      <c r="F116" s="37">
        <v>30</v>
      </c>
      <c r="G116" s="37">
        <f t="shared" si="12"/>
        <v>185</v>
      </c>
      <c r="H116" s="308">
        <f>G116/G110</f>
        <v>0.50684931506849318</v>
      </c>
      <c r="I116" s="436">
        <f t="shared" si="13"/>
        <v>-1598720.2578241879</v>
      </c>
      <c r="J116" s="241">
        <f t="shared" si="14"/>
        <v>-1484393825.2072961</v>
      </c>
      <c r="N116" s="4">
        <f t="shared" si="8"/>
        <v>606</v>
      </c>
    </row>
    <row r="117" spans="1:14">
      <c r="A117" s="127">
        <f t="shared" si="9"/>
        <v>607</v>
      </c>
      <c r="B117" s="18">
        <f>'1-BaseTRR'!$G$2</f>
        <v>2021</v>
      </c>
      <c r="C117" s="306" t="s">
        <v>435</v>
      </c>
      <c r="D117" s="209">
        <f t="shared" si="10"/>
        <v>-3154231.8600315056</v>
      </c>
      <c r="E117" s="209">
        <f t="shared" si="11"/>
        <v>-1492957780.7505605</v>
      </c>
      <c r="F117" s="37">
        <v>31</v>
      </c>
      <c r="G117" s="37">
        <f t="shared" si="12"/>
        <v>154</v>
      </c>
      <c r="H117" s="308">
        <f>G117/G110</f>
        <v>0.42191780821917807</v>
      </c>
      <c r="I117" s="436">
        <f t="shared" si="13"/>
        <v>-1330826.5929995941</v>
      </c>
      <c r="J117" s="241">
        <f t="shared" si="14"/>
        <v>-1485724651.8002958</v>
      </c>
      <c r="N117" s="4">
        <f t="shared" si="8"/>
        <v>607</v>
      </c>
    </row>
    <row r="118" spans="1:14">
      <c r="A118" s="127">
        <f t="shared" si="9"/>
        <v>608</v>
      </c>
      <c r="B118" s="18">
        <f>'1-BaseTRR'!$G$2</f>
        <v>2021</v>
      </c>
      <c r="C118" s="306" t="s">
        <v>436</v>
      </c>
      <c r="D118" s="209">
        <f t="shared" si="10"/>
        <v>-3154231.8600315056</v>
      </c>
      <c r="E118" s="209">
        <f t="shared" si="11"/>
        <v>-1496112012.6105921</v>
      </c>
      <c r="F118" s="37">
        <v>31</v>
      </c>
      <c r="G118" s="37">
        <f t="shared" si="12"/>
        <v>123</v>
      </c>
      <c r="H118" s="308">
        <f>G118/G110</f>
        <v>0.33698630136986302</v>
      </c>
      <c r="I118" s="436">
        <f t="shared" si="13"/>
        <v>-1062932.9281750005</v>
      </c>
      <c r="J118" s="241">
        <f t="shared" si="14"/>
        <v>-1486787584.7284708</v>
      </c>
      <c r="N118" s="4">
        <f t="shared" si="8"/>
        <v>608</v>
      </c>
    </row>
    <row r="119" spans="1:14">
      <c r="A119" s="127">
        <f t="shared" si="9"/>
        <v>609</v>
      </c>
      <c r="B119" s="18">
        <f>'1-BaseTRR'!$G$2</f>
        <v>2021</v>
      </c>
      <c r="C119" s="306" t="s">
        <v>437</v>
      </c>
      <c r="D119" s="209">
        <f t="shared" si="10"/>
        <v>-3154231.8600315056</v>
      </c>
      <c r="E119" s="209">
        <f t="shared" si="11"/>
        <v>-1499266244.4706237</v>
      </c>
      <c r="F119" s="37">
        <v>30</v>
      </c>
      <c r="G119" s="37">
        <f t="shared" si="12"/>
        <v>93</v>
      </c>
      <c r="H119" s="308">
        <f>G119/G110</f>
        <v>0.25479452054794521</v>
      </c>
      <c r="I119" s="436">
        <f t="shared" si="13"/>
        <v>-803680.99447378085</v>
      </c>
      <c r="J119" s="241">
        <f t="shared" si="14"/>
        <v>-1487591265.7229445</v>
      </c>
      <c r="N119" s="4">
        <f t="shared" si="8"/>
        <v>609</v>
      </c>
    </row>
    <row r="120" spans="1:14">
      <c r="A120" s="127">
        <f t="shared" si="9"/>
        <v>610</v>
      </c>
      <c r="B120" s="18">
        <f>'1-BaseTRR'!$G$2</f>
        <v>2021</v>
      </c>
      <c r="C120" s="306" t="s">
        <v>438</v>
      </c>
      <c r="D120" s="209">
        <f t="shared" si="10"/>
        <v>-3154231.8600315056</v>
      </c>
      <c r="E120" s="209">
        <f t="shared" si="11"/>
        <v>-1502420476.3306553</v>
      </c>
      <c r="F120" s="37">
        <v>31</v>
      </c>
      <c r="G120" s="37">
        <f t="shared" si="12"/>
        <v>62</v>
      </c>
      <c r="H120" s="308">
        <f>G120/G110</f>
        <v>0.16986301369863013</v>
      </c>
      <c r="I120" s="436">
        <f t="shared" si="13"/>
        <v>-535787.32964918728</v>
      </c>
      <c r="J120" s="241">
        <f t="shared" si="14"/>
        <v>-1488127053.0525937</v>
      </c>
      <c r="N120" s="4">
        <f t="shared" si="8"/>
        <v>610</v>
      </c>
    </row>
    <row r="121" spans="1:14">
      <c r="A121" s="127">
        <f t="shared" si="9"/>
        <v>611</v>
      </c>
      <c r="B121" s="18">
        <f>'1-BaseTRR'!$G$2</f>
        <v>2021</v>
      </c>
      <c r="C121" s="306" t="s">
        <v>439</v>
      </c>
      <c r="D121" s="209">
        <f t="shared" si="10"/>
        <v>-3154231.8600315056</v>
      </c>
      <c r="E121" s="209">
        <f t="shared" si="11"/>
        <v>-1505574708.1906869</v>
      </c>
      <c r="F121" s="37">
        <v>30</v>
      </c>
      <c r="G121" s="37">
        <f>+G122+F122</f>
        <v>32</v>
      </c>
      <c r="H121" s="308">
        <f>G121/G110</f>
        <v>8.7671232876712329E-2</v>
      </c>
      <c r="I121" s="436">
        <f t="shared" si="13"/>
        <v>-276535.3959479676</v>
      </c>
      <c r="J121" s="241">
        <f t="shared" si="14"/>
        <v>-1488403588.4485416</v>
      </c>
      <c r="N121" s="4">
        <f t="shared" si="8"/>
        <v>611</v>
      </c>
    </row>
    <row r="122" spans="1:14">
      <c r="A122" s="127">
        <f t="shared" si="9"/>
        <v>612</v>
      </c>
      <c r="B122" s="18">
        <f>'1-BaseTRR'!$G$2</f>
        <v>2021</v>
      </c>
      <c r="C122" s="306" t="s">
        <v>428</v>
      </c>
      <c r="D122" s="209">
        <f t="shared" si="10"/>
        <v>-3154231.8600315056</v>
      </c>
      <c r="E122" s="209">
        <f t="shared" si="11"/>
        <v>-1508728940.0507185</v>
      </c>
      <c r="F122" s="37">
        <v>31</v>
      </c>
      <c r="G122" s="311">
        <v>1</v>
      </c>
      <c r="H122" s="308">
        <f>G122/G110</f>
        <v>2.7397260273972603E-3</v>
      </c>
      <c r="I122" s="436">
        <f t="shared" si="13"/>
        <v>-8641.7311233739874</v>
      </c>
      <c r="J122" s="438">
        <f t="shared" si="14"/>
        <v>-1488412230.1796651</v>
      </c>
      <c r="N122" s="4">
        <f t="shared" si="8"/>
        <v>612</v>
      </c>
    </row>
    <row r="123" spans="1:14">
      <c r="A123" s="127">
        <f t="shared" si="9"/>
        <v>613</v>
      </c>
      <c r="B123" s="8"/>
      <c r="C123" s="306" t="s">
        <v>446</v>
      </c>
      <c r="D123" s="209"/>
      <c r="E123" s="209">
        <f>D13</f>
        <v>-1508728940.0507174</v>
      </c>
      <c r="F123" s="286"/>
      <c r="G123" s="286"/>
      <c r="H123" s="286"/>
      <c r="I123" s="9"/>
      <c r="J123" s="439"/>
      <c r="N123" s="4">
        <f t="shared" si="8"/>
        <v>613</v>
      </c>
    </row>
    <row r="124" spans="1:14">
      <c r="A124" s="127">
        <f t="shared" si="9"/>
        <v>614</v>
      </c>
      <c r="B124" s="8"/>
      <c r="C124" s="175"/>
      <c r="D124" s="291"/>
      <c r="E124" s="291"/>
      <c r="F124" s="286"/>
      <c r="G124" s="286"/>
      <c r="H124" s="286"/>
      <c r="I124" s="312" t="s">
        <v>1199</v>
      </c>
      <c r="J124" s="553">
        <f>+J122</f>
        <v>-1488412230.1796651</v>
      </c>
      <c r="N124" s="4">
        <f t="shared" si="8"/>
        <v>614</v>
      </c>
    </row>
    <row r="125" spans="1:14">
      <c r="A125" s="21"/>
      <c r="C125" s="8"/>
      <c r="K125" s="4"/>
    </row>
    <row r="126" spans="1:14">
      <c r="A126" s="21"/>
      <c r="B126" s="114" t="s">
        <v>1200</v>
      </c>
      <c r="C126" s="140"/>
      <c r="D126" s="47"/>
      <c r="E126" s="47"/>
      <c r="F126" s="47"/>
      <c r="G126" s="47"/>
      <c r="H126" s="47"/>
      <c r="I126" s="47"/>
      <c r="J126" s="47"/>
      <c r="K126" s="47"/>
      <c r="L126" s="47"/>
      <c r="M126" s="47"/>
      <c r="N126" s="4"/>
    </row>
    <row r="127" spans="1:14">
      <c r="A127" s="21"/>
      <c r="C127" s="7" t="s">
        <v>1201</v>
      </c>
      <c r="E127" s="2"/>
      <c r="F127" s="166" t="s">
        <v>1202</v>
      </c>
      <c r="G127" s="166" t="s">
        <v>1203</v>
      </c>
      <c r="H127" s="2"/>
      <c r="N127" s="4"/>
    </row>
    <row r="128" spans="1:14">
      <c r="A128" s="21"/>
      <c r="D128" s="181" t="s">
        <v>788</v>
      </c>
      <c r="E128" s="2"/>
      <c r="F128" s="519">
        <f>+C168</f>
        <v>0.05</v>
      </c>
      <c r="G128" s="519">
        <f>+C169</f>
        <v>9.5000000000000001E-2</v>
      </c>
      <c r="H128" s="519">
        <f>+'1-BaseTRR'!E117</f>
        <v>0.27983599999999997</v>
      </c>
      <c r="I128" s="4" t="s">
        <v>1204</v>
      </c>
      <c r="K128" s="362" t="s">
        <v>1187</v>
      </c>
      <c r="L128" s="4" t="s">
        <v>416</v>
      </c>
      <c r="M128" s="4" t="s">
        <v>419</v>
      </c>
      <c r="N128" s="21"/>
    </row>
    <row r="129" spans="1:14">
      <c r="A129" s="21"/>
      <c r="D129" s="182" t="s">
        <v>793</v>
      </c>
      <c r="E129" s="3" t="s">
        <v>1205</v>
      </c>
      <c r="F129" s="3" t="s">
        <v>1206</v>
      </c>
      <c r="G129" s="3" t="s">
        <v>1206</v>
      </c>
      <c r="H129" s="3" t="s">
        <v>1207</v>
      </c>
      <c r="I129" s="167" t="s">
        <v>1208</v>
      </c>
      <c r="J129" s="3" t="s">
        <v>1209</v>
      </c>
      <c r="K129" s="520" t="s">
        <v>1195</v>
      </c>
      <c r="L129" s="182" t="s">
        <v>774</v>
      </c>
      <c r="M129" s="3" t="s">
        <v>774</v>
      </c>
      <c r="N129" s="21"/>
    </row>
    <row r="130" spans="1:14">
      <c r="A130" s="21"/>
      <c r="C130" s="118" t="s">
        <v>371</v>
      </c>
      <c r="D130" s="118" t="s">
        <v>372</v>
      </c>
      <c r="E130" s="118" t="s">
        <v>373</v>
      </c>
      <c r="F130" s="118" t="s">
        <v>374</v>
      </c>
      <c r="G130" s="118" t="s">
        <v>375</v>
      </c>
      <c r="H130" s="118" t="s">
        <v>376</v>
      </c>
      <c r="I130" s="118" t="s">
        <v>377</v>
      </c>
      <c r="J130" s="118" t="s">
        <v>378</v>
      </c>
      <c r="K130" s="118" t="s">
        <v>409</v>
      </c>
      <c r="L130" s="118" t="s">
        <v>525</v>
      </c>
      <c r="M130" s="118" t="s">
        <v>526</v>
      </c>
      <c r="N130" s="21"/>
    </row>
    <row r="131" spans="1:14" ht="45">
      <c r="A131" s="115" t="s">
        <v>100</v>
      </c>
      <c r="B131" s="115" t="s">
        <v>420</v>
      </c>
      <c r="C131" s="1" t="s">
        <v>798</v>
      </c>
      <c r="D131" s="579" t="s">
        <v>1210</v>
      </c>
      <c r="E131" s="579" t="s">
        <v>1211</v>
      </c>
      <c r="F131" s="579" t="s">
        <v>1212</v>
      </c>
      <c r="G131" s="56"/>
      <c r="H131" s="579" t="s">
        <v>1213</v>
      </c>
      <c r="I131" s="21" t="s">
        <v>1214</v>
      </c>
      <c r="J131" s="21" t="s">
        <v>1215</v>
      </c>
      <c r="K131" s="579" t="s">
        <v>1216</v>
      </c>
      <c r="L131" s="21" t="s">
        <v>1217</v>
      </c>
      <c r="M131" s="580" t="s">
        <v>1218</v>
      </c>
      <c r="N131" s="21"/>
    </row>
    <row r="132" spans="1:14">
      <c r="A132" s="127">
        <v>700</v>
      </c>
      <c r="B132" s="18">
        <f>'1-BaseTRR'!$G$1-1</f>
        <v>2022</v>
      </c>
      <c r="C132" s="306" t="s">
        <v>430</v>
      </c>
      <c r="D132" s="183">
        <f>+'9-PlantAdditions'!D15</f>
        <v>62793263.9114419</v>
      </c>
      <c r="E132" s="30">
        <f>+D132*'12-DepRates'!$N$21/12*12</f>
        <v>1798620.567790563</v>
      </c>
      <c r="F132" s="30">
        <f>+D132*$F$128</f>
        <v>3139663.195572095</v>
      </c>
      <c r="G132" s="30"/>
      <c r="H132" s="30">
        <f>+(E132-F132)*$H$128</f>
        <v>-375272.00478787278</v>
      </c>
      <c r="I132" s="24">
        <f>-'1-BaseTRR'!$E$106/12</f>
        <v>1872292.3165075828</v>
      </c>
      <c r="J132" s="24">
        <f>+H132+I132</f>
        <v>1497020.31171971</v>
      </c>
      <c r="K132" s="358">
        <f t="shared" ref="K132:K143" si="15">+H111</f>
        <v>0.9178082191780822</v>
      </c>
      <c r="L132" s="30">
        <f t="shared" ref="L132:L143" si="16">+J132*K132</f>
        <v>1373977.5463728844</v>
      </c>
      <c r="M132" s="157">
        <f>+L132</f>
        <v>1373977.5463728844</v>
      </c>
      <c r="N132" s="4">
        <f t="shared" ref="N132:N144" si="17">+A132</f>
        <v>700</v>
      </c>
    </row>
    <row r="133" spans="1:14">
      <c r="A133" s="127">
        <f t="shared" ref="A133:A161" si="18">A132+1</f>
        <v>701</v>
      </c>
      <c r="B133" s="18">
        <f>+B132</f>
        <v>2022</v>
      </c>
      <c r="C133" s="306" t="s">
        <v>431</v>
      </c>
      <c r="D133" s="183">
        <f>+'9-PlantAdditions'!D16</f>
        <v>105827219.84780945</v>
      </c>
      <c r="E133" s="30">
        <f>+D133*'12-DepRates'!$N$21/12*11</f>
        <v>2778659.4536993587</v>
      </c>
      <c r="F133" s="30">
        <f t="shared" ref="F133:F143" si="19">+D133*$F$128</f>
        <v>5291360.9923904724</v>
      </c>
      <c r="G133" s="30"/>
      <c r="H133" s="30">
        <f t="shared" ref="H133:H143" si="20">+(E133-F133)*$H$128</f>
        <v>-703144.34778116643</v>
      </c>
      <c r="I133" s="24">
        <f>-'1-BaseTRR'!$E$106/12</f>
        <v>1872292.3165075828</v>
      </c>
      <c r="J133" s="24">
        <f t="shared" ref="J133:J143" si="21">+H133+I133</f>
        <v>1169147.9687264164</v>
      </c>
      <c r="K133" s="358">
        <f t="shared" si="15"/>
        <v>0.84109589041095889</v>
      </c>
      <c r="L133" s="30">
        <f t="shared" si="16"/>
        <v>983365.55177810905</v>
      </c>
      <c r="M133" s="157">
        <f t="shared" ref="M133:M143" si="22">+L133+M132</f>
        <v>2357343.0981509937</v>
      </c>
      <c r="N133" s="4">
        <f t="shared" si="17"/>
        <v>701</v>
      </c>
    </row>
    <row r="134" spans="1:14">
      <c r="A134" s="127">
        <f t="shared" si="18"/>
        <v>702</v>
      </c>
      <c r="B134" s="18">
        <f t="shared" ref="B134:B143" si="23">+B133</f>
        <v>2022</v>
      </c>
      <c r="C134" s="306" t="s">
        <v>432</v>
      </c>
      <c r="D134" s="183">
        <f>+'9-PlantAdditions'!D17</f>
        <v>109525758.5872464</v>
      </c>
      <c r="E134" s="30">
        <f>+D134*'12-DepRates'!$N$21/12*10</f>
        <v>2614336.7115474637</v>
      </c>
      <c r="F134" s="30">
        <f t="shared" si="19"/>
        <v>5476287.9293623203</v>
      </c>
      <c r="G134" s="30"/>
      <c r="H134" s="30">
        <f t="shared" si="20"/>
        <v>-800876.98098843812</v>
      </c>
      <c r="I134" s="24">
        <f>-'1-BaseTRR'!$E$106/12</f>
        <v>1872292.3165075828</v>
      </c>
      <c r="J134" s="24">
        <f t="shared" si="21"/>
        <v>1071415.3355191448</v>
      </c>
      <c r="K134" s="358">
        <f t="shared" si="15"/>
        <v>0.75616438356164384</v>
      </c>
      <c r="L134" s="30">
        <f t="shared" si="16"/>
        <v>810166.1167213259</v>
      </c>
      <c r="M134" s="157">
        <f t="shared" si="22"/>
        <v>3167509.2148723197</v>
      </c>
      <c r="N134" s="4">
        <f t="shared" si="17"/>
        <v>702</v>
      </c>
    </row>
    <row r="135" spans="1:14">
      <c r="A135" s="127">
        <f t="shared" si="18"/>
        <v>703</v>
      </c>
      <c r="B135" s="18">
        <f t="shared" si="23"/>
        <v>2022</v>
      </c>
      <c r="C135" s="306" t="s">
        <v>433</v>
      </c>
      <c r="D135" s="183">
        <f>+'9-PlantAdditions'!D18</f>
        <v>94315346.158920437</v>
      </c>
      <c r="E135" s="30">
        <f>+D135*'12-DepRates'!$N$21/12*9</f>
        <v>2026143.1429049796</v>
      </c>
      <c r="F135" s="30">
        <f t="shared" si="19"/>
        <v>4715767.3079460217</v>
      </c>
      <c r="G135" s="30"/>
      <c r="H135" s="30">
        <f t="shared" si="20"/>
        <v>-752653.66784842499</v>
      </c>
      <c r="I135" s="24">
        <f>-'1-BaseTRR'!$E$106/12</f>
        <v>1872292.3165075828</v>
      </c>
      <c r="J135" s="24">
        <f t="shared" si="21"/>
        <v>1119638.6486591578</v>
      </c>
      <c r="K135" s="358">
        <f t="shared" si="15"/>
        <v>0.67397260273972603</v>
      </c>
      <c r="L135" s="30">
        <f t="shared" si="16"/>
        <v>754605.77416480228</v>
      </c>
      <c r="M135" s="157">
        <f t="shared" si="22"/>
        <v>3922114.9890371221</v>
      </c>
      <c r="N135" s="4">
        <f t="shared" si="17"/>
        <v>703</v>
      </c>
    </row>
    <row r="136" spans="1:14">
      <c r="A136" s="127">
        <f t="shared" si="18"/>
        <v>704</v>
      </c>
      <c r="B136" s="18">
        <f t="shared" si="23"/>
        <v>2022</v>
      </c>
      <c r="C136" s="306" t="s">
        <v>395</v>
      </c>
      <c r="D136" s="183">
        <f>+'9-PlantAdditions'!D19</f>
        <v>84710442.535163522</v>
      </c>
      <c r="E136" s="30">
        <f>+D136*'12-DepRates'!$N$21/12*8</f>
        <v>1617603.914386566</v>
      </c>
      <c r="F136" s="30">
        <f t="shared" si="19"/>
        <v>4235522.1267581759</v>
      </c>
      <c r="G136" s="30"/>
      <c r="H136" s="30">
        <f t="shared" si="20"/>
        <v>-732587.76087722182</v>
      </c>
      <c r="I136" s="24">
        <f>-'1-BaseTRR'!$E$106/12</f>
        <v>1872292.3165075828</v>
      </c>
      <c r="J136" s="24">
        <f t="shared" si="21"/>
        <v>1139704.555630361</v>
      </c>
      <c r="K136" s="358">
        <f t="shared" si="15"/>
        <v>0.58904109589041098</v>
      </c>
      <c r="L136" s="30">
        <f t="shared" si="16"/>
        <v>671332.82043980167</v>
      </c>
      <c r="M136" s="157">
        <f t="shared" si="22"/>
        <v>4593447.8094769241</v>
      </c>
      <c r="N136" s="4">
        <f t="shared" si="17"/>
        <v>704</v>
      </c>
    </row>
    <row r="137" spans="1:14">
      <c r="A137" s="127">
        <f t="shared" si="18"/>
        <v>705</v>
      </c>
      <c r="B137" s="18">
        <f t="shared" si="23"/>
        <v>2022</v>
      </c>
      <c r="C137" s="306" t="s">
        <v>531</v>
      </c>
      <c r="D137" s="183">
        <f>+'9-PlantAdditions'!D20</f>
        <v>76446578.370898247</v>
      </c>
      <c r="E137" s="30">
        <f>+D137*'12-DepRates'!$N$21/12*7</f>
        <v>1277324.7975600071</v>
      </c>
      <c r="F137" s="30">
        <f t="shared" si="19"/>
        <v>3822328.9185449127</v>
      </c>
      <c r="G137" s="30"/>
      <c r="H137" s="30">
        <f t="shared" si="20"/>
        <v>-712183.77319993195</v>
      </c>
      <c r="I137" s="24">
        <f>-'1-BaseTRR'!$E$106/12</f>
        <v>1872292.3165075828</v>
      </c>
      <c r="J137" s="24">
        <f t="shared" si="21"/>
        <v>1160108.5433076508</v>
      </c>
      <c r="K137" s="358">
        <f t="shared" si="15"/>
        <v>0.50684931506849318</v>
      </c>
      <c r="L137" s="30">
        <f t="shared" si="16"/>
        <v>588000.22058059019</v>
      </c>
      <c r="M137" s="157">
        <f t="shared" si="22"/>
        <v>5181448.0300575141</v>
      </c>
      <c r="N137" s="4">
        <f t="shared" si="17"/>
        <v>705</v>
      </c>
    </row>
    <row r="138" spans="1:14">
      <c r="A138" s="127">
        <f t="shared" si="18"/>
        <v>706</v>
      </c>
      <c r="B138" s="18">
        <f t="shared" si="23"/>
        <v>2022</v>
      </c>
      <c r="C138" s="306" t="s">
        <v>435</v>
      </c>
      <c r="D138" s="183">
        <f>+'9-PlantAdditions'!D21</f>
        <v>65168045.317073867</v>
      </c>
      <c r="E138" s="30">
        <f>+D138*'12-DepRates'!$N$21/12*6</f>
        <v>933321.34188233048</v>
      </c>
      <c r="F138" s="30">
        <f t="shared" si="19"/>
        <v>3258402.2658536937</v>
      </c>
      <c r="G138" s="30"/>
      <c r="H138" s="30">
        <f t="shared" si="20"/>
        <v>-650641.34544045036</v>
      </c>
      <c r="I138" s="24">
        <f>-'1-BaseTRR'!$E$106/12</f>
        <v>1872292.3165075828</v>
      </c>
      <c r="J138" s="24">
        <f t="shared" si="21"/>
        <v>1221650.9710671324</v>
      </c>
      <c r="K138" s="358">
        <f t="shared" si="15"/>
        <v>0.42191780821917807</v>
      </c>
      <c r="L138" s="30">
        <f t="shared" si="16"/>
        <v>515436.30012147501</v>
      </c>
      <c r="M138" s="157">
        <f t="shared" si="22"/>
        <v>5696884.3301789891</v>
      </c>
      <c r="N138" s="4">
        <f t="shared" si="17"/>
        <v>706</v>
      </c>
    </row>
    <row r="139" spans="1:14">
      <c r="A139" s="127">
        <f t="shared" si="18"/>
        <v>707</v>
      </c>
      <c r="B139" s="18">
        <f t="shared" si="23"/>
        <v>2022</v>
      </c>
      <c r="C139" s="306" t="s">
        <v>436</v>
      </c>
      <c r="D139" s="183">
        <f>+'9-PlantAdditions'!D22</f>
        <v>107195667.74996752</v>
      </c>
      <c r="E139" s="30">
        <f>+D139*'12-DepRates'!$N$21/12*5</f>
        <v>1279359.1805819159</v>
      </c>
      <c r="F139" s="30">
        <f t="shared" si="19"/>
        <v>5359783.387498376</v>
      </c>
      <c r="G139" s="30"/>
      <c r="H139" s="30">
        <f t="shared" si="20"/>
        <v>-1141849.5883666743</v>
      </c>
      <c r="I139" s="24">
        <f>-'1-BaseTRR'!$E$106/12</f>
        <v>1872292.3165075828</v>
      </c>
      <c r="J139" s="24">
        <f t="shared" si="21"/>
        <v>730442.72814090853</v>
      </c>
      <c r="K139" s="358">
        <f t="shared" si="15"/>
        <v>0.33698630136986302</v>
      </c>
      <c r="L139" s="30">
        <f t="shared" si="16"/>
        <v>246149.19331871712</v>
      </c>
      <c r="M139" s="157">
        <f t="shared" si="22"/>
        <v>5943033.5234977063</v>
      </c>
      <c r="N139" s="4">
        <f t="shared" si="17"/>
        <v>707</v>
      </c>
    </row>
    <row r="140" spans="1:14">
      <c r="A140" s="127">
        <f t="shared" si="18"/>
        <v>708</v>
      </c>
      <c r="B140" s="18">
        <f t="shared" si="23"/>
        <v>2022</v>
      </c>
      <c r="C140" s="306" t="s">
        <v>437</v>
      </c>
      <c r="D140" s="183">
        <f>+'9-PlantAdditions'!D23</f>
        <v>94143048.919391602</v>
      </c>
      <c r="E140" s="30">
        <f>+D140*'12-DepRates'!$N$21/12*4</f>
        <v>898862.99661980558</v>
      </c>
      <c r="F140" s="30">
        <f t="shared" si="19"/>
        <v>4707152.4459695807</v>
      </c>
      <c r="G140" s="30"/>
      <c r="H140" s="30">
        <f t="shared" si="20"/>
        <v>-1065696.4863482434</v>
      </c>
      <c r="I140" s="24">
        <f>-'1-BaseTRR'!$E$106/12</f>
        <v>1872292.3165075828</v>
      </c>
      <c r="J140" s="24">
        <f t="shared" si="21"/>
        <v>806595.83015933936</v>
      </c>
      <c r="K140" s="358">
        <f t="shared" si="15"/>
        <v>0.25479452054794521</v>
      </c>
      <c r="L140" s="30">
        <f t="shared" si="16"/>
        <v>205516.1978214207</v>
      </c>
      <c r="M140" s="157">
        <f t="shared" si="22"/>
        <v>6148549.7213191269</v>
      </c>
      <c r="N140" s="4">
        <f t="shared" si="17"/>
        <v>708</v>
      </c>
    </row>
    <row r="141" spans="1:14">
      <c r="A141" s="127">
        <f t="shared" si="18"/>
        <v>709</v>
      </c>
      <c r="B141" s="18">
        <f t="shared" si="23"/>
        <v>2022</v>
      </c>
      <c r="C141" s="306" t="s">
        <v>438</v>
      </c>
      <c r="D141" s="183">
        <f>+'9-PlantAdditions'!D24</f>
        <v>46934913.737764984</v>
      </c>
      <c r="E141" s="30">
        <f>+D141*'12-DepRates'!$N$21/12*3</f>
        <v>336095.37049736665</v>
      </c>
      <c r="F141" s="30">
        <f t="shared" si="19"/>
        <v>2346745.6868882491</v>
      </c>
      <c r="G141" s="30"/>
      <c r="H141" s="30">
        <f t="shared" si="20"/>
        <v>-562652.34193755896</v>
      </c>
      <c r="I141" s="24">
        <f>-'1-BaseTRR'!$E$106/12</f>
        <v>1872292.3165075828</v>
      </c>
      <c r="J141" s="24">
        <f t="shared" si="21"/>
        <v>1309639.9745700238</v>
      </c>
      <c r="K141" s="358">
        <f t="shared" si="15"/>
        <v>0.16986301369863013</v>
      </c>
      <c r="L141" s="30">
        <f t="shared" si="16"/>
        <v>222459.39294066158</v>
      </c>
      <c r="M141" s="157">
        <f t="shared" si="22"/>
        <v>6371009.1142597888</v>
      </c>
      <c r="N141" s="4">
        <f t="shared" si="17"/>
        <v>709</v>
      </c>
    </row>
    <row r="142" spans="1:14">
      <c r="A142" s="127">
        <f t="shared" si="18"/>
        <v>710</v>
      </c>
      <c r="B142" s="18">
        <f t="shared" si="23"/>
        <v>2022</v>
      </c>
      <c r="C142" s="306" t="s">
        <v>439</v>
      </c>
      <c r="D142" s="183">
        <f>+'9-PlantAdditions'!D25</f>
        <v>123905410.78088114</v>
      </c>
      <c r="E142" s="30">
        <f>+D142*'12-DepRates'!$N$21/12*2</f>
        <v>591514.66895486286</v>
      </c>
      <c r="F142" s="30">
        <f t="shared" si="19"/>
        <v>6195270.539044057</v>
      </c>
      <c r="G142" s="30"/>
      <c r="H142" s="30">
        <f t="shared" si="20"/>
        <v>-1568132.6276622794</v>
      </c>
      <c r="I142" s="24">
        <f>-'1-BaseTRR'!$E$106/12</f>
        <v>1872292.3165075828</v>
      </c>
      <c r="J142" s="24">
        <f t="shared" si="21"/>
        <v>304159.68884530338</v>
      </c>
      <c r="K142" s="358">
        <f t="shared" si="15"/>
        <v>8.7671232876712329E-2</v>
      </c>
      <c r="L142" s="30">
        <f t="shared" si="16"/>
        <v>26666.054912464955</v>
      </c>
      <c r="M142" s="157">
        <f t="shared" si="22"/>
        <v>6397675.1691722535</v>
      </c>
      <c r="N142" s="4">
        <f t="shared" si="17"/>
        <v>710</v>
      </c>
    </row>
    <row r="143" spans="1:14">
      <c r="A143" s="127">
        <f t="shared" si="18"/>
        <v>711</v>
      </c>
      <c r="B143" s="18">
        <f t="shared" si="23"/>
        <v>2022</v>
      </c>
      <c r="C143" s="306" t="s">
        <v>428</v>
      </c>
      <c r="D143" s="521">
        <f>+'9-PlantAdditions'!D26</f>
        <v>138386795.19064838</v>
      </c>
      <c r="E143" s="522">
        <f>+D143*'12-DepRates'!$N$21/12*1</f>
        <v>330323.82859244599</v>
      </c>
      <c r="F143" s="522">
        <f t="shared" si="19"/>
        <v>6919339.759532419</v>
      </c>
      <c r="G143" s="522"/>
      <c r="H143" s="522">
        <f t="shared" si="20"/>
        <v>-1843843.8620505182</v>
      </c>
      <c r="I143" s="523">
        <f>-'1-BaseTRR'!$E$106/12</f>
        <v>1872292.3165075828</v>
      </c>
      <c r="J143" s="523">
        <f t="shared" si="21"/>
        <v>28448.454457064625</v>
      </c>
      <c r="K143" s="358">
        <f t="shared" si="15"/>
        <v>2.7397260273972603E-3</v>
      </c>
      <c r="L143" s="30">
        <f t="shared" si="16"/>
        <v>77.940971115245546</v>
      </c>
      <c r="M143" s="157">
        <f t="shared" si="22"/>
        <v>6397753.1101433691</v>
      </c>
      <c r="N143" s="4">
        <f t="shared" si="17"/>
        <v>711</v>
      </c>
    </row>
    <row r="144" spans="1:14">
      <c r="A144" s="127">
        <f t="shared" si="18"/>
        <v>712</v>
      </c>
      <c r="C144" s="306" t="s">
        <v>1219</v>
      </c>
      <c r="D144" s="529">
        <f>SUM(D132:D143)</f>
        <v>1109352491.1072075</v>
      </c>
      <c r="E144" s="530">
        <f>SUM(E132:E143)</f>
        <v>16482165.975017667</v>
      </c>
      <c r="F144" s="530">
        <f>SUM(F132:F143)</f>
        <v>55467624.555360384</v>
      </c>
      <c r="G144" s="530"/>
      <c r="H144" s="530">
        <f>SUM(H132:H143)</f>
        <v>-10909534.787288779</v>
      </c>
      <c r="I144" s="352">
        <f>SUM(I132:I143)</f>
        <v>22467507.798090991</v>
      </c>
      <c r="J144" s="352">
        <f>SUM(J132:J143)</f>
        <v>11557973.010802215</v>
      </c>
      <c r="K144" s="524"/>
      <c r="N144" s="4">
        <f t="shared" si="17"/>
        <v>712</v>
      </c>
    </row>
    <row r="145" spans="1:16">
      <c r="A145" s="127"/>
      <c r="C145" s="306"/>
      <c r="D145" s="183"/>
      <c r="E145" s="157"/>
      <c r="F145" s="157"/>
      <c r="G145" s="157"/>
      <c r="H145" s="157"/>
      <c r="J145" s="24"/>
      <c r="K145" s="524"/>
      <c r="N145" s="2"/>
    </row>
    <row r="146" spans="1:16">
      <c r="A146" s="127">
        <f>A144+1</f>
        <v>713</v>
      </c>
      <c r="C146" s="306" t="s">
        <v>448</v>
      </c>
      <c r="D146" s="183"/>
      <c r="H146" s="157">
        <f>+H144</f>
        <v>-10909534.787288779</v>
      </c>
      <c r="I146" s="2"/>
      <c r="J146" s="157">
        <f>+J144</f>
        <v>11557973.010802215</v>
      </c>
      <c r="K146" s="56">
        <f>+H110</f>
        <v>1</v>
      </c>
      <c r="L146" s="30">
        <f>+J146*K146</f>
        <v>11557973.010802215</v>
      </c>
      <c r="M146" s="157">
        <f t="shared" ref="M146" si="24">+L146+M145</f>
        <v>11557973.010802215</v>
      </c>
      <c r="N146" s="4">
        <f>+A146</f>
        <v>713</v>
      </c>
    </row>
    <row r="147" spans="1:16" ht="30">
      <c r="A147" s="127"/>
      <c r="C147" s="306"/>
      <c r="D147" s="182" t="s">
        <v>793</v>
      </c>
      <c r="E147" s="167" t="s">
        <v>1220</v>
      </c>
      <c r="F147" s="167" t="s">
        <v>1221</v>
      </c>
      <c r="G147" s="167" t="s">
        <v>1222</v>
      </c>
      <c r="H147" s="3" t="s">
        <v>1207</v>
      </c>
      <c r="I147" s="167" t="s">
        <v>1208</v>
      </c>
      <c r="J147" s="525" t="s">
        <v>1209</v>
      </c>
      <c r="K147" s="526" t="s">
        <v>1223</v>
      </c>
      <c r="L147" s="527" t="s">
        <v>1224</v>
      </c>
      <c r="M147" s="167" t="s">
        <v>1225</v>
      </c>
      <c r="N147" s="4"/>
    </row>
    <row r="148" spans="1:16" ht="102.75" customHeight="1">
      <c r="A148" s="115" t="s">
        <v>100</v>
      </c>
      <c r="B148" s="115"/>
      <c r="C148" s="1" t="s">
        <v>1226</v>
      </c>
      <c r="D148" s="579" t="s">
        <v>1227</v>
      </c>
      <c r="E148" s="579" t="s">
        <v>1228</v>
      </c>
      <c r="F148" s="579" t="s">
        <v>1212</v>
      </c>
      <c r="G148" s="579" t="s">
        <v>1229</v>
      </c>
      <c r="H148" s="579" t="s">
        <v>1230</v>
      </c>
      <c r="I148" s="21" t="s">
        <v>1214</v>
      </c>
      <c r="J148" s="21" t="s">
        <v>1215</v>
      </c>
      <c r="K148" s="579" t="s">
        <v>1216</v>
      </c>
      <c r="L148" s="21" t="s">
        <v>1217</v>
      </c>
      <c r="M148" s="580" t="s">
        <v>1218</v>
      </c>
      <c r="N148" s="2"/>
    </row>
    <row r="149" spans="1:16">
      <c r="A149" s="127">
        <f>A146+1</f>
        <v>714</v>
      </c>
      <c r="B149" s="18">
        <f>'1-BaseTRR'!$G$1</f>
        <v>2023</v>
      </c>
      <c r="C149" s="306" t="s">
        <v>430</v>
      </c>
      <c r="D149" s="183">
        <f>+'9-PlantAdditions'!D27</f>
        <v>49618270.568053111</v>
      </c>
      <c r="E149" s="30">
        <f>+(($D$144/12)*'12-DepRates'!$N$21)+((D149*'12-DepRates'!$N$21)/12*12)</f>
        <v>4069222.9816537891</v>
      </c>
      <c r="F149" s="30">
        <f>+D149*$F$128</f>
        <v>2480913.5284026559</v>
      </c>
      <c r="G149" s="30">
        <f>+$D$144*$G$128/12</f>
        <v>8782373.8879320603</v>
      </c>
      <c r="H149" s="30">
        <f t="shared" ref="H149:H160" si="25">+(E149-F149-G149)*$H$128</f>
        <v>-2013158.2151433718</v>
      </c>
      <c r="I149" s="24">
        <f>-'1-BaseTRR'!$E$106/12</f>
        <v>1872292.3165075828</v>
      </c>
      <c r="J149" s="24">
        <f>+H149+I149</f>
        <v>-140865.89863578905</v>
      </c>
      <c r="K149" s="22">
        <f t="shared" ref="K149:K160" si="26">+K132</f>
        <v>0.9178082191780822</v>
      </c>
      <c r="L149" s="30">
        <f t="shared" ref="L149:L160" si="27">+J149*K149</f>
        <v>-129287.87956983379</v>
      </c>
      <c r="M149" s="157">
        <f>+L149+M146</f>
        <v>11428685.131232381</v>
      </c>
      <c r="N149" s="4">
        <f t="shared" ref="N149:N161" si="28">+A149</f>
        <v>714</v>
      </c>
      <c r="P149" s="21"/>
    </row>
    <row r="150" spans="1:16">
      <c r="A150" s="127">
        <f t="shared" si="18"/>
        <v>715</v>
      </c>
      <c r="B150" s="18">
        <f>'1-BaseTRR'!$G$1</f>
        <v>2023</v>
      </c>
      <c r="C150" s="306" t="s">
        <v>431</v>
      </c>
      <c r="D150" s="183">
        <f>+'9-PlantAdditions'!D28</f>
        <v>116096400.44989839</v>
      </c>
      <c r="E150" s="30">
        <f>+(($D$144/12)*'12-DepRates'!$N$21)+((D150*'12-DepRates'!$N$21)/12*11)</f>
        <v>5696273.5739464834</v>
      </c>
      <c r="F150" s="30">
        <f t="shared" ref="F150:F160" si="29">+D150*$F$128</f>
        <v>5804820.0224949196</v>
      </c>
      <c r="G150" s="30">
        <f t="shared" ref="G150:G160" si="30">+$D$144*$G$128/12</f>
        <v>8782373.8879320603</v>
      </c>
      <c r="H150" s="30">
        <f t="shared" si="25"/>
        <v>-2487999.5832793559</v>
      </c>
      <c r="I150" s="24">
        <f>-'1-BaseTRR'!$E$106/12</f>
        <v>1872292.3165075828</v>
      </c>
      <c r="J150" s="24">
        <f t="shared" ref="J150:J160" si="31">+H150+I150</f>
        <v>-615707.26677177311</v>
      </c>
      <c r="K150" s="22">
        <f t="shared" si="26"/>
        <v>0.84109589041095889</v>
      </c>
      <c r="L150" s="30">
        <f t="shared" si="27"/>
        <v>-517868.85177790228</v>
      </c>
      <c r="M150" s="157">
        <f t="shared" ref="M150:M160" si="32">+L150+M149</f>
        <v>10910816.279454479</v>
      </c>
      <c r="N150" s="4">
        <f t="shared" si="28"/>
        <v>715</v>
      </c>
      <c r="P150" s="21"/>
    </row>
    <row r="151" spans="1:16">
      <c r="A151" s="127">
        <f t="shared" si="18"/>
        <v>716</v>
      </c>
      <c r="B151" s="18">
        <f>'1-BaseTRR'!$G$1</f>
        <v>2023</v>
      </c>
      <c r="C151" s="306" t="s">
        <v>432</v>
      </c>
      <c r="D151" s="183">
        <f>+'9-PlantAdditions'!D29</f>
        <v>115135775.99437858</v>
      </c>
      <c r="E151" s="30">
        <f>+(($D$144/12)*'12-DepRates'!$N$21)+((D151*'12-DepRates'!$N$21)/12*10)</f>
        <v>5396226.3121750318</v>
      </c>
      <c r="F151" s="30">
        <f t="shared" si="29"/>
        <v>5756788.7997189295</v>
      </c>
      <c r="G151" s="30">
        <f t="shared" si="30"/>
        <v>8782373.8879320603</v>
      </c>
      <c r="H151" s="30">
        <f t="shared" si="25"/>
        <v>-2558522.7435676898</v>
      </c>
      <c r="I151" s="24">
        <f>-'1-BaseTRR'!$E$106/12</f>
        <v>1872292.3165075828</v>
      </c>
      <c r="J151" s="24">
        <f t="shared" si="31"/>
        <v>-686230.427060107</v>
      </c>
      <c r="K151" s="22">
        <f t="shared" si="26"/>
        <v>0.75616438356164384</v>
      </c>
      <c r="L151" s="30">
        <f t="shared" si="27"/>
        <v>-518903.00785914942</v>
      </c>
      <c r="M151" s="157">
        <f t="shared" si="32"/>
        <v>10391913.271595329</v>
      </c>
      <c r="N151" s="4">
        <f t="shared" si="28"/>
        <v>716</v>
      </c>
    </row>
    <row r="152" spans="1:16">
      <c r="A152" s="127">
        <f t="shared" si="18"/>
        <v>717</v>
      </c>
      <c r="B152" s="18">
        <f>'1-BaseTRR'!$G$1</f>
        <v>2023</v>
      </c>
      <c r="C152" s="306" t="s">
        <v>433</v>
      </c>
      <c r="D152" s="183">
        <f>+'9-PlantAdditions'!D30</f>
        <v>142511793.06752589</v>
      </c>
      <c r="E152" s="30">
        <f>+(($D$144/12)*'12-DepRates'!$N$21)+((D152*'12-DepRates'!$N$21)/12*9)</f>
        <v>5709511.0193378441</v>
      </c>
      <c r="F152" s="30">
        <f t="shared" si="29"/>
        <v>7125589.6533762952</v>
      </c>
      <c r="G152" s="30">
        <f t="shared" si="30"/>
        <v>8782373.8879320603</v>
      </c>
      <c r="H152" s="30">
        <f t="shared" si="25"/>
        <v>-2853894.1599381394</v>
      </c>
      <c r="I152" s="24">
        <f>-'1-BaseTRR'!$E$106/12</f>
        <v>1872292.3165075828</v>
      </c>
      <c r="J152" s="24">
        <f t="shared" si="31"/>
        <v>-981601.84343055659</v>
      </c>
      <c r="K152" s="22">
        <f t="shared" si="26"/>
        <v>0.67397260273972603</v>
      </c>
      <c r="L152" s="30">
        <f t="shared" si="27"/>
        <v>-661572.74927100528</v>
      </c>
      <c r="M152" s="157">
        <f t="shared" si="32"/>
        <v>9730340.5223243237</v>
      </c>
      <c r="N152" s="4">
        <f t="shared" si="28"/>
        <v>717</v>
      </c>
    </row>
    <row r="153" spans="1:16">
      <c r="A153" s="127">
        <f t="shared" si="18"/>
        <v>718</v>
      </c>
      <c r="B153" s="18">
        <f>'1-BaseTRR'!$G$1</f>
        <v>2023</v>
      </c>
      <c r="C153" s="306" t="s">
        <v>395</v>
      </c>
      <c r="D153" s="183">
        <f>+'9-PlantAdditions'!D31</f>
        <v>227324311.86141998</v>
      </c>
      <c r="E153" s="30">
        <f>+(($D$144/12)*'12-DepRates'!$N$21)+((D153*'12-DepRates'!$N$21)/12*8)</f>
        <v>6988894.1137652509</v>
      </c>
      <c r="F153" s="30">
        <f t="shared" si="29"/>
        <v>11366215.593070999</v>
      </c>
      <c r="G153" s="30">
        <f t="shared" si="30"/>
        <v>8782373.8879320603</v>
      </c>
      <c r="H153" s="30">
        <f t="shared" si="25"/>
        <v>-3682556.5127863591</v>
      </c>
      <c r="I153" s="24">
        <f>-'1-BaseTRR'!$E$106/12</f>
        <v>1872292.3165075828</v>
      </c>
      <c r="J153" s="24">
        <f t="shared" si="31"/>
        <v>-1810264.1962787763</v>
      </c>
      <c r="K153" s="22">
        <f t="shared" si="26"/>
        <v>0.58904109589041098</v>
      </c>
      <c r="L153" s="30">
        <f t="shared" si="27"/>
        <v>-1066320.0060272245</v>
      </c>
      <c r="M153" s="157">
        <f t="shared" si="32"/>
        <v>8664020.5162970982</v>
      </c>
      <c r="N153" s="4">
        <f t="shared" si="28"/>
        <v>718</v>
      </c>
    </row>
    <row r="154" spans="1:16">
      <c r="A154" s="127">
        <f t="shared" si="18"/>
        <v>719</v>
      </c>
      <c r="B154" s="18">
        <f>'1-BaseTRR'!$G$1</f>
        <v>2023</v>
      </c>
      <c r="C154" s="306" t="s">
        <v>531</v>
      </c>
      <c r="D154" s="183">
        <f>+'9-PlantAdditions'!D32</f>
        <v>59624779.481891699</v>
      </c>
      <c r="E154" s="30">
        <f>+(($D$144/12)*'12-DepRates'!$N$21)+((D154*'12-DepRates'!$N$21)/12*7)</f>
        <v>3644234.6936960593</v>
      </c>
      <c r="F154" s="30">
        <f t="shared" si="29"/>
        <v>2981238.974094585</v>
      </c>
      <c r="G154" s="30">
        <f t="shared" si="30"/>
        <v>8782373.8879320603</v>
      </c>
      <c r="H154" s="30">
        <f t="shared" si="25"/>
        <v>-2272094.3091129577</v>
      </c>
      <c r="I154" s="24">
        <f>-'1-BaseTRR'!$E$106/12</f>
        <v>1872292.3165075828</v>
      </c>
      <c r="J154" s="24">
        <f t="shared" si="31"/>
        <v>-399801.99260537489</v>
      </c>
      <c r="K154" s="22">
        <f t="shared" si="26"/>
        <v>0.50684931506849318</v>
      </c>
      <c r="L154" s="30">
        <f t="shared" si="27"/>
        <v>-202639.36611505304</v>
      </c>
      <c r="M154" s="157">
        <f t="shared" si="32"/>
        <v>8461381.150182046</v>
      </c>
      <c r="N154" s="4">
        <f t="shared" si="28"/>
        <v>719</v>
      </c>
    </row>
    <row r="155" spans="1:16">
      <c r="A155" s="127">
        <f t="shared" si="18"/>
        <v>720</v>
      </c>
      <c r="B155" s="18">
        <f>'1-BaseTRR'!$G$1</f>
        <v>2023</v>
      </c>
      <c r="C155" s="306" t="s">
        <v>435</v>
      </c>
      <c r="D155" s="183">
        <f>+'9-PlantAdditions'!D33</f>
        <v>106348381.11542998</v>
      </c>
      <c r="E155" s="30">
        <f>+(($D$144/12)*'12-DepRates'!$N$21)+((D155*'12-DepRates'!$N$21)/12*6)</f>
        <v>4171077.0728799356</v>
      </c>
      <c r="F155" s="30">
        <f t="shared" si="29"/>
        <v>5317419.0557714999</v>
      </c>
      <c r="G155" s="30">
        <f t="shared" si="30"/>
        <v>8782373.8879320603</v>
      </c>
      <c r="H155" s="30">
        <f t="shared" si="25"/>
        <v>-2778412.1344277998</v>
      </c>
      <c r="I155" s="24">
        <f>-'1-BaseTRR'!$E$106/12</f>
        <v>1872292.3165075828</v>
      </c>
      <c r="J155" s="24">
        <f t="shared" si="31"/>
        <v>-906119.81792021706</v>
      </c>
      <c r="K155" s="22">
        <f t="shared" si="26"/>
        <v>0.42191780821917807</v>
      </c>
      <c r="L155" s="30">
        <f t="shared" si="27"/>
        <v>-382308.08756085869</v>
      </c>
      <c r="M155" s="157">
        <f t="shared" si="32"/>
        <v>8079073.0626211874</v>
      </c>
      <c r="N155" s="4">
        <f t="shared" si="28"/>
        <v>720</v>
      </c>
    </row>
    <row r="156" spans="1:16">
      <c r="A156" s="127">
        <f t="shared" si="18"/>
        <v>721</v>
      </c>
      <c r="B156" s="18">
        <f>'1-BaseTRR'!$G$1</f>
        <v>2023</v>
      </c>
      <c r="C156" s="306" t="s">
        <v>436</v>
      </c>
      <c r="D156" s="183">
        <f>+'9-PlantAdditions'!D34</f>
        <v>79795732.599498272</v>
      </c>
      <c r="E156" s="30">
        <f>+(($D$144/12)*'12-DepRates'!$N$21)+((D156*'12-DepRates'!$N$21)/12*5)</f>
        <v>3600327.0465417625</v>
      </c>
      <c r="F156" s="30">
        <f t="shared" si="29"/>
        <v>3989786.6299749138</v>
      </c>
      <c r="G156" s="30">
        <f t="shared" si="30"/>
        <v>8782373.8879320603</v>
      </c>
      <c r="H156" s="30">
        <f t="shared" si="25"/>
        <v>-2566609.1912929551</v>
      </c>
      <c r="I156" s="24">
        <f>-'1-BaseTRR'!$E$106/12</f>
        <v>1872292.3165075828</v>
      </c>
      <c r="J156" s="24">
        <f t="shared" si="31"/>
        <v>-694316.87478537229</v>
      </c>
      <c r="K156" s="22">
        <f t="shared" si="26"/>
        <v>0.33698630136986302</v>
      </c>
      <c r="L156" s="30">
        <f t="shared" si="27"/>
        <v>-233975.27561260492</v>
      </c>
      <c r="M156" s="157">
        <f t="shared" si="32"/>
        <v>7845097.7870085826</v>
      </c>
      <c r="N156" s="4">
        <f t="shared" si="28"/>
        <v>721</v>
      </c>
    </row>
    <row r="157" spans="1:16">
      <c r="A157" s="127">
        <f t="shared" si="18"/>
        <v>722</v>
      </c>
      <c r="B157" s="18">
        <f>'1-BaseTRR'!$G$1</f>
        <v>2023</v>
      </c>
      <c r="C157" s="306" t="s">
        <v>437</v>
      </c>
      <c r="D157" s="183">
        <f>+'9-PlantAdditions'!D35</f>
        <v>51957387.754123323</v>
      </c>
      <c r="E157" s="30">
        <f>+(($D$144/12)*'12-DepRates'!$N$21)+((D157*'12-DepRates'!$N$21)/12*4)</f>
        <v>3144061.6462582801</v>
      </c>
      <c r="F157" s="30">
        <f t="shared" si="29"/>
        <v>2597869.3877061661</v>
      </c>
      <c r="G157" s="30">
        <f t="shared" si="30"/>
        <v>8782373.8879320603</v>
      </c>
      <c r="H157" s="30">
        <f t="shared" si="25"/>
        <v>-2304780.1224391665</v>
      </c>
      <c r="I157" s="24">
        <f>-'1-BaseTRR'!$E$106/12</f>
        <v>1872292.3165075828</v>
      </c>
      <c r="J157" s="24">
        <f t="shared" si="31"/>
        <v>-432487.80593158375</v>
      </c>
      <c r="K157" s="22">
        <f t="shared" si="26"/>
        <v>0.25479452054794521</v>
      </c>
      <c r="L157" s="30">
        <f t="shared" si="27"/>
        <v>-110195.52315517065</v>
      </c>
      <c r="M157" s="157">
        <f t="shared" si="32"/>
        <v>7734902.2638534121</v>
      </c>
      <c r="N157" s="4">
        <f t="shared" si="28"/>
        <v>722</v>
      </c>
    </row>
    <row r="158" spans="1:16">
      <c r="A158" s="127">
        <f t="shared" si="18"/>
        <v>723</v>
      </c>
      <c r="B158" s="18">
        <f>'1-BaseTRR'!$G$1</f>
        <v>2023</v>
      </c>
      <c r="C158" s="306" t="s">
        <v>438</v>
      </c>
      <c r="D158" s="183">
        <f>+'9-PlantAdditions'!D36</f>
        <v>80698909.42913574</v>
      </c>
      <c r="E158" s="30">
        <f>+(($D$144/12)*'12-DepRates'!$N$21)+((D158*'12-DepRates'!$N$21)/12*3)</f>
        <v>3225856.0485030198</v>
      </c>
      <c r="F158" s="30">
        <f t="shared" si="29"/>
        <v>4034945.4714567871</v>
      </c>
      <c r="G158" s="30">
        <f t="shared" si="30"/>
        <v>8782373.8879320603</v>
      </c>
      <c r="H158" s="30">
        <f t="shared" si="25"/>
        <v>-2684036.7270650463</v>
      </c>
      <c r="I158" s="24">
        <f>-'1-BaseTRR'!$E$106/12</f>
        <v>1872292.3165075828</v>
      </c>
      <c r="J158" s="24">
        <f t="shared" si="31"/>
        <v>-811744.41055746353</v>
      </c>
      <c r="K158" s="22">
        <f t="shared" si="26"/>
        <v>0.16986301369863013</v>
      </c>
      <c r="L158" s="30">
        <f t="shared" si="27"/>
        <v>-137885.35193030888</v>
      </c>
      <c r="M158" s="157">
        <f t="shared" si="32"/>
        <v>7597016.911923103</v>
      </c>
      <c r="N158" s="4">
        <f t="shared" si="28"/>
        <v>723</v>
      </c>
    </row>
    <row r="159" spans="1:16">
      <c r="A159" s="127">
        <f t="shared" si="18"/>
        <v>724</v>
      </c>
      <c r="B159" s="18">
        <f>'1-BaseTRR'!$G$1</f>
        <v>2023</v>
      </c>
      <c r="C159" s="306" t="s">
        <v>439</v>
      </c>
      <c r="D159" s="183">
        <f>+'9-PlantAdditions'!D37</f>
        <v>97025439.715009868</v>
      </c>
      <c r="E159" s="30">
        <f>+(($D$144/12)*'12-DepRates'!$N$21)+((D159*'12-DepRates'!$N$21)/12*2)</f>
        <v>3111172.499970214</v>
      </c>
      <c r="F159" s="30">
        <f t="shared" si="29"/>
        <v>4851271.9857504936</v>
      </c>
      <c r="G159" s="30">
        <f t="shared" si="30"/>
        <v>8782373.8879320603</v>
      </c>
      <c r="H159" s="30">
        <f t="shared" si="25"/>
        <v>-2944566.859006166</v>
      </c>
      <c r="I159" s="24">
        <f>-'1-BaseTRR'!$E$106/12</f>
        <v>1872292.3165075828</v>
      </c>
      <c r="J159" s="24">
        <f t="shared" si="31"/>
        <v>-1072274.5424985832</v>
      </c>
      <c r="K159" s="22">
        <f t="shared" si="26"/>
        <v>8.7671232876712329E-2</v>
      </c>
      <c r="L159" s="30">
        <f t="shared" si="27"/>
        <v>-94007.631123163461</v>
      </c>
      <c r="M159" s="157">
        <f t="shared" si="32"/>
        <v>7503009.2807999393</v>
      </c>
      <c r="N159" s="4">
        <f t="shared" si="28"/>
        <v>724</v>
      </c>
    </row>
    <row r="160" spans="1:16">
      <c r="A160" s="127">
        <f t="shared" si="18"/>
        <v>725</v>
      </c>
      <c r="B160" s="18">
        <f>'1-BaseTRR'!$G$1</f>
        <v>2023</v>
      </c>
      <c r="C160" s="306" t="s">
        <v>428</v>
      </c>
      <c r="D160" s="521">
        <f>+'9-PlantAdditions'!D38</f>
        <v>160287416.34041917</v>
      </c>
      <c r="E160" s="522">
        <f>+(($D$144/12)*'12-DepRates'!$N$21)+((D160*'12-DepRates'!$N$21)/12*1)</f>
        <v>3030580.4436332504</v>
      </c>
      <c r="F160" s="522">
        <f t="shared" si="29"/>
        <v>8014370.8170209592</v>
      </c>
      <c r="G160" s="522">
        <f t="shared" si="30"/>
        <v>8782373.8879320603</v>
      </c>
      <c r="H160" s="522">
        <f t="shared" si="25"/>
        <v>-3852268.3422306785</v>
      </c>
      <c r="I160" s="523">
        <f>-'1-BaseTRR'!$E$106/12</f>
        <v>1872292.3165075828</v>
      </c>
      <c r="J160" s="523">
        <f t="shared" si="31"/>
        <v>-1979976.0257230958</v>
      </c>
      <c r="K160" s="22">
        <f t="shared" si="26"/>
        <v>2.7397260273972603E-3</v>
      </c>
      <c r="L160" s="30">
        <f t="shared" si="27"/>
        <v>-5424.5918512961525</v>
      </c>
      <c r="M160" s="157">
        <f t="shared" si="32"/>
        <v>7497584.6889486434</v>
      </c>
      <c r="N160" s="4">
        <f t="shared" si="28"/>
        <v>725</v>
      </c>
    </row>
    <row r="161" spans="1:14">
      <c r="A161" s="127">
        <f t="shared" si="18"/>
        <v>726</v>
      </c>
      <c r="C161" s="306" t="s">
        <v>1219</v>
      </c>
      <c r="D161" s="227">
        <f t="shared" ref="D161:J161" si="33">SUM(D149:D160)</f>
        <v>1286424598.3767838</v>
      </c>
      <c r="E161" s="530">
        <f t="shared" si="33"/>
        <v>51787437.452360921</v>
      </c>
      <c r="F161" s="530">
        <f t="shared" si="33"/>
        <v>64321229.918839216</v>
      </c>
      <c r="G161" s="530">
        <f t="shared" si="33"/>
        <v>105388486.65518473</v>
      </c>
      <c r="H161" s="530">
        <f t="shared" si="33"/>
        <v>-32998898.900289688</v>
      </c>
      <c r="I161" s="352">
        <f t="shared" si="33"/>
        <v>22467507.798090991</v>
      </c>
      <c r="J161" s="352">
        <f t="shared" si="33"/>
        <v>-10531391.102198694</v>
      </c>
      <c r="K161" s="157"/>
      <c r="N161" s="4">
        <f t="shared" si="28"/>
        <v>726</v>
      </c>
    </row>
    <row r="162" spans="1:14">
      <c r="E162" s="30"/>
      <c r="N162" s="2"/>
    </row>
    <row r="163" spans="1:14">
      <c r="A163" s="127">
        <f>A161+1</f>
        <v>727</v>
      </c>
      <c r="C163" s="554" t="s">
        <v>1231</v>
      </c>
      <c r="D163" s="227">
        <f>+D144+D161</f>
        <v>2395777089.4839916</v>
      </c>
      <c r="E163" s="227">
        <f>+E144+E161</f>
        <v>68269603.427378595</v>
      </c>
      <c r="F163" s="227">
        <f>+F144+F161</f>
        <v>119788854.47419959</v>
      </c>
      <c r="G163" s="227">
        <f>+G144+G161</f>
        <v>105388486.65518473</v>
      </c>
      <c r="H163" s="555">
        <f>+H144+H161</f>
        <v>-43908433.68757847</v>
      </c>
      <c r="M163" s="157">
        <f>+M160</f>
        <v>7497584.6889486434</v>
      </c>
      <c r="N163" s="4">
        <f>+A163</f>
        <v>727</v>
      </c>
    </row>
    <row r="164" spans="1:14" ht="30">
      <c r="A164" s="127">
        <f t="shared" ref="A164" si="34">A163+1</f>
        <v>728</v>
      </c>
      <c r="C164" s="306" t="s">
        <v>1232</v>
      </c>
      <c r="D164" s="11"/>
      <c r="G164" s="30"/>
      <c r="H164" s="30"/>
      <c r="M164" s="528">
        <f>((M163*'1-BaseTRR'!E68)*(1+'1-BaseTRR'!E99/(1-'1-BaseTRR'!E99)))+(M163*'1-BaseTRR'!E63)</f>
        <v>675796.52347354789</v>
      </c>
      <c r="N164" s="4">
        <f>+A164</f>
        <v>728</v>
      </c>
    </row>
    <row r="165" spans="1:14">
      <c r="A165" s="127"/>
      <c r="M165" s="6" t="s">
        <v>251</v>
      </c>
      <c r="N165" s="4"/>
    </row>
    <row r="166" spans="1:14">
      <c r="N166" s="4"/>
    </row>
    <row r="167" spans="1:14">
      <c r="A167" s="115" t="s">
        <v>100</v>
      </c>
      <c r="B167" s="3" t="s">
        <v>420</v>
      </c>
      <c r="C167" s="3" t="s">
        <v>1233</v>
      </c>
      <c r="N167" s="3" t="str">
        <f t="shared" ref="N167:N183" si="35">+A167</f>
        <v>Line</v>
      </c>
    </row>
    <row r="168" spans="1:14">
      <c r="A168" s="127">
        <f>A164+1</f>
        <v>729</v>
      </c>
      <c r="B168" s="21">
        <v>1</v>
      </c>
      <c r="C168" s="22">
        <v>0.05</v>
      </c>
      <c r="N168" s="4">
        <f t="shared" si="35"/>
        <v>729</v>
      </c>
    </row>
    <row r="169" spans="1:14">
      <c r="A169" s="127">
        <f t="shared" ref="A169:A183" si="36">+A168+1</f>
        <v>730</v>
      </c>
      <c r="B169" s="21">
        <f>+B168+1</f>
        <v>2</v>
      </c>
      <c r="C169" s="22">
        <v>9.5000000000000001E-2</v>
      </c>
      <c r="E169" s="376"/>
      <c r="F169" s="157"/>
      <c r="N169" s="4">
        <f t="shared" si="35"/>
        <v>730</v>
      </c>
    </row>
    <row r="170" spans="1:14">
      <c r="A170" s="127">
        <f t="shared" si="36"/>
        <v>731</v>
      </c>
      <c r="B170" s="21">
        <f t="shared" ref="B170:B182" si="37">+B169+1</f>
        <v>3</v>
      </c>
      <c r="C170" s="22">
        <v>8.5500000000000007E-2</v>
      </c>
      <c r="E170" s="376"/>
      <c r="F170" s="157"/>
      <c r="N170" s="4">
        <f t="shared" si="35"/>
        <v>731</v>
      </c>
    </row>
    <row r="171" spans="1:14">
      <c r="A171" s="127">
        <f t="shared" si="36"/>
        <v>732</v>
      </c>
      <c r="B171" s="21">
        <f t="shared" si="37"/>
        <v>4</v>
      </c>
      <c r="C171" s="22">
        <v>7.6999999999999999E-2</v>
      </c>
      <c r="E171" s="376"/>
      <c r="F171" s="157"/>
      <c r="N171" s="4">
        <f t="shared" si="35"/>
        <v>732</v>
      </c>
    </row>
    <row r="172" spans="1:14">
      <c r="A172" s="127">
        <f t="shared" si="36"/>
        <v>733</v>
      </c>
      <c r="B172" s="21">
        <f t="shared" si="37"/>
        <v>5</v>
      </c>
      <c r="C172" s="22">
        <v>6.93E-2</v>
      </c>
      <c r="E172" s="376"/>
      <c r="F172" s="157"/>
      <c r="N172" s="4">
        <f t="shared" si="35"/>
        <v>733</v>
      </c>
    </row>
    <row r="173" spans="1:14">
      <c r="A173" s="127">
        <f t="shared" si="36"/>
        <v>734</v>
      </c>
      <c r="B173" s="21">
        <f t="shared" si="37"/>
        <v>6</v>
      </c>
      <c r="C173" s="22">
        <v>6.2300000000000001E-2</v>
      </c>
      <c r="E173" s="376"/>
      <c r="F173" s="157"/>
      <c r="N173" s="4">
        <f t="shared" si="35"/>
        <v>734</v>
      </c>
    </row>
    <row r="174" spans="1:14">
      <c r="A174" s="127">
        <f t="shared" si="36"/>
        <v>735</v>
      </c>
      <c r="B174" s="21">
        <f t="shared" si="37"/>
        <v>7</v>
      </c>
      <c r="C174" s="22">
        <v>5.8999999999999997E-2</v>
      </c>
      <c r="E174" s="376"/>
      <c r="F174" s="157"/>
      <c r="N174" s="4">
        <f t="shared" si="35"/>
        <v>735</v>
      </c>
    </row>
    <row r="175" spans="1:14">
      <c r="A175" s="127">
        <f t="shared" si="36"/>
        <v>736</v>
      </c>
      <c r="B175" s="21">
        <f t="shared" si="37"/>
        <v>8</v>
      </c>
      <c r="C175" s="22">
        <v>5.8999999999999997E-2</v>
      </c>
      <c r="E175" s="376"/>
      <c r="F175" s="157"/>
      <c r="N175" s="4">
        <f t="shared" si="35"/>
        <v>736</v>
      </c>
    </row>
    <row r="176" spans="1:14">
      <c r="A176" s="127">
        <f t="shared" si="36"/>
        <v>737</v>
      </c>
      <c r="B176" s="21">
        <f t="shared" si="37"/>
        <v>9</v>
      </c>
      <c r="C176" s="22">
        <v>5.91E-2</v>
      </c>
      <c r="E176" s="376"/>
      <c r="F176" s="157"/>
      <c r="N176" s="4">
        <f t="shared" si="35"/>
        <v>737</v>
      </c>
    </row>
    <row r="177" spans="1:14">
      <c r="A177" s="127">
        <f t="shared" si="36"/>
        <v>738</v>
      </c>
      <c r="B177" s="21">
        <f t="shared" si="37"/>
        <v>10</v>
      </c>
      <c r="C177" s="22">
        <v>5.8999999999999997E-2</v>
      </c>
      <c r="E177" s="376"/>
      <c r="F177" s="157"/>
      <c r="N177" s="4">
        <f t="shared" si="35"/>
        <v>738</v>
      </c>
    </row>
    <row r="178" spans="1:14">
      <c r="A178" s="127">
        <f t="shared" si="36"/>
        <v>739</v>
      </c>
      <c r="B178" s="21">
        <f t="shared" si="37"/>
        <v>11</v>
      </c>
      <c r="C178" s="22">
        <v>5.91E-2</v>
      </c>
      <c r="E178" s="376"/>
      <c r="F178" s="157"/>
      <c r="N178" s="4">
        <f t="shared" si="35"/>
        <v>739</v>
      </c>
    </row>
    <row r="179" spans="1:14">
      <c r="A179" s="127">
        <f t="shared" si="36"/>
        <v>740</v>
      </c>
      <c r="B179" s="21">
        <f t="shared" si="37"/>
        <v>12</v>
      </c>
      <c r="C179" s="22">
        <v>5.8999999999999997E-2</v>
      </c>
      <c r="E179" s="376"/>
      <c r="F179" s="157"/>
      <c r="N179" s="4">
        <f t="shared" si="35"/>
        <v>740</v>
      </c>
    </row>
    <row r="180" spans="1:14">
      <c r="A180" s="127">
        <f t="shared" si="36"/>
        <v>741</v>
      </c>
      <c r="B180" s="21">
        <f t="shared" si="37"/>
        <v>13</v>
      </c>
      <c r="C180" s="22">
        <v>5.91E-2</v>
      </c>
      <c r="E180" s="376"/>
      <c r="F180" s="157"/>
      <c r="N180" s="4">
        <f t="shared" si="35"/>
        <v>741</v>
      </c>
    </row>
    <row r="181" spans="1:14">
      <c r="A181" s="127">
        <f t="shared" si="36"/>
        <v>742</v>
      </c>
      <c r="B181" s="21">
        <f t="shared" si="37"/>
        <v>14</v>
      </c>
      <c r="C181" s="22">
        <v>5.8999999999999997E-2</v>
      </c>
      <c r="E181" s="376"/>
      <c r="N181" s="4">
        <f t="shared" si="35"/>
        <v>742</v>
      </c>
    </row>
    <row r="182" spans="1:14">
      <c r="A182" s="127">
        <f t="shared" si="36"/>
        <v>743</v>
      </c>
      <c r="B182" s="21">
        <f t="shared" si="37"/>
        <v>15</v>
      </c>
      <c r="C182" s="22">
        <v>5.91E-2</v>
      </c>
      <c r="E182" s="157"/>
      <c r="N182" s="4">
        <f t="shared" si="35"/>
        <v>743</v>
      </c>
    </row>
    <row r="183" spans="1:14">
      <c r="A183" s="127">
        <f t="shared" si="36"/>
        <v>744</v>
      </c>
      <c r="B183" s="21">
        <f>+B182+1</f>
        <v>16</v>
      </c>
      <c r="C183" s="22">
        <v>2.9499999999999998E-2</v>
      </c>
      <c r="N183" s="4">
        <f t="shared" si="35"/>
        <v>744</v>
      </c>
    </row>
    <row r="184" spans="1:14">
      <c r="A184" s="21"/>
      <c r="K184" s="4"/>
    </row>
    <row r="185" spans="1:14">
      <c r="A185" s="21"/>
      <c r="B185" s="206" t="s">
        <v>306</v>
      </c>
      <c r="K185" s="4"/>
    </row>
    <row r="186" spans="1:14">
      <c r="A186" s="21"/>
      <c r="B186" s="817" t="s">
        <v>1234</v>
      </c>
      <c r="C186" s="817"/>
      <c r="D186" s="817"/>
      <c r="E186" s="817"/>
      <c r="F186" s="817"/>
      <c r="G186" s="817"/>
      <c r="H186" s="817"/>
      <c r="I186" s="817"/>
      <c r="J186" s="817"/>
      <c r="K186" s="4"/>
    </row>
    <row r="187" spans="1:14">
      <c r="A187" s="21"/>
      <c r="B187" s="817" t="s">
        <v>1235</v>
      </c>
      <c r="C187" s="817"/>
      <c r="D187" s="817"/>
      <c r="E187" s="817"/>
      <c r="F187" s="817"/>
      <c r="G187" s="817"/>
      <c r="H187" s="817"/>
      <c r="I187" s="817"/>
      <c r="J187" s="817"/>
      <c r="K187" s="4"/>
    </row>
    <row r="188" spans="1:14">
      <c r="B188" t="s">
        <v>1236</v>
      </c>
    </row>
  </sheetData>
  <protectedRanges>
    <protectedRange password="F1C4" sqref="J58" name="AAReport1_23_1_1_2_3"/>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 password="F1C4" sqref="D17" name="AAReport1_23_1_1_2_7"/>
  </protectedRanges>
  <mergeCells count="2">
    <mergeCell ref="B186:J186"/>
    <mergeCell ref="B187:J187"/>
  </mergeCells>
  <conditionalFormatting sqref="B80 D80 D96">
    <cfRule type="expression" dxfId="3" priority="12" stopIfTrue="1">
      <formula>Formulas</formula>
    </cfRule>
  </conditionalFormatting>
  <conditionalFormatting sqref="B96">
    <cfRule type="expression" dxfId="2" priority="9" stopIfTrue="1">
      <formula>Formulas</formula>
    </cfRule>
  </conditionalFormatting>
  <conditionalFormatting sqref="C76:C80">
    <cfRule type="expression" dxfId="1" priority="4" stopIfTrue="1">
      <formula>#REF!&lt;&gt;""</formula>
    </cfRule>
  </conditionalFormatting>
  <conditionalFormatting sqref="C93:C96">
    <cfRule type="expression" dxfId="0" priority="1" stopIfTrue="1">
      <formula>#REF!&lt;&gt;""</formula>
    </cfRule>
  </conditionalFormatting>
  <printOptions horizontalCentered="1"/>
  <pageMargins left="1" right="1" top="1" bottom="1" header="0.5" footer="0.5"/>
  <pageSetup scale="33" fitToHeight="0" orientation="landscape" r:id="rId1"/>
  <headerFooter>
    <oddHeader>&amp;C&amp;"-,Bold"&amp;12Pacific Gas and Electric Company
Formula Rate Model
Schedule 14-ADIT</oddHeader>
  </headerFooter>
  <rowBreaks count="2" manualBreakCount="2">
    <brk id="69" max="13" man="1"/>
    <brk id="124" max="13" man="1"/>
  </rowBreaks>
  <customProperties>
    <customPr name="_pios_id" r:id="rId2"/>
    <customPr name="EpmWorksheetKeyString_GUID" r:id="rId3"/>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32"/>
  <sheetViews>
    <sheetView zoomScaleNormal="100" zoomScaleSheetLayoutView="100" zoomScalePageLayoutView="85" workbookViewId="0">
      <selection activeCell="D29" sqref="D29"/>
    </sheetView>
  </sheetViews>
  <sheetFormatPr defaultColWidth="9.140625" defaultRowHeight="15"/>
  <cols>
    <col min="1" max="1" width="4.5703125" bestFit="1" customWidth="1"/>
    <col min="2" max="2" width="59.5703125" bestFit="1" customWidth="1"/>
    <col min="3" max="3" width="20.85546875" customWidth="1"/>
    <col min="4" max="4" width="56.7109375" style="35" bestFit="1" customWidth="1"/>
    <col min="5" max="5" width="22.5703125" bestFit="1" customWidth="1"/>
    <col min="6" max="6" width="19.42578125" bestFit="1" customWidth="1"/>
    <col min="7" max="7" width="4.5703125" bestFit="1" customWidth="1"/>
  </cols>
  <sheetData>
    <row r="1" spans="1:7">
      <c r="B1" s="2" t="s">
        <v>42</v>
      </c>
      <c r="E1" s="6"/>
      <c r="F1" s="6" t="str">
        <f>CONCATENATE("Prior Year: ",'1-BaseTRR'!$G$2)</f>
        <v>Prior Year: 2021</v>
      </c>
    </row>
    <row r="2" spans="1:7">
      <c r="B2" s="113" t="s">
        <v>131</v>
      </c>
      <c r="E2" s="6"/>
      <c r="F2" s="6"/>
    </row>
    <row r="3" spans="1:7">
      <c r="B3" s="138"/>
      <c r="G3" s="313"/>
    </row>
    <row r="4" spans="1:7">
      <c r="B4" s="50" t="s">
        <v>1237</v>
      </c>
      <c r="C4" s="47"/>
      <c r="D4" s="46"/>
      <c r="E4" s="47"/>
      <c r="F4" s="47"/>
      <c r="G4" s="313"/>
    </row>
    <row r="5" spans="1:7">
      <c r="A5" s="3" t="s">
        <v>100</v>
      </c>
      <c r="B5" s="3" t="s">
        <v>6</v>
      </c>
      <c r="C5" s="3" t="s">
        <v>448</v>
      </c>
      <c r="D5" s="3" t="s">
        <v>135</v>
      </c>
      <c r="E5" s="3" t="s">
        <v>136</v>
      </c>
      <c r="F5" s="3" t="str">
        <f>A5</f>
        <v>Line</v>
      </c>
    </row>
    <row r="6" spans="1:7">
      <c r="A6" s="127">
        <v>100</v>
      </c>
      <c r="B6" t="s">
        <v>1238</v>
      </c>
      <c r="C6" s="351">
        <v>200840150.5388512</v>
      </c>
      <c r="D6" s="35" t="s">
        <v>1239</v>
      </c>
      <c r="E6" s="29"/>
      <c r="F6" s="127">
        <f>A6</f>
        <v>100</v>
      </c>
    </row>
    <row r="7" spans="1:7">
      <c r="A7" s="127">
        <f>A6+1</f>
        <v>101</v>
      </c>
      <c r="B7" t="s">
        <v>1240</v>
      </c>
      <c r="C7" s="24">
        <f>C8-C6</f>
        <v>125341153.4611488</v>
      </c>
      <c r="D7" s="35" t="str">
        <f>CONCATENATE("Line ",A8," - ","Line ",A6)</f>
        <v>Line 102 - Line 100</v>
      </c>
      <c r="F7" s="127">
        <f>A7</f>
        <v>101</v>
      </c>
    </row>
    <row r="8" spans="1:7">
      <c r="A8" s="127">
        <f>A7+1</f>
        <v>102</v>
      </c>
      <c r="B8" t="s">
        <v>1241</v>
      </c>
      <c r="C8" s="351">
        <v>326181304</v>
      </c>
      <c r="D8" s="455" t="s">
        <v>1242</v>
      </c>
      <c r="F8" s="127">
        <f>A8</f>
        <v>102</v>
      </c>
    </row>
    <row r="9" spans="1:7">
      <c r="C9" s="11"/>
      <c r="D9" s="455"/>
      <c r="E9" s="29"/>
    </row>
    <row r="10" spans="1:7">
      <c r="B10" s="50" t="s">
        <v>1243</v>
      </c>
      <c r="C10" s="52"/>
      <c r="D10" s="456"/>
      <c r="E10" s="314"/>
    </row>
    <row r="11" spans="1:7">
      <c r="A11" s="3" t="s">
        <v>100</v>
      </c>
      <c r="B11" s="3" t="s">
        <v>6</v>
      </c>
      <c r="C11" s="315" t="s">
        <v>448</v>
      </c>
      <c r="D11" s="3" t="s">
        <v>135</v>
      </c>
      <c r="E11" s="3" t="s">
        <v>136</v>
      </c>
      <c r="F11" s="3" t="str">
        <f>A11</f>
        <v>Line</v>
      </c>
    </row>
    <row r="12" spans="1:7">
      <c r="A12" s="127">
        <f>A8+1</f>
        <v>103</v>
      </c>
      <c r="B12" t="s">
        <v>1244</v>
      </c>
      <c r="C12" s="351">
        <v>126586601.5</v>
      </c>
      <c r="D12" s="35" t="s">
        <v>1245</v>
      </c>
      <c r="E12" s="29"/>
      <c r="F12" s="127">
        <f>A12</f>
        <v>103</v>
      </c>
    </row>
    <row r="13" spans="1:7">
      <c r="A13" s="127">
        <f>A12+1</f>
        <v>104</v>
      </c>
      <c r="B13" t="s">
        <v>1246</v>
      </c>
      <c r="C13" s="24">
        <f>C14-C12</f>
        <v>129287222.5</v>
      </c>
      <c r="D13" s="35" t="str">
        <f>CONCATENATE("Line ",A14," - ","Line ",A12)</f>
        <v>Line 105 - Line 103</v>
      </c>
      <c r="F13" s="127">
        <f>A13</f>
        <v>104</v>
      </c>
    </row>
    <row r="14" spans="1:7">
      <c r="A14" s="127">
        <f>A13+1</f>
        <v>105</v>
      </c>
      <c r="B14" t="s">
        <v>1241</v>
      </c>
      <c r="C14" s="351">
        <v>255873824</v>
      </c>
      <c r="D14" s="455" t="s">
        <v>1247</v>
      </c>
      <c r="F14" s="127">
        <f>A14</f>
        <v>105</v>
      </c>
    </row>
    <row r="15" spans="1:7">
      <c r="A15" s="127"/>
      <c r="C15" s="24"/>
      <c r="D15" s="455"/>
      <c r="E15" s="29"/>
      <c r="F15" s="127"/>
    </row>
    <row r="16" spans="1:7">
      <c r="A16" s="127">
        <f>A14+1</f>
        <v>106</v>
      </c>
      <c r="B16" t="s">
        <v>1248</v>
      </c>
      <c r="C16" s="351">
        <v>7472552.4640722312</v>
      </c>
      <c r="D16" s="35" t="s">
        <v>1249</v>
      </c>
      <c r="F16" s="127">
        <f>A16</f>
        <v>106</v>
      </c>
    </row>
    <row r="17" spans="1:7">
      <c r="A17" s="127">
        <f>A16+1</f>
        <v>107</v>
      </c>
      <c r="B17" t="s">
        <v>1250</v>
      </c>
      <c r="C17" s="24">
        <f>C18-C16</f>
        <v>121671603.53592777</v>
      </c>
      <c r="D17" s="35" t="str">
        <f>CONCATENATE("Line ",A18," - ","Line ",A16)</f>
        <v>Line 108 - Line 106</v>
      </c>
      <c r="F17" s="127">
        <f>A17</f>
        <v>107</v>
      </c>
    </row>
    <row r="18" spans="1:7">
      <c r="A18" s="127">
        <f>A17+1</f>
        <v>108</v>
      </c>
      <c r="B18" t="s">
        <v>1251</v>
      </c>
      <c r="C18" s="351">
        <v>129144156</v>
      </c>
      <c r="D18" s="35" t="s">
        <v>1252</v>
      </c>
      <c r="F18" s="127">
        <f>A18</f>
        <v>108</v>
      </c>
    </row>
    <row r="19" spans="1:7">
      <c r="A19" s="127"/>
      <c r="C19" s="24"/>
      <c r="F19" s="127"/>
    </row>
    <row r="20" spans="1:7">
      <c r="A20" s="127">
        <f>A18+1</f>
        <v>109</v>
      </c>
      <c r="B20" s="6" t="s">
        <v>1253</v>
      </c>
      <c r="C20" s="352">
        <f>AVERAGE(C6,C12)</f>
        <v>163713376.0194256</v>
      </c>
      <c r="D20" s="35" t="str">
        <f>"Average of Lines "&amp;A6&amp;" and "&amp;A12&amp;""</f>
        <v>Average of Lines 100 and 103</v>
      </c>
      <c r="F20" s="127">
        <f>A20</f>
        <v>109</v>
      </c>
    </row>
    <row r="21" spans="1:7">
      <c r="A21" s="127"/>
      <c r="C21" s="6"/>
      <c r="D21" s="457"/>
      <c r="E21" s="35"/>
      <c r="G21" s="127"/>
    </row>
    <row r="22" spans="1:7">
      <c r="B22" s="7"/>
    </row>
    <row r="32" spans="1:7">
      <c r="D32" s="143"/>
      <c r="E32" s="8"/>
    </row>
  </sheetData>
  <protectedRanges>
    <protectedRange password="F1C4" sqref="D7 D13 D17" name="AAReport1_23_1_1_2_3"/>
  </protectedRanges>
  <printOptions horizontalCentered="1"/>
  <pageMargins left="1" right="1" top="1" bottom="1" header="0.5" footer="0.5"/>
  <pageSetup scale="61" orientation="landscape" r:id="rId1"/>
  <headerFooter>
    <oddHeader>&amp;C&amp;"-,Bold"&amp;12Pacific Gas and Electric Company
Formula Rate Model
Schedule 15-NUC&amp;"-,Regular"&amp;11</oddHeader>
  </headerFooter>
  <customProperties>
    <customPr name="_pios_id" r:id="rId2"/>
    <customPr name="EpmWorksheetKeyString_GUID" r:id="rId3"/>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J74"/>
  <sheetViews>
    <sheetView topLeftCell="A39" zoomScale="85" zoomScaleNormal="85" zoomScaleSheetLayoutView="70" workbookViewId="0">
      <selection activeCell="E25" sqref="E25"/>
    </sheetView>
  </sheetViews>
  <sheetFormatPr defaultColWidth="9.140625" defaultRowHeight="15"/>
  <cols>
    <col min="1" max="1" width="6.7109375" bestFit="1" customWidth="1"/>
    <col min="2" max="2" width="47.140625" customWidth="1"/>
    <col min="3" max="3" width="4.42578125" customWidth="1"/>
    <col min="4" max="4" width="22.7109375" customWidth="1"/>
    <col min="5" max="5" width="21.42578125" customWidth="1"/>
    <col min="6" max="6" width="57.28515625" bestFit="1" customWidth="1"/>
    <col min="7" max="7" width="7" bestFit="1" customWidth="1"/>
    <col min="10" max="10" width="16" bestFit="1" customWidth="1"/>
  </cols>
  <sheetData>
    <row r="1" spans="1:10">
      <c r="B1" s="2" t="s">
        <v>44</v>
      </c>
      <c r="F1" s="6" t="str">
        <f>CONCATENATE("Prior Year: ",'1-BaseTRR'!$G$2)</f>
        <v>Prior Year: 2021</v>
      </c>
    </row>
    <row r="2" spans="1:10">
      <c r="B2" s="113" t="s">
        <v>131</v>
      </c>
      <c r="F2" s="6"/>
    </row>
    <row r="3" spans="1:10">
      <c r="B3" s="138"/>
      <c r="D3" s="4" t="s">
        <v>371</v>
      </c>
      <c r="E3" s="4" t="s">
        <v>372</v>
      </c>
      <c r="F3" s="3" t="s">
        <v>135</v>
      </c>
    </row>
    <row r="4" spans="1:10">
      <c r="A4" s="3" t="s">
        <v>100</v>
      </c>
      <c r="B4" s="50" t="s">
        <v>1254</v>
      </c>
      <c r="C4" s="47"/>
      <c r="D4" s="47"/>
      <c r="E4" s="47"/>
      <c r="F4" s="47"/>
      <c r="G4" s="3" t="str">
        <f>A4</f>
        <v>Line</v>
      </c>
    </row>
    <row r="5" spans="1:10">
      <c r="A5" s="4">
        <v>100</v>
      </c>
      <c r="B5" s="35" t="s">
        <v>1255</v>
      </c>
      <c r="E5" s="63">
        <f>E18+E27+E34+E43+E52</f>
        <v>-96615214</v>
      </c>
      <c r="F5" s="35" t="s">
        <v>1256</v>
      </c>
      <c r="G5" s="4">
        <f>A5</f>
        <v>100</v>
      </c>
    </row>
    <row r="6" spans="1:10">
      <c r="A6" s="4">
        <f>A5+1</f>
        <v>101</v>
      </c>
      <c r="B6" s="35" t="s">
        <v>1257</v>
      </c>
      <c r="E6" s="63">
        <f>E15+E25+E41+E32+E50</f>
        <v>-125291172.50674115</v>
      </c>
      <c r="F6" s="35" t="s">
        <v>1258</v>
      </c>
      <c r="G6" s="4">
        <f>A6</f>
        <v>101</v>
      </c>
    </row>
    <row r="7" spans="1:10">
      <c r="B7" s="138"/>
    </row>
    <row r="8" spans="1:10">
      <c r="B8" s="50" t="s">
        <v>1259</v>
      </c>
      <c r="C8" s="47"/>
      <c r="D8" s="47"/>
      <c r="E8" s="47"/>
      <c r="F8" s="47"/>
    </row>
    <row r="9" spans="1:10">
      <c r="D9" s="3" t="s">
        <v>371</v>
      </c>
      <c r="E9" s="3" t="s">
        <v>372</v>
      </c>
      <c r="F9" s="21"/>
    </row>
    <row r="10" spans="1:10" ht="24" customHeight="1">
      <c r="A10" s="3" t="s">
        <v>100</v>
      </c>
      <c r="B10" s="3" t="s">
        <v>6</v>
      </c>
      <c r="C10" s="3"/>
      <c r="D10" s="167" t="s">
        <v>1260</v>
      </c>
      <c r="E10" s="3" t="s">
        <v>1261</v>
      </c>
      <c r="F10" s="3" t="s">
        <v>135</v>
      </c>
      <c r="G10" s="3" t="str">
        <f t="shared" ref="G10:G15" si="0">A10</f>
        <v>Line</v>
      </c>
    </row>
    <row r="11" spans="1:10" ht="18" customHeight="1">
      <c r="A11" s="4">
        <v>200</v>
      </c>
      <c r="B11" t="s">
        <v>1262</v>
      </c>
      <c r="D11" s="44">
        <v>-337183744.5</v>
      </c>
      <c r="E11" s="44">
        <v>-361396927.81</v>
      </c>
      <c r="F11" s="143" t="s">
        <v>111</v>
      </c>
      <c r="G11" s="4">
        <f t="shared" si="0"/>
        <v>200</v>
      </c>
    </row>
    <row r="12" spans="1:10" ht="18" customHeight="1">
      <c r="A12" s="4">
        <f>A11+1</f>
        <v>201</v>
      </c>
      <c r="B12" t="s">
        <v>1263</v>
      </c>
      <c r="D12" s="17">
        <v>45700000</v>
      </c>
      <c r="E12" s="17">
        <v>45700000</v>
      </c>
      <c r="F12" s="143" t="s">
        <v>203</v>
      </c>
      <c r="G12" s="4">
        <f t="shared" si="0"/>
        <v>201</v>
      </c>
    </row>
    <row r="13" spans="1:10" ht="18" customHeight="1">
      <c r="A13" s="4">
        <f>A12+1</f>
        <v>202</v>
      </c>
      <c r="B13" t="s">
        <v>1264</v>
      </c>
      <c r="D13" s="23">
        <f>+D12+D11</f>
        <v>-291483744.5</v>
      </c>
      <c r="E13" s="23">
        <f>+E12+E11</f>
        <v>-315696927.81</v>
      </c>
      <c r="F13" s="35" t="str">
        <f>"Line "&amp;A11&amp;" + Line "&amp;A12&amp;""</f>
        <v>Line 200 + Line 201</v>
      </c>
      <c r="G13" s="4">
        <f t="shared" si="0"/>
        <v>202</v>
      </c>
      <c r="J13" s="12"/>
    </row>
    <row r="14" spans="1:10" ht="18" customHeight="1">
      <c r="A14" s="4">
        <f>A13+1</f>
        <v>203</v>
      </c>
      <c r="B14" t="s">
        <v>1265</v>
      </c>
      <c r="D14" s="25">
        <f>'24-Allocators'!$C$24</f>
        <v>0.10327848903946341</v>
      </c>
      <c r="E14" s="25">
        <f>'24-Allocators'!$C$24</f>
        <v>0.10327848903946341</v>
      </c>
      <c r="F14" s="35" t="str">
        <f>CONCATENATE("24-Allocators, Line ",'24-Allocators'!A24)</f>
        <v>24-Allocators, Line 113</v>
      </c>
      <c r="G14" s="4">
        <f t="shared" si="0"/>
        <v>203</v>
      </c>
    </row>
    <row r="15" spans="1:10" ht="18" customHeight="1">
      <c r="A15" s="4">
        <f>A14+1</f>
        <v>204</v>
      </c>
      <c r="B15" s="2" t="s">
        <v>1266</v>
      </c>
      <c r="C15" s="2"/>
      <c r="D15" s="63">
        <f>ROUND(D13*D14,0)</f>
        <v>-30104001</v>
      </c>
      <c r="E15" s="63">
        <f>ROUND(E13*E14,0)</f>
        <v>-32604702</v>
      </c>
      <c r="F15" s="35" t="str">
        <f>"Line "&amp;A13&amp;" * Line "&amp;A14&amp;""</f>
        <v>Line 202 * Line 203</v>
      </c>
      <c r="G15" s="4">
        <f t="shared" si="0"/>
        <v>204</v>
      </c>
    </row>
    <row r="16" spans="1:10" ht="18" customHeight="1">
      <c r="A16" s="4"/>
      <c r="D16" s="13"/>
      <c r="E16" s="13"/>
      <c r="F16" s="35"/>
      <c r="G16" s="4"/>
    </row>
    <row r="17" spans="1:7" ht="18" customHeight="1">
      <c r="A17" s="4"/>
      <c r="F17" s="35"/>
      <c r="G17" s="4"/>
    </row>
    <row r="18" spans="1:7" ht="18" customHeight="1">
      <c r="A18" s="4">
        <f>A15+1</f>
        <v>205</v>
      </c>
      <c r="D18" s="6" t="s">
        <v>1267</v>
      </c>
      <c r="E18" s="63">
        <f>ROUND(AVERAGE(D15:E15),0)</f>
        <v>-31354352</v>
      </c>
      <c r="F18" s="35" t="str">
        <f>CONCATENATE("Average of Line ",A15,", ",D9," and ",E9)</f>
        <v>Average of Line 204, Col 1 and Col 2</v>
      </c>
      <c r="G18" s="4">
        <f>A18</f>
        <v>205</v>
      </c>
    </row>
    <row r="19" spans="1:7" ht="18" customHeight="1">
      <c r="A19" s="4"/>
      <c r="D19" s="6"/>
      <c r="E19" s="352"/>
      <c r="F19" s="21"/>
      <c r="G19" s="4"/>
    </row>
    <row r="20" spans="1:7" ht="18" customHeight="1">
      <c r="B20" s="50" t="s">
        <v>1268</v>
      </c>
      <c r="C20" s="47"/>
      <c r="D20" s="47"/>
      <c r="E20" s="47"/>
      <c r="F20" s="218"/>
    </row>
    <row r="21" spans="1:7" ht="18" customHeight="1">
      <c r="B21" s="2"/>
      <c r="D21" s="4" t="s">
        <v>371</v>
      </c>
      <c r="E21" s="4" t="s">
        <v>372</v>
      </c>
      <c r="F21" s="21"/>
    </row>
    <row r="22" spans="1:7" ht="18" customHeight="1">
      <c r="D22" s="3" t="s">
        <v>1269</v>
      </c>
      <c r="E22" s="3" t="s">
        <v>481</v>
      </c>
      <c r="F22" s="3" t="s">
        <v>135</v>
      </c>
    </row>
    <row r="23" spans="1:7" ht="18" customHeight="1">
      <c r="A23" s="4">
        <v>300</v>
      </c>
      <c r="B23" t="s">
        <v>1270</v>
      </c>
      <c r="D23" s="23">
        <f>-13916317.265*2</f>
        <v>-27832634.530000001</v>
      </c>
      <c r="E23" s="44">
        <f>(-13916317.265*3)+N("former formula was: -'5-CostofCap-4'!E8")</f>
        <v>-41748951.795000002</v>
      </c>
      <c r="F23" s="575" t="str">
        <f>CONCATENATE("Negative 5-CostofCap-4, Line ",'5-CostofCap-4'!A8," (see Note 3)")</f>
        <v>Negative 5-CostofCap-4, Line 102 (see Note 3)</v>
      </c>
      <c r="G23" s="4">
        <f t="shared" ref="G23:G25" si="1">A23</f>
        <v>300</v>
      </c>
    </row>
    <row r="24" spans="1:7" ht="18" customHeight="1">
      <c r="A24" s="4">
        <f>+A23+1</f>
        <v>301</v>
      </c>
      <c r="B24" t="s">
        <v>1271</v>
      </c>
      <c r="D24" s="32">
        <f>+E24</f>
        <v>0.16303308552822116</v>
      </c>
      <c r="E24" s="32">
        <f>+'24-Allocators'!C29</f>
        <v>0.16303308552822116</v>
      </c>
      <c r="F24" s="35" t="str">
        <f>CONCATENATE("24-Allocators, Line ",'24-Allocators'!A29)</f>
        <v>24-Allocators, Line 116</v>
      </c>
      <c r="G24" s="4">
        <f t="shared" si="1"/>
        <v>301</v>
      </c>
    </row>
    <row r="25" spans="1:7" ht="18" customHeight="1">
      <c r="A25" s="4">
        <f>+A24+1</f>
        <v>302</v>
      </c>
      <c r="B25" t="s">
        <v>1272</v>
      </c>
      <c r="D25" s="576">
        <f>+D24*D23</f>
        <v>-4537640.2858052114</v>
      </c>
      <c r="E25" s="576">
        <f>IF(OR('1-BaseTRR'!$G$2=2019,'1-BaseTRR'!$G$2=2020,'1-BaseTRR'!$G$2=2021),+E24*E23,0)</f>
        <v>-6806460.4287078176</v>
      </c>
      <c r="F25" s="35" t="str">
        <f>"Line "&amp;A23&amp;" * Line "&amp;A24&amp;" (see Note 3)"</f>
        <v>Line 300 * Line 301 (see Note 3)</v>
      </c>
      <c r="G25" s="4">
        <f t="shared" si="1"/>
        <v>302</v>
      </c>
    </row>
    <row r="26" spans="1:7" ht="18" customHeight="1">
      <c r="A26" s="4"/>
      <c r="E26" s="2"/>
      <c r="F26" s="35"/>
    </row>
    <row r="27" spans="1:7" ht="18" customHeight="1">
      <c r="A27" s="4">
        <f>+A25+1</f>
        <v>303</v>
      </c>
      <c r="D27" s="6" t="s">
        <v>1267</v>
      </c>
      <c r="E27" s="63">
        <f>ROUND(AVERAGE(D25:E25),0)</f>
        <v>-5672050</v>
      </c>
      <c r="F27" s="35" t="str">
        <f>CONCATENATE("Average of Line ",A25,", ",D21," and ",E21)</f>
        <v>Average of Line 302, Col 1 and Col 2</v>
      </c>
      <c r="G27" s="4">
        <f t="shared" ref="G27" si="2">A27</f>
        <v>303</v>
      </c>
    </row>
    <row r="28" spans="1:7" ht="18" customHeight="1">
      <c r="F28" s="21"/>
    </row>
    <row r="29" spans="1:7" ht="18" customHeight="1">
      <c r="B29" s="50" t="s">
        <v>1273</v>
      </c>
      <c r="C29" s="47"/>
      <c r="D29" s="47"/>
      <c r="E29" s="47"/>
      <c r="F29" s="218"/>
    </row>
    <row r="30" spans="1:7" ht="18" customHeight="1">
      <c r="A30" s="4"/>
      <c r="D30" s="4" t="s">
        <v>371</v>
      </c>
      <c r="E30" s="4" t="s">
        <v>372</v>
      </c>
      <c r="F30" s="35"/>
      <c r="G30" s="4"/>
    </row>
    <row r="31" spans="1:7" ht="18" customHeight="1">
      <c r="A31" s="4"/>
      <c r="D31" s="3" t="s">
        <v>1269</v>
      </c>
      <c r="E31" s="3" t="s">
        <v>481</v>
      </c>
      <c r="F31" s="3" t="s">
        <v>135</v>
      </c>
      <c r="G31" s="4"/>
    </row>
    <row r="32" spans="1:7" ht="18" customHeight="1">
      <c r="A32" s="4">
        <v>400</v>
      </c>
      <c r="B32" t="s">
        <v>1274</v>
      </c>
      <c r="D32" s="670">
        <v>-7366110</v>
      </c>
      <c r="E32" s="44">
        <v>0</v>
      </c>
      <c r="F32" s="35" t="s">
        <v>1275</v>
      </c>
      <c r="G32" s="4">
        <f t="shared" ref="G32" si="3">A32</f>
        <v>400</v>
      </c>
    </row>
    <row r="33" spans="1:10" ht="18" customHeight="1">
      <c r="A33" s="4"/>
      <c r="D33" s="6"/>
      <c r="E33" s="15"/>
      <c r="F33" s="35"/>
      <c r="G33" s="4"/>
    </row>
    <row r="34" spans="1:10" ht="18" customHeight="1">
      <c r="A34" s="4">
        <f>+A32+1</f>
        <v>401</v>
      </c>
      <c r="D34" s="6" t="s">
        <v>1267</v>
      </c>
      <c r="E34" s="15">
        <f>ROUND(AVERAGE(D32:E32),0)</f>
        <v>-3683055</v>
      </c>
      <c r="F34" s="35" t="str">
        <f>CONCATENATE("Average of Line ",A32,"")</f>
        <v>Average of Line 400</v>
      </c>
      <c r="G34" s="4">
        <f>A34</f>
        <v>401</v>
      </c>
    </row>
    <row r="35" spans="1:10" ht="18" customHeight="1">
      <c r="A35" s="4"/>
      <c r="D35" s="6"/>
      <c r="E35" s="15"/>
      <c r="F35" s="35"/>
      <c r="G35" s="4"/>
    </row>
    <row r="36" spans="1:10" ht="18" customHeight="1">
      <c r="B36" s="50" t="s">
        <v>1276</v>
      </c>
      <c r="C36" s="47"/>
      <c r="D36" s="47"/>
      <c r="E36" s="47"/>
      <c r="F36" s="218"/>
    </row>
    <row r="37" spans="1:10" ht="18" customHeight="1">
      <c r="B37" s="2"/>
      <c r="D37" s="4" t="s">
        <v>371</v>
      </c>
      <c r="E37" s="4" t="s">
        <v>372</v>
      </c>
      <c r="F37" s="21"/>
    </row>
    <row r="38" spans="1:10" ht="18" customHeight="1">
      <c r="A38" s="4"/>
      <c r="D38" s="3" t="s">
        <v>1269</v>
      </c>
      <c r="E38" s="3" t="s">
        <v>481</v>
      </c>
      <c r="F38" s="3" t="s">
        <v>135</v>
      </c>
      <c r="G38" s="4"/>
    </row>
    <row r="39" spans="1:10" ht="18" customHeight="1">
      <c r="A39" s="4">
        <v>500</v>
      </c>
      <c r="B39" t="s">
        <v>1118</v>
      </c>
      <c r="D39" s="670">
        <v>-203090530</v>
      </c>
      <c r="E39" s="44">
        <v>-674113891</v>
      </c>
      <c r="F39" s="143" t="s">
        <v>1277</v>
      </c>
      <c r="G39" s="4">
        <f t="shared" ref="G39:G41" si="4">A39</f>
        <v>500</v>
      </c>
      <c r="J39" s="24"/>
    </row>
    <row r="40" spans="1:10" ht="18" customHeight="1">
      <c r="A40" s="4">
        <f t="shared" ref="A40:A41" si="5">+A39+1</f>
        <v>501</v>
      </c>
      <c r="B40" t="s">
        <v>1278</v>
      </c>
      <c r="D40" s="672">
        <f>'24-Allocators'!$C$56</f>
        <v>0.12718032763496651</v>
      </c>
      <c r="E40" s="672">
        <f>'24-Allocators'!$C$56</f>
        <v>0.12718032763496651</v>
      </c>
      <c r="F40" s="35" t="str">
        <f>CONCATENATE("24-Allocators, Line ",'24-Allocators'!A56)</f>
        <v>24-Allocators, Line 135</v>
      </c>
      <c r="G40" s="4">
        <f t="shared" si="4"/>
        <v>501</v>
      </c>
      <c r="J40" s="24"/>
    </row>
    <row r="41" spans="1:10" ht="18" customHeight="1">
      <c r="A41" s="4">
        <f t="shared" si="5"/>
        <v>502</v>
      </c>
      <c r="B41" t="s">
        <v>1279</v>
      </c>
      <c r="D41" s="671">
        <f>D39*D40</f>
        <v>-25829120.144958995</v>
      </c>
      <c r="E41" s="673">
        <f>+E40*E39</f>
        <v>-85734025.520662099</v>
      </c>
      <c r="F41" s="35" t="str">
        <f>"Line "&amp;A39&amp;" * Line "&amp;A40&amp;" (see Note 5)"</f>
        <v>Line 500 * Line 501 (see Note 5)</v>
      </c>
      <c r="G41" s="4">
        <f t="shared" si="4"/>
        <v>502</v>
      </c>
      <c r="J41" s="24"/>
    </row>
    <row r="42" spans="1:10" ht="18" customHeight="1">
      <c r="A42" s="4"/>
      <c r="D42" s="6"/>
      <c r="E42" s="15"/>
      <c r="F42" s="35"/>
      <c r="G42" s="4"/>
      <c r="J42" s="12"/>
    </row>
    <row r="43" spans="1:10" ht="18" customHeight="1">
      <c r="A43" s="4">
        <f>+A41+1</f>
        <v>503</v>
      </c>
      <c r="D43" s="6" t="s">
        <v>1267</v>
      </c>
      <c r="E43" s="15">
        <f>ROUND(AVERAGE(D41:E41),0)</f>
        <v>-55781573</v>
      </c>
      <c r="F43" s="35" t="str">
        <f>CONCATENATE("Average of Line ",A41,", ",D37," and ",E37)</f>
        <v>Average of Line 502, Col 1 and Col 2</v>
      </c>
      <c r="G43" s="4">
        <f t="shared" ref="G43" si="6">A43</f>
        <v>503</v>
      </c>
    </row>
    <row r="44" spans="1:10" ht="18" customHeight="1">
      <c r="A44" s="4"/>
      <c r="D44" s="6"/>
      <c r="E44" s="15"/>
      <c r="F44" s="35"/>
      <c r="G44" s="4"/>
    </row>
    <row r="45" spans="1:10" ht="18" customHeight="1">
      <c r="B45" s="50" t="s">
        <v>1280</v>
      </c>
      <c r="C45" s="47"/>
      <c r="D45" s="47"/>
      <c r="E45" s="47"/>
      <c r="F45" s="218"/>
    </row>
    <row r="46" spans="1:10" ht="18" customHeight="1">
      <c r="B46" s="2"/>
      <c r="D46" s="4" t="s">
        <v>371</v>
      </c>
      <c r="E46" s="4" t="s">
        <v>372</v>
      </c>
      <c r="F46" s="21"/>
    </row>
    <row r="47" spans="1:10" ht="18" customHeight="1">
      <c r="B47" s="2"/>
      <c r="D47" s="3" t="s">
        <v>1269</v>
      </c>
      <c r="E47" s="3" t="s">
        <v>481</v>
      </c>
      <c r="F47" s="3" t="s">
        <v>135</v>
      </c>
    </row>
    <row r="48" spans="1:10" ht="18" customHeight="1">
      <c r="A48" s="4">
        <v>600</v>
      </c>
      <c r="B48" t="s">
        <v>1281</v>
      </c>
      <c r="D48" s="670">
        <v>-991333</v>
      </c>
      <c r="E48" s="44">
        <v>-1413504</v>
      </c>
      <c r="F48" s="143" t="s">
        <v>1282</v>
      </c>
      <c r="G48" s="4">
        <f t="shared" ref="G48:G50" si="7">A48</f>
        <v>600</v>
      </c>
    </row>
    <row r="49" spans="1:7" ht="18" customHeight="1">
      <c r="A49" s="4">
        <f t="shared" ref="A49:A50" si="8">+A48+1</f>
        <v>601</v>
      </c>
      <c r="B49" t="s">
        <v>1265</v>
      </c>
      <c r="D49" s="672">
        <f>'24-Allocators'!$C$24</f>
        <v>0.10327848903946341</v>
      </c>
      <c r="E49" s="672">
        <f>'24-Allocators'!$C$24</f>
        <v>0.10327848903946341</v>
      </c>
      <c r="F49" s="35" t="str">
        <f>CONCATENATE("24-Allocators, Line ",'24-Allocators'!A24)</f>
        <v>24-Allocators, Line 113</v>
      </c>
      <c r="G49" s="4">
        <f t="shared" si="7"/>
        <v>601</v>
      </c>
    </row>
    <row r="50" spans="1:7" ht="18" customHeight="1">
      <c r="A50" s="4">
        <f t="shared" si="8"/>
        <v>602</v>
      </c>
      <c r="B50" t="s">
        <v>1279</v>
      </c>
      <c r="D50" s="671">
        <f>D48*D49</f>
        <v>-102383.37437495838</v>
      </c>
      <c r="E50" s="673">
        <f>+E49*E48</f>
        <v>-145984.55737123769</v>
      </c>
      <c r="F50" s="35" t="str">
        <f>"Line "&amp;A48&amp;" * Line "&amp;A49&amp;" (see Note 6)"</f>
        <v>Line 600 * Line 601 (see Note 6)</v>
      </c>
      <c r="G50" s="4">
        <f t="shared" si="7"/>
        <v>602</v>
      </c>
    </row>
    <row r="51" spans="1:7" ht="18" customHeight="1">
      <c r="A51" s="4"/>
      <c r="D51" s="6"/>
      <c r="E51" s="15"/>
      <c r="F51" s="35"/>
      <c r="G51" s="4"/>
    </row>
    <row r="52" spans="1:7">
      <c r="A52" s="4">
        <f>+A50+1</f>
        <v>603</v>
      </c>
      <c r="D52" s="6" t="s">
        <v>1267</v>
      </c>
      <c r="E52" s="15">
        <f>ROUND(AVERAGE(D50:E50),0)</f>
        <v>-124184</v>
      </c>
      <c r="F52" s="35" t="str">
        <f>CONCATENATE("Average of Line ",A50,", ",D46," and ",E46)</f>
        <v>Average of Line 602, Col 1 and Col 2</v>
      </c>
      <c r="G52" s="4">
        <f t="shared" ref="G52" si="9">A52</f>
        <v>603</v>
      </c>
    </row>
    <row r="53" spans="1:7">
      <c r="A53" s="4"/>
      <c r="D53" s="6"/>
      <c r="E53" s="15"/>
      <c r="F53" s="35"/>
      <c r="G53" s="4"/>
    </row>
    <row r="54" spans="1:7">
      <c r="A54" s="4"/>
      <c r="D54" s="6"/>
      <c r="E54" s="15"/>
      <c r="F54" s="35"/>
      <c r="G54" s="4"/>
    </row>
    <row r="55" spans="1:7" ht="15" customHeight="1">
      <c r="B55" s="829" t="s">
        <v>1283</v>
      </c>
      <c r="C55" s="829"/>
      <c r="D55" s="829"/>
      <c r="E55" s="829"/>
      <c r="F55" s="829"/>
    </row>
    <row r="56" spans="1:7">
      <c r="B56" s="829"/>
      <c r="C56" s="829"/>
      <c r="D56" s="829"/>
      <c r="E56" s="829"/>
      <c r="F56" s="829"/>
    </row>
    <row r="57" spans="1:7">
      <c r="B57" s="306"/>
      <c r="C57" s="306"/>
      <c r="D57" s="306"/>
      <c r="E57" s="306"/>
      <c r="F57" s="306"/>
    </row>
    <row r="58" spans="1:7" ht="15" customHeight="1">
      <c r="B58" s="816" t="s">
        <v>1284</v>
      </c>
      <c r="C58" s="816"/>
      <c r="D58" s="816"/>
      <c r="E58" s="816"/>
      <c r="F58" s="816"/>
    </row>
    <row r="59" spans="1:7">
      <c r="B59" s="816"/>
      <c r="C59" s="816"/>
      <c r="D59" s="816"/>
      <c r="E59" s="816"/>
      <c r="F59" s="816"/>
    </row>
    <row r="60" spans="1:7">
      <c r="B60" s="816"/>
      <c r="C60" s="816"/>
      <c r="D60" s="816"/>
      <c r="E60" s="816"/>
      <c r="F60" s="816"/>
    </row>
    <row r="61" spans="1:7">
      <c r="B61" s="306"/>
      <c r="C61" s="306"/>
      <c r="D61" s="306"/>
      <c r="E61" s="306"/>
      <c r="F61" s="306"/>
    </row>
    <row r="62" spans="1:7" ht="15" customHeight="1">
      <c r="B62" s="830" t="s">
        <v>1285</v>
      </c>
      <c r="C62" s="830"/>
      <c r="D62" s="830"/>
      <c r="E62" s="830"/>
      <c r="F62" s="830"/>
    </row>
    <row r="63" spans="1:7">
      <c r="B63" s="830"/>
      <c r="C63" s="830"/>
      <c r="D63" s="830"/>
      <c r="E63" s="830"/>
      <c r="F63" s="830"/>
    </row>
    <row r="64" spans="1:7">
      <c r="B64" s="830"/>
      <c r="C64" s="830"/>
      <c r="D64" s="830"/>
      <c r="E64" s="830"/>
      <c r="F64" s="830"/>
    </row>
    <row r="65" spans="2:6">
      <c r="B65" s="830"/>
      <c r="C65" s="830"/>
      <c r="D65" s="830"/>
      <c r="E65" s="830"/>
      <c r="F65" s="830"/>
    </row>
    <row r="66" spans="2:6">
      <c r="B66" s="8"/>
      <c r="C66" s="8"/>
      <c r="D66" s="8"/>
      <c r="E66" s="8"/>
      <c r="F66" s="8"/>
    </row>
    <row r="67" spans="2:6" ht="15" customHeight="1">
      <c r="B67" s="816" t="s">
        <v>1286</v>
      </c>
      <c r="C67" s="816"/>
      <c r="D67" s="816"/>
      <c r="E67" s="816"/>
      <c r="F67" s="816"/>
    </row>
    <row r="68" spans="2:6">
      <c r="B68" s="816"/>
      <c r="C68" s="816"/>
      <c r="D68" s="816"/>
      <c r="E68" s="816"/>
      <c r="F68" s="816"/>
    </row>
    <row r="69" spans="2:6">
      <c r="B69" s="816"/>
      <c r="C69" s="816"/>
      <c r="D69" s="816"/>
      <c r="E69" s="816"/>
      <c r="F69" s="816"/>
    </row>
    <row r="70" spans="2:6">
      <c r="B70" s="816"/>
      <c r="C70" s="816"/>
      <c r="D70" s="816"/>
      <c r="E70" s="816"/>
      <c r="F70" s="816"/>
    </row>
    <row r="71" spans="2:6">
      <c r="B71" s="8"/>
      <c r="C71" s="8"/>
      <c r="D71" s="8"/>
      <c r="E71" s="8"/>
      <c r="F71" s="8"/>
    </row>
    <row r="72" spans="2:6" ht="15" customHeight="1">
      <c r="B72" s="816" t="s">
        <v>1287</v>
      </c>
      <c r="C72" s="816"/>
      <c r="D72" s="816"/>
      <c r="E72" s="816"/>
      <c r="F72" s="816"/>
    </row>
    <row r="73" spans="2:6">
      <c r="B73" s="816"/>
      <c r="C73" s="816"/>
      <c r="D73" s="816"/>
      <c r="E73" s="816"/>
      <c r="F73" s="816"/>
    </row>
    <row r="74" spans="2:6">
      <c r="B74" s="816"/>
      <c r="C74" s="816"/>
      <c r="D74" s="816"/>
      <c r="E74" s="816"/>
      <c r="F74" s="816"/>
    </row>
  </sheetData>
  <mergeCells count="5">
    <mergeCell ref="B55:F56"/>
    <mergeCell ref="B67:F70"/>
    <mergeCell ref="B72:F74"/>
    <mergeCell ref="B58:F60"/>
    <mergeCell ref="B62:F65"/>
  </mergeCells>
  <printOptions horizontalCentered="1"/>
  <pageMargins left="1" right="1" top="1" bottom="1" header="0.5" footer="0.5"/>
  <pageSetup scale="50" orientation="portrait" r:id="rId1"/>
  <headerFooter>
    <oddHeader>&amp;C&amp;"-,Bold"&amp;12Pacific Gas and Electric Company
Formula Rate Model
Schedule 16-UnfundedReserves</oddHeader>
  </headerFooter>
  <customProperties>
    <customPr name="_pios_id" r:id="rId2"/>
    <customPr name="EpmWorksheetKeyString_GUID" r:id="rId3"/>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72"/>
  <sheetViews>
    <sheetView topLeftCell="A16" zoomScale="85" zoomScaleNormal="85" zoomScaleSheetLayoutView="70" zoomScalePageLayoutView="70" workbookViewId="0">
      <selection activeCell="C48" sqref="C48"/>
    </sheetView>
  </sheetViews>
  <sheetFormatPr defaultColWidth="9.140625" defaultRowHeight="15"/>
  <cols>
    <col min="1" max="1" width="5.5703125" customWidth="1"/>
    <col min="2" max="2" width="54.28515625" customWidth="1"/>
    <col min="3" max="3" width="24.42578125" customWidth="1"/>
    <col min="4" max="4" width="19" customWidth="1"/>
    <col min="5" max="5" width="18.85546875" bestFit="1" customWidth="1"/>
    <col min="6" max="6" width="24.5703125" customWidth="1"/>
    <col min="7" max="7" width="24.85546875" customWidth="1"/>
    <col min="8" max="8" width="15.140625" bestFit="1" customWidth="1"/>
    <col min="9" max="9" width="16.5703125" customWidth="1"/>
    <col min="10" max="10" width="23" bestFit="1" customWidth="1"/>
    <col min="11" max="11" width="6.7109375" bestFit="1" customWidth="1"/>
  </cols>
  <sheetData>
    <row r="1" spans="1:20">
      <c r="B1" s="328" t="s">
        <v>46</v>
      </c>
      <c r="C1" s="316"/>
      <c r="D1" s="316"/>
      <c r="E1" s="6"/>
      <c r="G1" s="6"/>
      <c r="J1" s="6" t="str">
        <f>CONCATENATE("Prior Year: ",'1-BaseTRR'!$G$2)</f>
        <v>Prior Year: 2021</v>
      </c>
    </row>
    <row r="2" spans="1:20">
      <c r="B2" s="113" t="s">
        <v>131</v>
      </c>
      <c r="C2" s="316"/>
      <c r="D2" s="316"/>
      <c r="E2" s="6"/>
      <c r="F2" s="6"/>
      <c r="G2" s="6"/>
    </row>
    <row r="3" spans="1:20">
      <c r="B3" s="316"/>
      <c r="C3" s="316"/>
      <c r="D3" s="316"/>
      <c r="E3" s="316"/>
      <c r="F3" s="316"/>
      <c r="G3" s="316"/>
    </row>
    <row r="4" spans="1:20" ht="15.75" customHeight="1">
      <c r="A4" s="317"/>
      <c r="B4" s="316" t="s">
        <v>1288</v>
      </c>
      <c r="C4" s="316"/>
      <c r="D4" s="316"/>
      <c r="E4" s="316"/>
      <c r="F4" s="316"/>
      <c r="G4" s="316"/>
      <c r="N4" s="831"/>
      <c r="O4" s="832"/>
      <c r="P4" s="832"/>
      <c r="Q4" s="832"/>
      <c r="R4" s="832"/>
      <c r="S4" s="832"/>
      <c r="T4" s="832"/>
    </row>
    <row r="5" spans="1:20">
      <c r="A5" s="317"/>
      <c r="B5" s="316" t="s">
        <v>1289</v>
      </c>
      <c r="C5" s="316"/>
      <c r="D5" s="316"/>
      <c r="E5" s="316"/>
      <c r="F5" s="316"/>
      <c r="G5" s="316"/>
    </row>
    <row r="6" spans="1:20">
      <c r="A6" s="317"/>
      <c r="B6" s="316" t="s">
        <v>1290</v>
      </c>
      <c r="C6" s="316"/>
      <c r="D6" s="316"/>
      <c r="E6" s="316"/>
      <c r="F6" s="316"/>
      <c r="G6" s="316"/>
    </row>
    <row r="7" spans="1:20">
      <c r="A7" s="317"/>
      <c r="B7" s="316"/>
      <c r="C7" s="316"/>
      <c r="D7" s="316"/>
      <c r="E7" s="316"/>
      <c r="F7" s="316"/>
      <c r="G7" s="316"/>
    </row>
    <row r="8" spans="1:20">
      <c r="A8" s="317"/>
      <c r="B8" s="316" t="s">
        <v>1291</v>
      </c>
      <c r="C8" s="316"/>
      <c r="D8" s="316"/>
      <c r="E8" s="316"/>
      <c r="F8" s="316"/>
      <c r="G8" s="316"/>
    </row>
    <row r="9" spans="1:20">
      <c r="A9" s="317"/>
      <c r="B9" s="316" t="s">
        <v>1292</v>
      </c>
      <c r="C9" s="316"/>
      <c r="D9" s="316"/>
      <c r="E9" s="316"/>
      <c r="F9" s="316"/>
      <c r="G9" s="316"/>
    </row>
    <row r="10" spans="1:20">
      <c r="A10" s="317"/>
      <c r="B10" s="316"/>
      <c r="C10" s="316"/>
      <c r="D10" s="316"/>
      <c r="E10" s="316"/>
      <c r="F10" s="316"/>
      <c r="G10" s="316"/>
    </row>
    <row r="11" spans="1:20">
      <c r="A11" s="317"/>
      <c r="B11" s="316" t="s">
        <v>1293</v>
      </c>
      <c r="C11" s="316"/>
      <c r="D11" s="316"/>
      <c r="E11" s="316"/>
      <c r="F11" s="316"/>
      <c r="G11" s="316"/>
    </row>
    <row r="12" spans="1:20">
      <c r="A12" s="317"/>
      <c r="B12" s="316" t="s">
        <v>1294</v>
      </c>
      <c r="C12" s="316"/>
      <c r="D12" s="316"/>
      <c r="E12" s="316"/>
      <c r="F12" s="316"/>
      <c r="G12" s="316"/>
    </row>
    <row r="13" spans="1:20">
      <c r="A13" s="317"/>
      <c r="B13" s="316" t="s">
        <v>1295</v>
      </c>
      <c r="C13" s="316"/>
      <c r="D13" s="316"/>
      <c r="E13" s="316"/>
      <c r="F13" s="316"/>
      <c r="G13" s="316"/>
    </row>
    <row r="14" spans="1:20">
      <c r="A14" s="317"/>
      <c r="B14" s="316"/>
      <c r="C14" s="316"/>
      <c r="D14" s="316"/>
      <c r="E14" s="316"/>
      <c r="F14" s="316"/>
      <c r="G14" s="316"/>
    </row>
    <row r="15" spans="1:20">
      <c r="A15" s="317"/>
      <c r="B15" s="50" t="s">
        <v>1296</v>
      </c>
      <c r="C15" s="47"/>
      <c r="D15" s="47"/>
      <c r="E15" s="47"/>
      <c r="F15" s="47"/>
      <c r="G15" s="47"/>
    </row>
    <row r="16" spans="1:20">
      <c r="A16" s="317"/>
      <c r="B16" s="328" t="s">
        <v>350</v>
      </c>
      <c r="C16" s="316"/>
      <c r="D16" s="316"/>
      <c r="E16" s="316"/>
      <c r="F16" s="316"/>
      <c r="G16" s="316"/>
    </row>
    <row r="17" spans="1:11">
      <c r="A17" s="317"/>
      <c r="B17" s="316" t="s">
        <v>1297</v>
      </c>
      <c r="C17" s="316"/>
      <c r="D17" s="316"/>
      <c r="E17" s="316"/>
      <c r="F17" s="316"/>
      <c r="G17" s="316"/>
    </row>
    <row r="18" spans="1:11">
      <c r="A18" s="317"/>
      <c r="B18" s="316" t="s">
        <v>1298</v>
      </c>
    </row>
    <row r="19" spans="1:11">
      <c r="A19" s="317"/>
      <c r="B19" s="331" t="s">
        <v>1299</v>
      </c>
    </row>
    <row r="20" spans="1:11">
      <c r="A20" s="317"/>
      <c r="B20" s="331" t="s">
        <v>1300</v>
      </c>
      <c r="E20" s="8"/>
    </row>
    <row r="21" spans="1:11">
      <c r="A21" s="317"/>
      <c r="B21" s="316" t="s">
        <v>1301</v>
      </c>
    </row>
    <row r="22" spans="1:11">
      <c r="A22" s="317"/>
      <c r="B22" s="316"/>
    </row>
    <row r="23" spans="1:11">
      <c r="A23" s="317"/>
      <c r="B23" s="316"/>
      <c r="C23" s="316"/>
      <c r="D23" s="316"/>
      <c r="E23" s="317" t="s">
        <v>461</v>
      </c>
      <c r="F23" s="316"/>
      <c r="G23" s="316"/>
    </row>
    <row r="24" spans="1:11">
      <c r="A24" s="322" t="s">
        <v>100</v>
      </c>
      <c r="B24" s="316"/>
      <c r="C24" s="316"/>
      <c r="D24" s="316"/>
      <c r="E24" s="322" t="s">
        <v>593</v>
      </c>
      <c r="F24" s="330" t="s">
        <v>1302</v>
      </c>
      <c r="G24" s="330"/>
      <c r="K24" s="322" t="str">
        <f>A24</f>
        <v>Line</v>
      </c>
    </row>
    <row r="25" spans="1:11">
      <c r="A25" s="317">
        <v>100</v>
      </c>
      <c r="B25" s="316" t="s">
        <v>1303</v>
      </c>
      <c r="C25" s="316"/>
      <c r="D25" s="316"/>
      <c r="E25" s="629">
        <f>+D34</f>
        <v>0</v>
      </c>
      <c r="F25" s="316" t="s">
        <v>1304</v>
      </c>
      <c r="G25" s="316"/>
      <c r="K25" s="317">
        <f>A25</f>
        <v>100</v>
      </c>
    </row>
    <row r="26" spans="1:11">
      <c r="A26" s="317">
        <f>A25+1</f>
        <v>101</v>
      </c>
      <c r="B26" s="316" t="s">
        <v>1305</v>
      </c>
      <c r="C26" s="316"/>
      <c r="D26" s="316"/>
      <c r="E26" s="629">
        <f>AVERAGE(C34:D34)</f>
        <v>0</v>
      </c>
      <c r="F26" s="316" t="s">
        <v>1306</v>
      </c>
      <c r="G26" s="316"/>
      <c r="K26" s="317">
        <f>A26</f>
        <v>101</v>
      </c>
    </row>
    <row r="27" spans="1:11">
      <c r="A27" s="317">
        <f>A26+1</f>
        <v>102</v>
      </c>
      <c r="B27" s="316" t="s">
        <v>1307</v>
      </c>
      <c r="C27" s="316"/>
      <c r="D27" s="316"/>
      <c r="E27" s="629">
        <f>+E34</f>
        <v>0</v>
      </c>
      <c r="F27" s="316" t="s">
        <v>1308</v>
      </c>
      <c r="G27" s="316"/>
      <c r="K27" s="317">
        <f>A27</f>
        <v>102</v>
      </c>
    </row>
    <row r="28" spans="1:11">
      <c r="A28" s="317"/>
      <c r="B28" s="316"/>
      <c r="C28" s="316"/>
      <c r="D28" s="316"/>
      <c r="E28" s="323"/>
      <c r="F28" s="316"/>
      <c r="G28" s="316"/>
      <c r="K28" s="317"/>
    </row>
    <row r="29" spans="1:11">
      <c r="A29" s="317"/>
      <c r="B29" s="316"/>
      <c r="C29" s="329" t="s">
        <v>1309</v>
      </c>
      <c r="D29" s="329" t="s">
        <v>1310</v>
      </c>
      <c r="E29" s="329" t="s">
        <v>1311</v>
      </c>
      <c r="F29" s="316"/>
      <c r="G29" s="316"/>
      <c r="K29" s="317"/>
    </row>
    <row r="30" spans="1:11">
      <c r="A30" s="317"/>
      <c r="B30" s="316"/>
      <c r="C30" s="317" t="s">
        <v>461</v>
      </c>
      <c r="D30" s="317" t="s">
        <v>461</v>
      </c>
      <c r="E30" s="317" t="s">
        <v>461</v>
      </c>
      <c r="F30" s="316"/>
      <c r="G30" s="316"/>
      <c r="K30" s="317"/>
    </row>
    <row r="31" spans="1:11">
      <c r="A31" s="317"/>
      <c r="B31" s="317" t="s">
        <v>1312</v>
      </c>
      <c r="C31" s="317" t="s">
        <v>1313</v>
      </c>
      <c r="D31" s="317" t="s">
        <v>765</v>
      </c>
      <c r="E31" s="2" t="s">
        <v>1314</v>
      </c>
      <c r="F31" s="328" t="s">
        <v>1315</v>
      </c>
      <c r="G31" s="328"/>
      <c r="K31" s="317"/>
    </row>
    <row r="32" spans="1:11">
      <c r="A32" s="322"/>
      <c r="B32" s="317" t="s">
        <v>1316</v>
      </c>
      <c r="C32" s="317" t="s">
        <v>1317</v>
      </c>
      <c r="D32" s="317" t="s">
        <v>1317</v>
      </c>
      <c r="E32" s="317" t="s">
        <v>1318</v>
      </c>
      <c r="F32" s="328" t="s">
        <v>1319</v>
      </c>
      <c r="G32" s="328"/>
      <c r="K32" s="317"/>
    </row>
    <row r="33" spans="1:11">
      <c r="A33" s="322" t="s">
        <v>100</v>
      </c>
      <c r="B33" s="322" t="s">
        <v>1320</v>
      </c>
      <c r="C33" s="322" t="s">
        <v>1320</v>
      </c>
      <c r="D33" s="322" t="s">
        <v>1320</v>
      </c>
      <c r="E33" s="322" t="s">
        <v>1321</v>
      </c>
      <c r="F33" s="327" t="s">
        <v>1322</v>
      </c>
      <c r="G33" s="322" t="s">
        <v>135</v>
      </c>
      <c r="K33" s="322" t="str">
        <f>A33</f>
        <v>Line</v>
      </c>
    </row>
    <row r="34" spans="1:11" ht="15.75" thickBot="1">
      <c r="A34" s="326">
        <f>A27+1</f>
        <v>103</v>
      </c>
      <c r="B34" s="324" t="s">
        <v>1323</v>
      </c>
      <c r="C34" s="628">
        <f>SUM(C36:C38)</f>
        <v>0</v>
      </c>
      <c r="D34" s="628">
        <f>SUM(D36:D38)</f>
        <v>0</v>
      </c>
      <c r="E34" s="325">
        <f>SUM(E36:E38)</f>
        <v>0</v>
      </c>
      <c r="F34" s="324"/>
      <c r="G34" s="324"/>
      <c r="K34" s="317">
        <f>A34</f>
        <v>103</v>
      </c>
    </row>
    <row r="35" spans="1:11" ht="15.75" thickTop="1">
      <c r="A35" s="317"/>
      <c r="B35" s="316"/>
      <c r="C35" s="323"/>
      <c r="D35" s="323"/>
      <c r="E35" s="323"/>
      <c r="F35" s="316"/>
      <c r="G35" s="316"/>
      <c r="K35" s="322"/>
    </row>
    <row r="36" spans="1:11">
      <c r="A36" s="317">
        <f>A34+1</f>
        <v>104</v>
      </c>
      <c r="B36" s="318" t="s">
        <v>1324</v>
      </c>
      <c r="C36" s="626"/>
      <c r="D36" s="626"/>
      <c r="E36" s="320"/>
      <c r="F36" s="318"/>
      <c r="G36" s="318"/>
      <c r="K36" s="317">
        <f>A36</f>
        <v>104</v>
      </c>
    </row>
    <row r="37" spans="1:11">
      <c r="A37" s="317">
        <f>A36+1</f>
        <v>105</v>
      </c>
      <c r="B37" s="318" t="s">
        <v>1325</v>
      </c>
      <c r="C37" s="626"/>
      <c r="D37" s="626"/>
      <c r="E37" s="320"/>
      <c r="F37" s="318"/>
      <c r="G37" s="318"/>
      <c r="K37" s="317">
        <f>A37</f>
        <v>105</v>
      </c>
    </row>
    <row r="38" spans="1:11">
      <c r="A38" s="317">
        <f t="shared" ref="A38:A39" si="0">A37+1</f>
        <v>106</v>
      </c>
      <c r="B38" s="318" t="s">
        <v>1326</v>
      </c>
      <c r="C38" s="627"/>
      <c r="D38" s="626"/>
      <c r="E38" s="319"/>
      <c r="F38" s="318"/>
      <c r="G38" s="318"/>
      <c r="K38" s="317">
        <f>A38</f>
        <v>106</v>
      </c>
    </row>
    <row r="39" spans="1:11">
      <c r="A39" s="317">
        <f t="shared" si="0"/>
        <v>107</v>
      </c>
      <c r="B39" s="321" t="s">
        <v>634</v>
      </c>
      <c r="C39" s="627"/>
      <c r="D39" s="626"/>
      <c r="E39" s="319"/>
      <c r="F39" s="318"/>
      <c r="G39" s="318"/>
      <c r="K39" s="317">
        <f>A39</f>
        <v>107</v>
      </c>
    </row>
    <row r="40" spans="1:11">
      <c r="A40" s="317"/>
      <c r="B40" s="316"/>
      <c r="C40" s="316"/>
      <c r="D40" s="316"/>
      <c r="E40" s="316"/>
      <c r="F40" s="316"/>
      <c r="G40" s="316"/>
      <c r="H40" s="317"/>
    </row>
    <row r="41" spans="1:11">
      <c r="A41" s="317"/>
    </row>
    <row r="42" spans="1:11">
      <c r="A42" s="317"/>
      <c r="B42" s="316"/>
    </row>
    <row r="43" spans="1:11">
      <c r="A43" s="127"/>
      <c r="B43" s="114" t="s">
        <v>1327</v>
      </c>
      <c r="C43" s="179"/>
      <c r="D43" s="301"/>
      <c r="E43" s="301"/>
      <c r="F43" s="296"/>
      <c r="G43" s="296"/>
      <c r="H43" s="296"/>
      <c r="I43" s="302"/>
      <c r="J43" s="140"/>
    </row>
    <row r="44" spans="1:11">
      <c r="A44" s="127"/>
      <c r="B44" s="138"/>
      <c r="C44" s="175"/>
      <c r="D44" s="359"/>
      <c r="E44" s="359"/>
      <c r="F44" s="285"/>
      <c r="G44" s="285"/>
      <c r="H44" s="285"/>
      <c r="I44" s="9"/>
      <c r="J44" s="8"/>
    </row>
    <row r="45" spans="1:11">
      <c r="A45" s="115" t="s">
        <v>100</v>
      </c>
      <c r="B45" s="3" t="s">
        <v>6</v>
      </c>
      <c r="C45" s="3" t="s">
        <v>1328</v>
      </c>
      <c r="D45" s="182" t="s">
        <v>135</v>
      </c>
      <c r="E45" s="359"/>
      <c r="F45" s="285"/>
      <c r="G45" s="285"/>
      <c r="H45" s="285"/>
      <c r="I45" s="9"/>
      <c r="J45" s="8"/>
      <c r="K45" s="115" t="s">
        <v>100</v>
      </c>
    </row>
    <row r="46" spans="1:11" ht="60">
      <c r="A46" s="127">
        <v>200</v>
      </c>
      <c r="B46" s="630" t="s">
        <v>1329</v>
      </c>
      <c r="C46" s="436">
        <f>IF(B56=2017,0,('17-RegAssets-2'!AP23+'17-RegAssets-3'!AR23))</f>
        <v>-557630113.5688163</v>
      </c>
      <c r="D46" s="699" t="s">
        <v>1330</v>
      </c>
      <c r="E46" s="359"/>
      <c r="F46" s="285"/>
      <c r="G46" s="285"/>
      <c r="H46" s="285"/>
      <c r="I46" s="9"/>
      <c r="J46" s="8"/>
      <c r="K46" s="127">
        <f>A46</f>
        <v>200</v>
      </c>
    </row>
    <row r="47" spans="1:11" ht="45">
      <c r="A47" s="127">
        <f>A46+1</f>
        <v>201</v>
      </c>
      <c r="B47" s="630" t="s">
        <v>1331</v>
      </c>
      <c r="C47" s="436">
        <f>+'17-RegAssets-2'!BD23+'17-RegAssets-3'!BF23</f>
        <v>-535162605.7936902</v>
      </c>
      <c r="D47" s="699" t="s">
        <v>1332</v>
      </c>
      <c r="E47" s="359"/>
      <c r="F47" s="285"/>
      <c r="G47" s="285"/>
      <c r="H47" s="285"/>
      <c r="I47" s="9"/>
      <c r="J47" s="8"/>
      <c r="K47" s="127">
        <f t="shared" ref="K47:K48" si="1">A47</f>
        <v>201</v>
      </c>
    </row>
    <row r="48" spans="1:11">
      <c r="A48" s="127">
        <f>A47+1</f>
        <v>202</v>
      </c>
      <c r="B48" s="386" t="s">
        <v>1333</v>
      </c>
      <c r="C48" s="436">
        <f>J69</f>
        <v>-547222220.12686849</v>
      </c>
      <c r="D48" s="180" t="s">
        <v>1334</v>
      </c>
      <c r="E48" s="359"/>
      <c r="F48" s="285"/>
      <c r="G48" s="285"/>
      <c r="H48" s="285"/>
      <c r="I48" s="9"/>
      <c r="J48" s="8"/>
      <c r="K48" s="127">
        <f t="shared" si="1"/>
        <v>202</v>
      </c>
    </row>
    <row r="49" spans="1:11">
      <c r="A49" s="127"/>
      <c r="B49" s="138"/>
      <c r="C49" s="175"/>
      <c r="D49" s="359"/>
      <c r="E49" s="359"/>
      <c r="F49" s="285"/>
      <c r="G49" s="285"/>
      <c r="H49" s="285"/>
      <c r="I49" s="9"/>
      <c r="J49" s="8"/>
      <c r="K49" s="127"/>
    </row>
    <row r="50" spans="1:11">
      <c r="A50" s="127"/>
      <c r="B50" s="8"/>
      <c r="C50" s="118" t="s">
        <v>371</v>
      </c>
      <c r="D50" s="118" t="s">
        <v>372</v>
      </c>
      <c r="E50" s="118" t="s">
        <v>373</v>
      </c>
      <c r="F50" s="118" t="s">
        <v>374</v>
      </c>
      <c r="G50" s="118" t="s">
        <v>375</v>
      </c>
      <c r="H50" s="118" t="s">
        <v>376</v>
      </c>
      <c r="I50" s="118" t="s">
        <v>377</v>
      </c>
      <c r="J50" s="118" t="s">
        <v>378</v>
      </c>
      <c r="K50" s="127"/>
    </row>
    <row r="51" spans="1:11">
      <c r="A51" s="127"/>
      <c r="B51" s="8"/>
      <c r="C51" s="175"/>
      <c r="D51" s="303" t="s">
        <v>1179</v>
      </c>
      <c r="E51" s="303" t="s">
        <v>1180</v>
      </c>
      <c r="F51" s="286"/>
      <c r="G51" s="286"/>
      <c r="H51" s="303" t="s">
        <v>1181</v>
      </c>
      <c r="I51" s="119" t="s">
        <v>1182</v>
      </c>
      <c r="J51" s="303" t="s">
        <v>1183</v>
      </c>
      <c r="K51" s="127"/>
    </row>
    <row r="52" spans="1:11">
      <c r="A52" s="127"/>
      <c r="B52" s="8"/>
      <c r="C52" s="175"/>
      <c r="D52" s="291"/>
      <c r="E52" s="291"/>
      <c r="F52" s="286"/>
      <c r="G52" s="286"/>
      <c r="H52" s="286"/>
      <c r="I52" s="9"/>
      <c r="J52" s="8"/>
      <c r="K52" s="127"/>
    </row>
    <row r="53" spans="1:11">
      <c r="A53" s="127"/>
      <c r="B53" s="8"/>
      <c r="C53" s="182"/>
      <c r="D53" s="303" t="s">
        <v>1184</v>
      </c>
      <c r="E53" s="303" t="s">
        <v>1185</v>
      </c>
      <c r="F53" s="303"/>
      <c r="G53" s="303" t="s">
        <v>1186</v>
      </c>
      <c r="H53" s="303" t="s">
        <v>1187</v>
      </c>
      <c r="I53" s="127" t="s">
        <v>1188</v>
      </c>
      <c r="J53" s="127" t="s">
        <v>1189</v>
      </c>
      <c r="K53" s="127"/>
    </row>
    <row r="54" spans="1:11">
      <c r="A54" s="115" t="s">
        <v>100</v>
      </c>
      <c r="B54" s="115" t="s">
        <v>420</v>
      </c>
      <c r="C54" s="182" t="s">
        <v>1190</v>
      </c>
      <c r="D54" s="305" t="s">
        <v>1191</v>
      </c>
      <c r="E54" s="305" t="s">
        <v>1192</v>
      </c>
      <c r="F54" s="305" t="s">
        <v>1193</v>
      </c>
      <c r="G54" s="305" t="s">
        <v>1194</v>
      </c>
      <c r="H54" s="305" t="s">
        <v>1195</v>
      </c>
      <c r="I54" s="115" t="s">
        <v>1196</v>
      </c>
      <c r="J54" s="115" t="s">
        <v>1197</v>
      </c>
      <c r="K54" s="115" t="str">
        <f t="shared" ref="K54:K69" si="2">A54</f>
        <v>Line</v>
      </c>
    </row>
    <row r="55" spans="1:11" ht="30">
      <c r="A55" s="127">
        <f>A48+1</f>
        <v>203</v>
      </c>
      <c r="B55" s="8"/>
      <c r="C55" s="306" t="s">
        <v>1335</v>
      </c>
      <c r="D55" s="435"/>
      <c r="E55" s="209">
        <f>+C46</f>
        <v>-557630113.5688163</v>
      </c>
      <c r="F55" s="286"/>
      <c r="G55" s="37">
        <f>+G56+F56-G67</f>
        <v>365</v>
      </c>
      <c r="H55" s="308">
        <f>1</f>
        <v>1</v>
      </c>
      <c r="I55" s="309"/>
      <c r="J55" s="437">
        <f>+E55</f>
        <v>-557630113.5688163</v>
      </c>
      <c r="K55" s="127">
        <f t="shared" si="2"/>
        <v>203</v>
      </c>
    </row>
    <row r="56" spans="1:11">
      <c r="A56" s="127">
        <f t="shared" ref="A56:A69" si="3">A55+1</f>
        <v>204</v>
      </c>
      <c r="B56" s="18">
        <f>'1-BaseTRR'!$G$2</f>
        <v>2021</v>
      </c>
      <c r="C56" s="306" t="s">
        <v>430</v>
      </c>
      <c r="D56" s="209">
        <f>(-$C$46+$C$47)/12</f>
        <v>1872292.3145938416</v>
      </c>
      <c r="E56" s="209">
        <f t="shared" ref="E56:E67" si="4">E55+D56</f>
        <v>-555757821.25422251</v>
      </c>
      <c r="F56" s="37">
        <v>31</v>
      </c>
      <c r="G56" s="37">
        <f t="shared" ref="G56:G65" si="5">+G57+F57</f>
        <v>335</v>
      </c>
      <c r="H56" s="308">
        <f>G56/G55</f>
        <v>0.9178082191780822</v>
      </c>
      <c r="I56" s="436">
        <f t="shared" ref="I56:I67" si="6">D56*H56</f>
        <v>1718405.2750381834</v>
      </c>
      <c r="J56" s="241">
        <f t="shared" ref="J56:J67" si="7">J55+I56</f>
        <v>-555911708.29377806</v>
      </c>
      <c r="K56" s="127">
        <f t="shared" si="2"/>
        <v>204</v>
      </c>
    </row>
    <row r="57" spans="1:11">
      <c r="A57" s="127">
        <f t="shared" si="3"/>
        <v>205</v>
      </c>
      <c r="B57" s="18">
        <f>'1-BaseTRR'!$G$2</f>
        <v>2021</v>
      </c>
      <c r="C57" s="306" t="s">
        <v>431</v>
      </c>
      <c r="D57" s="209">
        <f t="shared" ref="D57:D67" si="8">(-$C$46+$C$47)/12</f>
        <v>1872292.3145938416</v>
      </c>
      <c r="E57" s="209">
        <f t="shared" si="4"/>
        <v>-553885528.93962872</v>
      </c>
      <c r="F57" s="311">
        <v>28</v>
      </c>
      <c r="G57" s="37">
        <f t="shared" si="5"/>
        <v>307</v>
      </c>
      <c r="H57" s="308">
        <f>G57/G55</f>
        <v>0.84109589041095889</v>
      </c>
      <c r="I57" s="436">
        <f t="shared" si="6"/>
        <v>1574777.3714529022</v>
      </c>
      <c r="J57" s="241">
        <f t="shared" si="7"/>
        <v>-554336930.92232513</v>
      </c>
      <c r="K57" s="127">
        <f t="shared" si="2"/>
        <v>205</v>
      </c>
    </row>
    <row r="58" spans="1:11">
      <c r="A58" s="127">
        <f t="shared" si="3"/>
        <v>206</v>
      </c>
      <c r="B58" s="18">
        <f>'1-BaseTRR'!$G$2</f>
        <v>2021</v>
      </c>
      <c r="C58" s="306" t="s">
        <v>432</v>
      </c>
      <c r="D58" s="209">
        <f t="shared" si="8"/>
        <v>1872292.3145938416</v>
      </c>
      <c r="E58" s="209">
        <f t="shared" si="4"/>
        <v>-552013236.62503493</v>
      </c>
      <c r="F58" s="37">
        <v>31</v>
      </c>
      <c r="G58" s="37">
        <f t="shared" si="5"/>
        <v>276</v>
      </c>
      <c r="H58" s="308">
        <f>G58/G55</f>
        <v>0.75616438356164384</v>
      </c>
      <c r="I58" s="436">
        <f t="shared" si="6"/>
        <v>1415760.7639120556</v>
      </c>
      <c r="J58" s="241">
        <f t="shared" si="7"/>
        <v>-552921170.15841305</v>
      </c>
      <c r="K58" s="127">
        <f t="shared" si="2"/>
        <v>206</v>
      </c>
    </row>
    <row r="59" spans="1:11">
      <c r="A59" s="127">
        <f t="shared" si="3"/>
        <v>207</v>
      </c>
      <c r="B59" s="18">
        <f>'1-BaseTRR'!$G$2</f>
        <v>2021</v>
      </c>
      <c r="C59" s="306" t="s">
        <v>433</v>
      </c>
      <c r="D59" s="209">
        <f t="shared" si="8"/>
        <v>1872292.3145938416</v>
      </c>
      <c r="E59" s="209">
        <f t="shared" si="4"/>
        <v>-550140944.31044114</v>
      </c>
      <c r="F59" s="37">
        <v>30</v>
      </c>
      <c r="G59" s="37">
        <f t="shared" si="5"/>
        <v>246</v>
      </c>
      <c r="H59" s="308">
        <f>G59/G55</f>
        <v>0.67397260273972603</v>
      </c>
      <c r="I59" s="436">
        <f t="shared" si="6"/>
        <v>1261873.7243563973</v>
      </c>
      <c r="J59" s="241">
        <f t="shared" si="7"/>
        <v>-551659296.43405664</v>
      </c>
      <c r="K59" s="127">
        <f t="shared" si="2"/>
        <v>207</v>
      </c>
    </row>
    <row r="60" spans="1:11">
      <c r="A60" s="127">
        <f t="shared" si="3"/>
        <v>208</v>
      </c>
      <c r="B60" s="18">
        <f>'1-BaseTRR'!$G$2</f>
        <v>2021</v>
      </c>
      <c r="C60" s="306" t="s">
        <v>395</v>
      </c>
      <c r="D60" s="209">
        <f t="shared" si="8"/>
        <v>1872292.3145938416</v>
      </c>
      <c r="E60" s="209">
        <f t="shared" si="4"/>
        <v>-548268651.99584734</v>
      </c>
      <c r="F60" s="37">
        <v>31</v>
      </c>
      <c r="G60" s="37">
        <f t="shared" si="5"/>
        <v>215</v>
      </c>
      <c r="H60" s="308">
        <f>G60/G55</f>
        <v>0.58904109589041098</v>
      </c>
      <c r="I60" s="436">
        <f t="shared" si="6"/>
        <v>1102857.1168155505</v>
      </c>
      <c r="J60" s="241">
        <f t="shared" si="7"/>
        <v>-550556439.31724107</v>
      </c>
      <c r="K60" s="127">
        <f t="shared" si="2"/>
        <v>208</v>
      </c>
    </row>
    <row r="61" spans="1:11">
      <c r="A61" s="127">
        <f t="shared" si="3"/>
        <v>209</v>
      </c>
      <c r="B61" s="18">
        <f>'1-BaseTRR'!$G$2</f>
        <v>2021</v>
      </c>
      <c r="C61" s="306" t="s">
        <v>531</v>
      </c>
      <c r="D61" s="209">
        <f t="shared" si="8"/>
        <v>1872292.3145938416</v>
      </c>
      <c r="E61" s="209">
        <f t="shared" si="4"/>
        <v>-546396359.68125355</v>
      </c>
      <c r="F61" s="37">
        <v>30</v>
      </c>
      <c r="G61" s="37">
        <f t="shared" si="5"/>
        <v>185</v>
      </c>
      <c r="H61" s="308">
        <f>G61/G55</f>
        <v>0.50684931506849318</v>
      </c>
      <c r="I61" s="436">
        <f t="shared" si="6"/>
        <v>948970.07725989236</v>
      </c>
      <c r="J61" s="241">
        <f t="shared" si="7"/>
        <v>-549607469.23998117</v>
      </c>
      <c r="K61" s="127">
        <f t="shared" si="2"/>
        <v>209</v>
      </c>
    </row>
    <row r="62" spans="1:11">
      <c r="A62" s="127">
        <f t="shared" si="3"/>
        <v>210</v>
      </c>
      <c r="B62" s="18">
        <f>'1-BaseTRR'!$G$2</f>
        <v>2021</v>
      </c>
      <c r="C62" s="306" t="s">
        <v>435</v>
      </c>
      <c r="D62" s="209">
        <f t="shared" si="8"/>
        <v>1872292.3145938416</v>
      </c>
      <c r="E62" s="209">
        <f t="shared" si="4"/>
        <v>-544524067.36665976</v>
      </c>
      <c r="F62" s="37">
        <v>31</v>
      </c>
      <c r="G62" s="37">
        <f t="shared" si="5"/>
        <v>154</v>
      </c>
      <c r="H62" s="308">
        <f>G62/G55</f>
        <v>0.42191780821917807</v>
      </c>
      <c r="I62" s="436">
        <f t="shared" si="6"/>
        <v>789953.46971904545</v>
      </c>
      <c r="J62" s="241">
        <f t="shared" si="7"/>
        <v>-548817515.77026212</v>
      </c>
      <c r="K62" s="127">
        <f t="shared" si="2"/>
        <v>210</v>
      </c>
    </row>
    <row r="63" spans="1:11">
      <c r="A63" s="127">
        <f t="shared" si="3"/>
        <v>211</v>
      </c>
      <c r="B63" s="18">
        <f>'1-BaseTRR'!$G$2</f>
        <v>2021</v>
      </c>
      <c r="C63" s="306" t="s">
        <v>436</v>
      </c>
      <c r="D63" s="209">
        <f t="shared" si="8"/>
        <v>1872292.3145938416</v>
      </c>
      <c r="E63" s="209">
        <f t="shared" si="4"/>
        <v>-542651775.05206597</v>
      </c>
      <c r="F63" s="37">
        <v>31</v>
      </c>
      <c r="G63" s="37">
        <f t="shared" si="5"/>
        <v>123</v>
      </c>
      <c r="H63" s="308">
        <f>G63/G55</f>
        <v>0.33698630136986302</v>
      </c>
      <c r="I63" s="436">
        <f t="shared" si="6"/>
        <v>630936.86217819864</v>
      </c>
      <c r="J63" s="241">
        <f t="shared" si="7"/>
        <v>-548186578.90808392</v>
      </c>
      <c r="K63" s="127">
        <f t="shared" si="2"/>
        <v>211</v>
      </c>
    </row>
    <row r="64" spans="1:11">
      <c r="A64" s="127">
        <f t="shared" si="3"/>
        <v>212</v>
      </c>
      <c r="B64" s="18">
        <f>'1-BaseTRR'!$G$2</f>
        <v>2021</v>
      </c>
      <c r="C64" s="306" t="s">
        <v>437</v>
      </c>
      <c r="D64" s="209">
        <f t="shared" si="8"/>
        <v>1872292.3145938416</v>
      </c>
      <c r="E64" s="209">
        <f t="shared" si="4"/>
        <v>-540779482.73747218</v>
      </c>
      <c r="F64" s="37">
        <v>30</v>
      </c>
      <c r="G64" s="37">
        <f t="shared" si="5"/>
        <v>93</v>
      </c>
      <c r="H64" s="308">
        <f>G64/G55</f>
        <v>0.25479452054794521</v>
      </c>
      <c r="I64" s="436">
        <f t="shared" si="6"/>
        <v>477049.82262254047</v>
      </c>
      <c r="J64" s="241">
        <f t="shared" si="7"/>
        <v>-547709529.08546138</v>
      </c>
      <c r="K64" s="127">
        <f t="shared" si="2"/>
        <v>212</v>
      </c>
    </row>
    <row r="65" spans="1:11">
      <c r="A65" s="127">
        <f t="shared" si="3"/>
        <v>213</v>
      </c>
      <c r="B65" s="18">
        <f>'1-BaseTRR'!$G$2</f>
        <v>2021</v>
      </c>
      <c r="C65" s="306" t="s">
        <v>438</v>
      </c>
      <c r="D65" s="209">
        <f t="shared" si="8"/>
        <v>1872292.3145938416</v>
      </c>
      <c r="E65" s="209">
        <f t="shared" si="4"/>
        <v>-538907190.42287838</v>
      </c>
      <c r="F65" s="37">
        <v>31</v>
      </c>
      <c r="G65" s="37">
        <f t="shared" si="5"/>
        <v>62</v>
      </c>
      <c r="H65" s="308">
        <f>G65/G55</f>
        <v>0.16986301369863013</v>
      </c>
      <c r="I65" s="436">
        <f t="shared" si="6"/>
        <v>318033.2150816936</v>
      </c>
      <c r="J65" s="241">
        <f t="shared" si="7"/>
        <v>-547391495.87037969</v>
      </c>
      <c r="K65" s="127">
        <f t="shared" si="2"/>
        <v>213</v>
      </c>
    </row>
    <row r="66" spans="1:11">
      <c r="A66" s="127">
        <f t="shared" si="3"/>
        <v>214</v>
      </c>
      <c r="B66" s="18">
        <f>'1-BaseTRR'!$G$2</f>
        <v>2021</v>
      </c>
      <c r="C66" s="306" t="s">
        <v>439</v>
      </c>
      <c r="D66" s="209">
        <f t="shared" si="8"/>
        <v>1872292.3145938416</v>
      </c>
      <c r="E66" s="209">
        <f t="shared" si="4"/>
        <v>-537034898.10828459</v>
      </c>
      <c r="F66" s="37">
        <v>30</v>
      </c>
      <c r="G66" s="37">
        <f>+G67+F67</f>
        <v>32</v>
      </c>
      <c r="H66" s="308">
        <f>G66/G55</f>
        <v>8.7671232876712329E-2</v>
      </c>
      <c r="I66" s="436">
        <f t="shared" si="6"/>
        <v>164146.17552603543</v>
      </c>
      <c r="J66" s="241">
        <f t="shared" si="7"/>
        <v>-547227349.69485366</v>
      </c>
      <c r="K66" s="127">
        <f t="shared" si="2"/>
        <v>214</v>
      </c>
    </row>
    <row r="67" spans="1:11">
      <c r="A67" s="127">
        <f t="shared" si="3"/>
        <v>215</v>
      </c>
      <c r="B67" s="18">
        <f>'1-BaseTRR'!$G$2</f>
        <v>2021</v>
      </c>
      <c r="C67" s="306" t="s">
        <v>428</v>
      </c>
      <c r="D67" s="209">
        <f t="shared" si="8"/>
        <v>1872292.3145938416</v>
      </c>
      <c r="E67" s="209">
        <f t="shared" si="4"/>
        <v>-535162605.79369074</v>
      </c>
      <c r="F67" s="37">
        <v>31</v>
      </c>
      <c r="G67" s="311">
        <v>1</v>
      </c>
      <c r="H67" s="308">
        <f>G67/G55</f>
        <v>2.7397260273972603E-3</v>
      </c>
      <c r="I67" s="436">
        <f t="shared" si="6"/>
        <v>5129.5679851886071</v>
      </c>
      <c r="J67" s="625">
        <f t="shared" si="7"/>
        <v>-547222220.12686849</v>
      </c>
      <c r="K67" s="127">
        <f t="shared" si="2"/>
        <v>215</v>
      </c>
    </row>
    <row r="68" spans="1:11">
      <c r="A68" s="127">
        <f t="shared" si="3"/>
        <v>216</v>
      </c>
      <c r="B68" s="8"/>
      <c r="C68" s="306" t="s">
        <v>446</v>
      </c>
      <c r="D68" s="209"/>
      <c r="E68" s="209">
        <f>C47</f>
        <v>-535162605.7936902</v>
      </c>
      <c r="F68" s="286"/>
      <c r="G68" s="286"/>
      <c r="H68" s="286"/>
      <c r="I68" s="9"/>
      <c r="J68" s="439"/>
      <c r="K68" s="127">
        <f t="shared" si="2"/>
        <v>216</v>
      </c>
    </row>
    <row r="69" spans="1:11">
      <c r="A69" s="127">
        <f t="shared" si="3"/>
        <v>217</v>
      </c>
      <c r="B69" s="8"/>
      <c r="C69" s="175"/>
      <c r="D69" s="291"/>
      <c r="E69" s="291"/>
      <c r="F69" s="286"/>
      <c r="G69" s="286"/>
      <c r="H69" s="286"/>
      <c r="I69" s="312" t="s">
        <v>1199</v>
      </c>
      <c r="J69" s="553">
        <f>+J67</f>
        <v>-547222220.12686849</v>
      </c>
      <c r="K69" s="127">
        <f t="shared" si="2"/>
        <v>217</v>
      </c>
    </row>
    <row r="71" spans="1:11">
      <c r="B71" s="813" t="s">
        <v>1336</v>
      </c>
      <c r="C71" s="813"/>
      <c r="D71" s="813"/>
      <c r="E71" s="813"/>
      <c r="F71" s="813"/>
      <c r="G71" s="813"/>
      <c r="H71" s="813"/>
      <c r="I71" s="813"/>
      <c r="J71" s="813"/>
    </row>
    <row r="72" spans="1:11">
      <c r="B72" s="813" t="s">
        <v>1337</v>
      </c>
      <c r="C72" s="813"/>
      <c r="D72" s="813"/>
      <c r="E72" s="813"/>
      <c r="F72" s="813"/>
      <c r="G72" s="813"/>
      <c r="H72" s="813"/>
      <c r="I72" s="813"/>
      <c r="J72" s="813"/>
    </row>
  </sheetData>
  <mergeCells count="3">
    <mergeCell ref="N4:T4"/>
    <mergeCell ref="B71:J71"/>
    <mergeCell ref="B72:J72"/>
  </mergeCells>
  <printOptions horizontalCentered="1"/>
  <pageMargins left="1" right="1" top="1" bottom="1" header="0.5" footer="0.5"/>
  <pageSetup scale="49" fitToHeight="0" orientation="landscape" r:id="rId1"/>
  <headerFooter>
    <oddHeader>&amp;C&amp;"-,Bold"&amp;12Pacific Gas and Electric Company
Formula Rate Model
Schedule 17-RegAssets-1</oddHeader>
  </headerFooter>
  <rowBreaks count="1" manualBreakCount="1">
    <brk id="41" max="10" man="1"/>
  </rowBreaks>
  <customProperties>
    <customPr name="_pios_id" r:id="rId2"/>
    <customPr name="EpmWorksheetKeyString_GUID" r:id="rId3"/>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A3F26-43D7-433D-87C3-B8F308C5F4A4}">
  <sheetPr>
    <pageSetUpPr fitToPage="1"/>
  </sheetPr>
  <dimension ref="A1:BH142"/>
  <sheetViews>
    <sheetView view="pageBreakPreview" topLeftCell="AJ1" zoomScale="60" zoomScaleNormal="85" zoomScalePageLayoutView="85" workbookViewId="0">
      <selection activeCell="AR23" sqref="AR23:AV23"/>
    </sheetView>
  </sheetViews>
  <sheetFormatPr defaultColWidth="9.140625" defaultRowHeight="12.75"/>
  <cols>
    <col min="1" max="1" width="6.85546875" style="587" bestFit="1" customWidth="1"/>
    <col min="2" max="2" width="41.7109375" style="587" customWidth="1"/>
    <col min="3" max="3" width="27.85546875" style="587" bestFit="1" customWidth="1"/>
    <col min="4" max="4" width="38.85546875" style="587" customWidth="1"/>
    <col min="5" max="5" width="1.7109375" style="587" customWidth="1"/>
    <col min="6" max="6" width="15.85546875" style="587" bestFit="1" customWidth="1"/>
    <col min="7" max="7" width="1.7109375" style="587" customWidth="1"/>
    <col min="8" max="8" width="14.28515625" style="719" bestFit="1" customWidth="1"/>
    <col min="9" max="9" width="1.7109375" style="587" customWidth="1"/>
    <col min="10" max="10" width="19.7109375" style="587" bestFit="1" customWidth="1"/>
    <col min="11" max="11" width="1.7109375" style="587" customWidth="1"/>
    <col min="12" max="12" width="15.85546875" style="587" bestFit="1" customWidth="1"/>
    <col min="13" max="13" width="1.7109375" style="587" customWidth="1"/>
    <col min="14" max="14" width="17.42578125" style="587" bestFit="1" customWidth="1"/>
    <col min="15" max="15" width="1.7109375" style="587" customWidth="1"/>
    <col min="16" max="16" width="22.140625" style="702" customWidth="1"/>
    <col min="17" max="17" width="1.7109375" style="587" customWidth="1"/>
    <col min="18" max="18" width="14.7109375" style="587" bestFit="1" customWidth="1"/>
    <col min="19" max="19" width="1.7109375" style="587" customWidth="1"/>
    <col min="20" max="20" width="14.7109375" style="587" bestFit="1" customWidth="1"/>
    <col min="21" max="21" width="1.7109375" style="587" customWidth="1"/>
    <col min="22" max="22" width="17.7109375" style="587" bestFit="1" customWidth="1"/>
    <col min="23" max="23" width="1.7109375" style="587" customWidth="1"/>
    <col min="24" max="24" width="17.28515625" style="587" customWidth="1"/>
    <col min="25" max="25" width="1.7109375" style="587" customWidth="1"/>
    <col min="26" max="26" width="24.5703125" style="702" bestFit="1" customWidth="1"/>
    <col min="27" max="27" width="1.7109375" style="587" customWidth="1"/>
    <col min="28" max="28" width="17.28515625" style="587" customWidth="1"/>
    <col min="29" max="29" width="1.7109375" style="587" customWidth="1"/>
    <col min="30" max="30" width="17.28515625" style="587" customWidth="1"/>
    <col min="31" max="31" width="1.7109375" style="587" customWidth="1"/>
    <col min="32" max="32" width="17.28515625" style="587" customWidth="1"/>
    <col min="33" max="33" width="1.7109375" style="587" customWidth="1"/>
    <col min="34" max="34" width="21.85546875" style="702" bestFit="1" customWidth="1"/>
    <col min="35" max="35" width="1.7109375" style="587" customWidth="1"/>
    <col min="36" max="36" width="21.85546875" style="587" customWidth="1"/>
    <col min="37" max="37" width="1.7109375" style="587" customWidth="1"/>
    <col min="38" max="38" width="21.85546875" style="587" customWidth="1"/>
    <col min="39" max="39" width="1.7109375" style="587" customWidth="1"/>
    <col min="40" max="40" width="21.85546875" style="587" customWidth="1"/>
    <col min="41" max="41" width="1.7109375" style="587" customWidth="1"/>
    <col min="42" max="42" width="21.85546875" style="587" customWidth="1"/>
    <col min="43" max="43" width="1.7109375" style="587" customWidth="1"/>
    <col min="44" max="44" width="17.28515625" style="587" customWidth="1"/>
    <col min="45" max="45" width="1.7109375" style="587" customWidth="1"/>
    <col min="46" max="46" width="17.28515625" style="587" customWidth="1"/>
    <col min="47" max="47" width="1.7109375" style="587" customWidth="1"/>
    <col min="48" max="48" width="17.28515625" style="587" customWidth="1"/>
    <col min="49" max="49" width="1.7109375" style="587" customWidth="1"/>
    <col min="50" max="50" width="21.85546875" style="587" customWidth="1"/>
    <col min="51" max="51" width="1.7109375" style="587" customWidth="1"/>
    <col min="52" max="52" width="21.85546875" style="587" customWidth="1"/>
    <col min="53" max="53" width="1.7109375" style="587" customWidth="1"/>
    <col min="54" max="54" width="21.85546875" style="587" customWidth="1"/>
    <col min="55" max="55" width="1.7109375" style="587" customWidth="1"/>
    <col min="56" max="56" width="21.85546875" style="587" customWidth="1"/>
    <col min="57" max="57" width="1.7109375" style="587" customWidth="1"/>
    <col min="58" max="58" width="16.5703125" style="702" bestFit="1" customWidth="1"/>
    <col min="59" max="59" width="22.7109375" style="587" bestFit="1" customWidth="1"/>
    <col min="60" max="60" width="7.5703125" style="587" customWidth="1"/>
    <col min="61" max="16384" width="9.140625" style="587"/>
  </cols>
  <sheetData>
    <row r="1" spans="1:60" ht="15">
      <c r="B1" s="86" t="s">
        <v>1338</v>
      </c>
      <c r="C1" s="619"/>
      <c r="D1" s="619"/>
      <c r="E1" s="619"/>
      <c r="F1" s="619"/>
      <c r="G1" s="619"/>
      <c r="H1" s="86"/>
      <c r="I1" s="619"/>
      <c r="J1" s="619"/>
      <c r="K1" s="619"/>
      <c r="L1" s="619"/>
      <c r="M1" s="619"/>
      <c r="N1" s="619"/>
      <c r="O1" s="619"/>
      <c r="P1" s="86"/>
      <c r="Q1" s="619"/>
      <c r="R1" s="619"/>
      <c r="S1" s="619"/>
      <c r="T1" s="619"/>
      <c r="U1" s="619"/>
      <c r="V1" s="619"/>
      <c r="W1" s="619"/>
      <c r="X1" s="619"/>
      <c r="Y1" s="619"/>
      <c r="Z1" s="86"/>
      <c r="AA1" s="619"/>
      <c r="AB1" s="619"/>
      <c r="AC1" s="619"/>
      <c r="AD1" s="619"/>
      <c r="AE1" s="619"/>
      <c r="AF1" s="619"/>
      <c r="AG1" s="619"/>
      <c r="AH1" s="86"/>
      <c r="AI1" s="619"/>
      <c r="AJ1" s="619"/>
      <c r="AK1" s="619"/>
      <c r="AL1" s="619"/>
      <c r="AM1" s="619"/>
      <c r="AN1" s="619"/>
      <c r="AO1" s="619"/>
      <c r="AP1" s="619"/>
      <c r="AQ1" s="619"/>
      <c r="AR1" s="619"/>
      <c r="AS1" s="619"/>
      <c r="AT1" s="619"/>
      <c r="AU1" s="619"/>
      <c r="AV1" s="619"/>
      <c r="AW1" s="619"/>
      <c r="AX1" s="619"/>
      <c r="AY1" s="619"/>
      <c r="AZ1" s="619"/>
      <c r="BA1" s="619"/>
      <c r="BB1" s="619"/>
      <c r="BC1" s="619"/>
      <c r="BD1" s="619"/>
      <c r="BE1" s="619"/>
      <c r="BF1" s="86"/>
      <c r="BG1" s="6" t="str">
        <f>CONCATENATE("Prior Year: ",'1-BaseTRR'!$G$2)</f>
        <v>Prior Year: 2021</v>
      </c>
    </row>
    <row r="2" spans="1:60" ht="15">
      <c r="A2" s="619"/>
      <c r="B2" s="620" t="s">
        <v>131</v>
      </c>
      <c r="C2" s="620"/>
      <c r="D2" s="619"/>
      <c r="E2" s="619"/>
      <c r="F2" s="619"/>
      <c r="G2" s="619"/>
      <c r="H2" s="86"/>
      <c r="I2" s="619"/>
      <c r="J2" s="619"/>
      <c r="K2" s="619"/>
      <c r="L2" s="619"/>
      <c r="M2" s="619"/>
      <c r="N2" s="619"/>
      <c r="O2" s="619"/>
      <c r="P2" s="86"/>
      <c r="Q2" s="619"/>
      <c r="R2" s="619"/>
      <c r="S2" s="619"/>
      <c r="T2" s="619"/>
      <c r="U2" s="619"/>
      <c r="V2" s="619"/>
      <c r="W2" s="619"/>
      <c r="X2" s="619"/>
      <c r="Y2" s="619"/>
      <c r="Z2" s="86"/>
      <c r="AA2" s="619"/>
      <c r="AB2" s="619"/>
      <c r="AC2" s="619"/>
      <c r="AD2" s="619"/>
      <c r="AE2" s="619"/>
      <c r="AF2" s="619"/>
      <c r="AG2" s="619"/>
      <c r="AH2" s="86"/>
      <c r="AI2" s="619"/>
      <c r="AJ2" s="619"/>
      <c r="AK2" s="619"/>
      <c r="AL2" s="619"/>
      <c r="AM2" s="619"/>
      <c r="AN2" s="619"/>
      <c r="AO2" s="619"/>
      <c r="AP2" s="619"/>
      <c r="AQ2" s="619"/>
      <c r="AR2" s="619"/>
      <c r="AS2" s="619"/>
      <c r="AT2" s="619"/>
      <c r="AU2" s="619"/>
      <c r="AV2" s="619"/>
      <c r="AW2" s="619"/>
      <c r="AX2" s="619"/>
      <c r="AY2" s="619"/>
      <c r="AZ2" s="619"/>
      <c r="BA2" s="619"/>
      <c r="BB2" s="619"/>
      <c r="BC2" s="619"/>
      <c r="BD2" s="619"/>
      <c r="BE2" s="619"/>
      <c r="BF2" s="86"/>
      <c r="BG2" s="619"/>
    </row>
    <row r="3" spans="1:60" ht="15">
      <c r="A3" s="588"/>
      <c r="B3" s="588"/>
      <c r="C3" s="588"/>
      <c r="D3" s="588"/>
      <c r="E3" s="588"/>
      <c r="F3" s="588"/>
      <c r="G3" s="588"/>
      <c r="H3" s="71"/>
      <c r="I3" s="588"/>
      <c r="J3" s="588"/>
      <c r="K3" s="588"/>
      <c r="L3" s="588"/>
      <c r="M3" s="588"/>
      <c r="N3" s="588"/>
      <c r="O3" s="588"/>
      <c r="P3" s="71"/>
      <c r="Q3" s="588"/>
      <c r="R3" s="588"/>
      <c r="S3" s="588"/>
      <c r="T3" s="588"/>
      <c r="U3" s="588"/>
      <c r="V3" s="588"/>
      <c r="W3" s="588"/>
      <c r="X3" s="588"/>
      <c r="Y3" s="588"/>
      <c r="Z3" s="71"/>
      <c r="AA3" s="588"/>
      <c r="AB3" s="588"/>
      <c r="AC3" s="588"/>
      <c r="AD3" s="588"/>
      <c r="AE3" s="588"/>
      <c r="AF3" s="588"/>
      <c r="AG3" s="588"/>
      <c r="AH3" s="71"/>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71"/>
      <c r="BG3" s="588"/>
    </row>
    <row r="4" spans="1:60">
      <c r="J4" s="833" t="s">
        <v>1339</v>
      </c>
      <c r="K4" s="833"/>
      <c r="L4" s="833"/>
      <c r="M4" s="833"/>
      <c r="N4" s="833"/>
      <c r="O4" s="589"/>
      <c r="P4" s="708" t="s">
        <v>1340</v>
      </c>
      <c r="R4" s="833" t="s">
        <v>1341</v>
      </c>
      <c r="S4" s="833"/>
      <c r="T4" s="833"/>
      <c r="U4" s="833"/>
      <c r="V4" s="833"/>
      <c r="Z4" s="713" t="s">
        <v>1342</v>
      </c>
      <c r="AH4" s="708" t="s">
        <v>1343</v>
      </c>
      <c r="AI4" s="589"/>
      <c r="AJ4" s="833" t="s">
        <v>1341</v>
      </c>
      <c r="AK4" s="833"/>
      <c r="AL4" s="833"/>
      <c r="AM4" s="833"/>
      <c r="AN4" s="833"/>
      <c r="AO4" s="589"/>
      <c r="AP4" s="589"/>
      <c r="AX4" s="833" t="s">
        <v>1341</v>
      </c>
      <c r="AY4" s="833"/>
      <c r="AZ4" s="833"/>
      <c r="BA4" s="833"/>
      <c r="BB4" s="833"/>
      <c r="BC4" s="589"/>
      <c r="BD4" s="589"/>
      <c r="BF4" s="715"/>
    </row>
    <row r="5" spans="1:60" ht="15">
      <c r="A5" s="590"/>
      <c r="B5" s="590"/>
      <c r="C5" s="590"/>
      <c r="D5" s="590"/>
      <c r="E5" s="590"/>
      <c r="F5" s="703"/>
      <c r="G5" s="700"/>
      <c r="H5" s="591" t="s">
        <v>1344</v>
      </c>
      <c r="I5" s="590"/>
      <c r="J5" s="591" t="s">
        <v>371</v>
      </c>
      <c r="K5" s="591"/>
      <c r="L5" s="591" t="s">
        <v>372</v>
      </c>
      <c r="M5" s="591"/>
      <c r="N5" s="591" t="s">
        <v>373</v>
      </c>
      <c r="O5" s="591"/>
      <c r="P5" s="591" t="s">
        <v>374</v>
      </c>
      <c r="Q5" s="591"/>
      <c r="R5" s="591" t="s">
        <v>375</v>
      </c>
      <c r="S5" s="591"/>
      <c r="T5" s="591" t="s">
        <v>376</v>
      </c>
      <c r="U5" s="591"/>
      <c r="V5" s="591" t="s">
        <v>377</v>
      </c>
      <c r="W5" s="591"/>
      <c r="X5" s="591" t="s">
        <v>378</v>
      </c>
      <c r="Y5" s="591"/>
      <c r="Z5" s="591" t="s">
        <v>409</v>
      </c>
      <c r="AA5" s="592"/>
      <c r="AB5" s="592" t="s">
        <v>525</v>
      </c>
      <c r="AC5" s="592"/>
      <c r="AD5" s="592" t="s">
        <v>526</v>
      </c>
      <c r="AE5" s="592"/>
      <c r="AF5" s="592" t="s">
        <v>527</v>
      </c>
      <c r="AG5" s="592"/>
      <c r="AH5" s="714" t="s">
        <v>528</v>
      </c>
      <c r="AI5" s="592"/>
      <c r="AJ5" s="592" t="s">
        <v>529</v>
      </c>
      <c r="AK5" s="592"/>
      <c r="AL5" s="592" t="s">
        <v>1345</v>
      </c>
      <c r="AM5" s="592"/>
      <c r="AN5" s="592" t="s">
        <v>1346</v>
      </c>
      <c r="AO5" s="592"/>
      <c r="AP5" s="592" t="s">
        <v>1347</v>
      </c>
      <c r="AQ5" s="592"/>
      <c r="AR5" s="592" t="s">
        <v>1348</v>
      </c>
      <c r="AS5" s="592"/>
      <c r="AT5" s="592" t="s">
        <v>1349</v>
      </c>
      <c r="AU5" s="592"/>
      <c r="AV5" s="592" t="s">
        <v>1350</v>
      </c>
      <c r="AW5" s="592"/>
      <c r="AX5" s="592" t="s">
        <v>1351</v>
      </c>
      <c r="AY5" s="592"/>
      <c r="AZ5" s="592" t="s">
        <v>1352</v>
      </c>
      <c r="BA5" s="592"/>
      <c r="BB5" s="592" t="s">
        <v>1353</v>
      </c>
      <c r="BC5" s="592"/>
      <c r="BD5" s="592" t="s">
        <v>1354</v>
      </c>
      <c r="BE5" s="592"/>
      <c r="BF5" s="591" t="s">
        <v>1355</v>
      </c>
      <c r="BG5" s="590"/>
      <c r="BH5" s="590"/>
    </row>
    <row r="6" spans="1:60" ht="44.25" customHeight="1">
      <c r="A6" s="590"/>
      <c r="B6" s="590"/>
      <c r="C6" s="590"/>
      <c r="D6" s="590"/>
      <c r="E6" s="590"/>
      <c r="F6" s="703"/>
      <c r="G6" s="700"/>
      <c r="H6" s="592"/>
      <c r="I6" s="590"/>
      <c r="J6" s="592"/>
      <c r="K6" s="592"/>
      <c r="L6" s="592"/>
      <c r="M6" s="592"/>
      <c r="N6" s="592" t="s">
        <v>1356</v>
      </c>
      <c r="O6" s="592"/>
      <c r="P6" s="592"/>
      <c r="Q6" s="592"/>
      <c r="R6" s="591"/>
      <c r="S6" s="591"/>
      <c r="T6" s="591"/>
      <c r="U6" s="591"/>
      <c r="V6" s="591"/>
      <c r="W6" s="591"/>
      <c r="X6" s="591" t="s">
        <v>1357</v>
      </c>
      <c r="Y6" s="592"/>
      <c r="Z6" s="592"/>
      <c r="AA6" s="592"/>
      <c r="AB6" s="835" t="s">
        <v>1358</v>
      </c>
      <c r="AC6" s="835"/>
      <c r="AD6" s="835"/>
      <c r="AE6" s="835"/>
      <c r="AF6" s="835"/>
      <c r="AG6" s="592"/>
      <c r="AH6" s="592"/>
      <c r="AI6" s="592"/>
      <c r="AJ6" s="592" t="s">
        <v>1359</v>
      </c>
      <c r="AK6" s="592"/>
      <c r="AL6" s="592" t="s">
        <v>1360</v>
      </c>
      <c r="AM6" s="592"/>
      <c r="AN6" s="592" t="s">
        <v>1361</v>
      </c>
      <c r="AO6" s="592"/>
      <c r="AP6" s="592" t="s">
        <v>1362</v>
      </c>
      <c r="AQ6" s="592"/>
      <c r="AR6" s="835" t="s">
        <v>1363</v>
      </c>
      <c r="AS6" s="835"/>
      <c r="AT6" s="835"/>
      <c r="AU6" s="835"/>
      <c r="AV6" s="835"/>
      <c r="AW6" s="592"/>
      <c r="AX6" s="592" t="s">
        <v>1364</v>
      </c>
      <c r="AY6" s="592"/>
      <c r="AZ6" s="592" t="s">
        <v>1365</v>
      </c>
      <c r="BA6" s="592"/>
      <c r="BB6" s="592" t="s">
        <v>1366</v>
      </c>
      <c r="BC6" s="592"/>
      <c r="BD6" s="592" t="s">
        <v>1367</v>
      </c>
      <c r="BE6" s="592"/>
      <c r="BF6" s="706" t="s">
        <v>1368</v>
      </c>
      <c r="BG6" s="590"/>
      <c r="BH6" s="590"/>
    </row>
    <row r="7" spans="1:60" ht="30">
      <c r="B7" s="593"/>
      <c r="C7" s="593"/>
      <c r="D7" s="593"/>
      <c r="E7" s="593"/>
      <c r="F7" s="595" t="s">
        <v>1369</v>
      </c>
      <c r="G7" s="593"/>
      <c r="H7" s="594" t="s">
        <v>1370</v>
      </c>
      <c r="I7" s="593"/>
      <c r="J7" s="594" t="s">
        <v>1371</v>
      </c>
      <c r="K7" s="593"/>
      <c r="L7" s="594" t="s">
        <v>1372</v>
      </c>
      <c r="M7" s="593"/>
      <c r="N7" s="706" t="s">
        <v>1373</v>
      </c>
      <c r="O7" s="595"/>
      <c r="P7" s="595" t="s">
        <v>647</v>
      </c>
      <c r="Q7" s="593"/>
      <c r="R7" s="834" t="s">
        <v>1374</v>
      </c>
      <c r="S7" s="834"/>
      <c r="T7" s="834"/>
      <c r="U7" s="834"/>
      <c r="V7" s="834"/>
      <c r="W7" s="834"/>
      <c r="X7" s="834"/>
      <c r="Y7" s="594"/>
      <c r="Z7" s="594"/>
      <c r="AA7" s="594"/>
      <c r="AB7" s="594" t="s">
        <v>449</v>
      </c>
      <c r="AC7" s="594"/>
      <c r="AD7" s="594" t="s">
        <v>449</v>
      </c>
      <c r="AE7" s="594"/>
      <c r="AF7" s="594" t="s">
        <v>449</v>
      </c>
      <c r="AG7" s="594"/>
      <c r="AH7" s="594" t="s">
        <v>647</v>
      </c>
      <c r="AI7" s="594"/>
      <c r="AJ7" s="834" t="s">
        <v>1375</v>
      </c>
      <c r="AK7" s="834"/>
      <c r="AL7" s="834"/>
      <c r="AM7" s="834"/>
      <c r="AN7" s="834"/>
      <c r="AO7" s="834"/>
      <c r="AP7" s="834"/>
      <c r="AQ7" s="594"/>
      <c r="AR7" s="594" t="s">
        <v>449</v>
      </c>
      <c r="AS7" s="594"/>
      <c r="AT7" s="594" t="s">
        <v>449</v>
      </c>
      <c r="AU7" s="594"/>
      <c r="AV7" s="594" t="s">
        <v>449</v>
      </c>
      <c r="AW7" s="594"/>
      <c r="AX7" s="834" t="s">
        <v>1376</v>
      </c>
      <c r="AY7" s="834"/>
      <c r="AZ7" s="834"/>
      <c r="BA7" s="834"/>
      <c r="BB7" s="834"/>
      <c r="BC7" s="834"/>
      <c r="BD7" s="834"/>
      <c r="BE7" s="594"/>
      <c r="BF7" s="706" t="s">
        <v>1373</v>
      </c>
      <c r="BG7" s="593"/>
    </row>
    <row r="8" spans="1:60" ht="12.75" customHeight="1">
      <c r="B8" s="593"/>
      <c r="C8" s="593"/>
      <c r="D8" s="593"/>
      <c r="E8" s="593"/>
      <c r="F8" s="595" t="s">
        <v>1377</v>
      </c>
      <c r="G8" s="593"/>
      <c r="H8" s="594" t="s">
        <v>1378</v>
      </c>
      <c r="I8" s="593"/>
      <c r="J8" s="594" t="s">
        <v>1379</v>
      </c>
      <c r="K8" s="593"/>
      <c r="L8" s="594" t="s">
        <v>1380</v>
      </c>
      <c r="M8" s="593"/>
      <c r="N8" s="595" t="s">
        <v>1381</v>
      </c>
      <c r="O8" s="595"/>
      <c r="P8" s="595" t="s">
        <v>1382</v>
      </c>
      <c r="Q8" s="593"/>
      <c r="R8" s="594" t="s">
        <v>1383</v>
      </c>
      <c r="S8" s="594"/>
      <c r="T8" s="594" t="s">
        <v>1383</v>
      </c>
      <c r="U8" s="594"/>
      <c r="V8" s="594" t="s">
        <v>1383</v>
      </c>
      <c r="W8" s="594"/>
      <c r="X8" s="594"/>
      <c r="Y8" s="594"/>
      <c r="Z8" s="594" t="s">
        <v>449</v>
      </c>
      <c r="AA8" s="594"/>
      <c r="AB8" s="594" t="s">
        <v>1384</v>
      </c>
      <c r="AC8" s="594"/>
      <c r="AD8" s="594" t="s">
        <v>1384</v>
      </c>
      <c r="AE8" s="594"/>
      <c r="AF8" s="594" t="s">
        <v>1384</v>
      </c>
      <c r="AG8" s="594"/>
      <c r="AH8" s="594" t="s">
        <v>1385</v>
      </c>
      <c r="AI8" s="594"/>
      <c r="AJ8" s="594" t="s">
        <v>1386</v>
      </c>
      <c r="AK8" s="594"/>
      <c r="AL8" s="594" t="s">
        <v>1386</v>
      </c>
      <c r="AM8" s="594"/>
      <c r="AN8" s="594" t="s">
        <v>1386</v>
      </c>
      <c r="AO8" s="594"/>
      <c r="AP8" s="594"/>
      <c r="AQ8" s="594"/>
      <c r="AR8" s="594" t="s">
        <v>1384</v>
      </c>
      <c r="AS8" s="594"/>
      <c r="AT8" s="594" t="s">
        <v>1384</v>
      </c>
      <c r="AU8" s="594"/>
      <c r="AV8" s="594" t="s">
        <v>1384</v>
      </c>
      <c r="AW8" s="594"/>
      <c r="AX8" s="594" t="s">
        <v>1386</v>
      </c>
      <c r="AY8" s="594"/>
      <c r="AZ8" s="594" t="s">
        <v>1386</v>
      </c>
      <c r="BA8" s="594"/>
      <c r="BB8" s="594" t="s">
        <v>1386</v>
      </c>
      <c r="BC8" s="594"/>
      <c r="BD8" s="594"/>
      <c r="BE8" s="594"/>
      <c r="BF8" s="716" t="s">
        <v>1387</v>
      </c>
      <c r="BG8" s="593"/>
    </row>
    <row r="9" spans="1:60" ht="15">
      <c r="A9" s="592"/>
      <c r="B9" s="590"/>
      <c r="C9" s="590"/>
      <c r="D9" s="590"/>
      <c r="E9" s="590"/>
      <c r="F9" s="595" t="s">
        <v>1388</v>
      </c>
      <c r="G9" s="700"/>
      <c r="H9" s="594" t="s">
        <v>1389</v>
      </c>
      <c r="I9" s="590"/>
      <c r="J9" s="596" t="s">
        <v>1390</v>
      </c>
      <c r="K9" s="590"/>
      <c r="L9" s="596" t="s">
        <v>1391</v>
      </c>
      <c r="M9" s="590"/>
      <c r="N9" s="597" t="s">
        <v>448</v>
      </c>
      <c r="O9" s="597"/>
      <c r="P9" s="703" t="s">
        <v>1388</v>
      </c>
      <c r="Q9" s="590"/>
      <c r="R9" s="594" t="s">
        <v>1392</v>
      </c>
      <c r="S9" s="594"/>
      <c r="T9" s="592" t="s">
        <v>1393</v>
      </c>
      <c r="U9" s="592"/>
      <c r="V9" s="598" t="s">
        <v>1393</v>
      </c>
      <c r="W9" s="598"/>
      <c r="X9" s="598" t="s">
        <v>1383</v>
      </c>
      <c r="Y9" s="598"/>
      <c r="Z9" s="598" t="s">
        <v>1394</v>
      </c>
      <c r="AA9" s="598"/>
      <c r="AB9" s="594" t="s">
        <v>1392</v>
      </c>
      <c r="AC9" s="594"/>
      <c r="AD9" s="592" t="s">
        <v>1393</v>
      </c>
      <c r="AE9" s="592"/>
      <c r="AF9" s="598" t="s">
        <v>1393</v>
      </c>
      <c r="AG9" s="598"/>
      <c r="AH9" s="598" t="s">
        <v>1395</v>
      </c>
      <c r="AI9" s="598"/>
      <c r="AJ9" s="594" t="s">
        <v>1392</v>
      </c>
      <c r="AK9" s="594"/>
      <c r="AL9" s="592" t="s">
        <v>1393</v>
      </c>
      <c r="AM9" s="592"/>
      <c r="AN9" s="598" t="s">
        <v>1393</v>
      </c>
      <c r="AO9" s="598"/>
      <c r="AP9" s="598" t="s">
        <v>1386</v>
      </c>
      <c r="AQ9" s="598"/>
      <c r="AR9" s="594" t="s">
        <v>1392</v>
      </c>
      <c r="AS9" s="594"/>
      <c r="AT9" s="592" t="s">
        <v>1393</v>
      </c>
      <c r="AU9" s="592"/>
      <c r="AV9" s="598" t="s">
        <v>1393</v>
      </c>
      <c r="AW9" s="598"/>
      <c r="AX9" s="594" t="s">
        <v>1392</v>
      </c>
      <c r="AY9" s="594"/>
      <c r="AZ9" s="592" t="s">
        <v>1393</v>
      </c>
      <c r="BA9" s="592"/>
      <c r="BB9" s="598" t="s">
        <v>1393</v>
      </c>
      <c r="BC9" s="598"/>
      <c r="BD9" s="598" t="s">
        <v>1386</v>
      </c>
      <c r="BE9" s="598"/>
      <c r="BF9" s="717">
        <f>1/(1-(0.21+0.0884-(0.21*0.0884)))</f>
        <v>1.3885726029071155</v>
      </c>
      <c r="BG9" s="592"/>
      <c r="BH9" s="592"/>
    </row>
    <row r="10" spans="1:60" ht="15.75" thickBot="1">
      <c r="A10" s="322" t="s">
        <v>100</v>
      </c>
      <c r="B10" s="599" t="s">
        <v>1101</v>
      </c>
      <c r="C10" s="599"/>
      <c r="D10" s="599"/>
      <c r="E10" s="599"/>
      <c r="F10" s="604" t="s">
        <v>1079</v>
      </c>
      <c r="G10" s="704"/>
      <c r="H10" s="705">
        <v>43100</v>
      </c>
      <c r="I10" s="599"/>
      <c r="J10" s="600">
        <v>43100</v>
      </c>
      <c r="K10" s="599"/>
      <c r="L10" s="600">
        <v>43100</v>
      </c>
      <c r="M10" s="599"/>
      <c r="N10" s="600">
        <v>43100</v>
      </c>
      <c r="O10" s="600"/>
      <c r="P10" s="705" t="s">
        <v>1396</v>
      </c>
      <c r="Q10" s="599"/>
      <c r="R10" s="601" t="s">
        <v>1397</v>
      </c>
      <c r="S10" s="601"/>
      <c r="T10" s="602" t="s">
        <v>1397</v>
      </c>
      <c r="U10" s="602"/>
      <c r="V10" s="603" t="s">
        <v>1398</v>
      </c>
      <c r="W10" s="603"/>
      <c r="X10" s="603" t="s">
        <v>1399</v>
      </c>
      <c r="Y10" s="603"/>
      <c r="Z10" s="603" t="s">
        <v>1400</v>
      </c>
      <c r="AA10" s="603"/>
      <c r="AB10" s="601" t="s">
        <v>1397</v>
      </c>
      <c r="AC10" s="601"/>
      <c r="AD10" s="602" t="s">
        <v>1397</v>
      </c>
      <c r="AE10" s="602"/>
      <c r="AF10" s="603" t="s">
        <v>1398</v>
      </c>
      <c r="AG10" s="603"/>
      <c r="AH10" s="603" t="s">
        <v>1401</v>
      </c>
      <c r="AI10" s="603"/>
      <c r="AJ10" s="601" t="s">
        <v>1397</v>
      </c>
      <c r="AK10" s="601"/>
      <c r="AL10" s="602" t="s">
        <v>1397</v>
      </c>
      <c r="AM10" s="602"/>
      <c r="AN10" s="603" t="s">
        <v>1398</v>
      </c>
      <c r="AO10" s="603"/>
      <c r="AP10" s="603" t="s">
        <v>1399</v>
      </c>
      <c r="AQ10" s="603"/>
      <c r="AR10" s="601" t="s">
        <v>1397</v>
      </c>
      <c r="AS10" s="601"/>
      <c r="AT10" s="602" t="s">
        <v>1397</v>
      </c>
      <c r="AU10" s="602"/>
      <c r="AV10" s="603" t="s">
        <v>1398</v>
      </c>
      <c r="AW10" s="603"/>
      <c r="AX10" s="601" t="s">
        <v>1397</v>
      </c>
      <c r="AY10" s="601"/>
      <c r="AZ10" s="602" t="s">
        <v>1397</v>
      </c>
      <c r="BA10" s="602"/>
      <c r="BB10" s="603" t="s">
        <v>1398</v>
      </c>
      <c r="BC10" s="603"/>
      <c r="BD10" s="603" t="s">
        <v>1399</v>
      </c>
      <c r="BE10" s="603"/>
      <c r="BF10" s="705"/>
      <c r="BG10" s="604" t="s">
        <v>594</v>
      </c>
      <c r="BH10" s="618" t="s">
        <v>100</v>
      </c>
    </row>
    <row r="11" spans="1:60" ht="15">
      <c r="A11" s="592"/>
      <c r="B11" s="590"/>
      <c r="C11" s="590"/>
      <c r="D11" s="590"/>
      <c r="E11" s="590"/>
      <c r="F11" s="703"/>
      <c r="G11" s="590"/>
      <c r="H11" s="700"/>
      <c r="I11" s="590"/>
      <c r="J11" s="590"/>
      <c r="K11" s="590"/>
      <c r="L11" s="590"/>
      <c r="M11" s="590"/>
      <c r="N11" s="590"/>
      <c r="O11" s="590"/>
      <c r="P11" s="700"/>
      <c r="Q11" s="590"/>
      <c r="R11" s="594"/>
      <c r="S11" s="594"/>
      <c r="T11" s="605"/>
      <c r="U11" s="605"/>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6"/>
      <c r="BD11" s="606"/>
      <c r="BE11" s="606"/>
      <c r="BG11" s="592"/>
      <c r="BH11" s="592"/>
    </row>
    <row r="12" spans="1:60" ht="15">
      <c r="A12" s="592">
        <v>100</v>
      </c>
      <c r="B12" s="590" t="s">
        <v>1402</v>
      </c>
      <c r="C12" s="590"/>
      <c r="D12" s="700" t="s">
        <v>1403</v>
      </c>
      <c r="E12" s="590"/>
      <c r="F12" s="703" t="s">
        <v>1404</v>
      </c>
      <c r="G12" s="590"/>
      <c r="H12" s="607">
        <f>+H26</f>
        <v>0</v>
      </c>
      <c r="I12" s="590"/>
      <c r="J12" s="607">
        <f>+J26</f>
        <v>-1695727972</v>
      </c>
      <c r="K12" s="590"/>
      <c r="L12" s="607">
        <f>+L26</f>
        <v>-1087798598</v>
      </c>
      <c r="M12" s="590"/>
      <c r="N12" s="607">
        <f>+N26</f>
        <v>-607929374</v>
      </c>
      <c r="O12" s="590"/>
      <c r="P12" s="703" t="s">
        <v>1405</v>
      </c>
      <c r="Q12" s="590"/>
      <c r="R12" s="607">
        <f>R26</f>
        <v>-607929374</v>
      </c>
      <c r="S12" s="607"/>
      <c r="T12" s="607">
        <f>T26</f>
        <v>0</v>
      </c>
      <c r="U12" s="607"/>
      <c r="V12" s="607">
        <f>V26</f>
        <v>0</v>
      </c>
      <c r="W12" s="607"/>
      <c r="X12" s="607">
        <f>SUM(R12:V12)</f>
        <v>-607929374</v>
      </c>
      <c r="Y12" s="607"/>
      <c r="Z12" s="609" t="s">
        <v>1406</v>
      </c>
      <c r="AA12" s="607"/>
      <c r="AB12" s="607">
        <f>AB26</f>
        <v>-29903357.850686599</v>
      </c>
      <c r="AC12" s="607"/>
      <c r="AD12" s="607">
        <f>AD26</f>
        <v>0</v>
      </c>
      <c r="AE12" s="607"/>
      <c r="AF12" s="607">
        <f>AF26</f>
        <v>0</v>
      </c>
      <c r="AG12" s="607"/>
      <c r="AH12" s="703" t="s">
        <v>1407</v>
      </c>
      <c r="AI12" s="607"/>
      <c r="AJ12" s="607">
        <f>AJ26</f>
        <v>-578026016.06128585</v>
      </c>
      <c r="AK12" s="607"/>
      <c r="AL12" s="607">
        <f>AL26</f>
        <v>0</v>
      </c>
      <c r="AM12" s="607"/>
      <c r="AN12" s="607">
        <f>AN26</f>
        <v>0</v>
      </c>
      <c r="AO12" s="607"/>
      <c r="AP12" s="607">
        <f>SUM(AJ12:AN12)</f>
        <v>-578026016.06128585</v>
      </c>
      <c r="AQ12" s="607"/>
      <c r="AR12" s="607">
        <f>AR26</f>
        <v>-9982178.8929467555</v>
      </c>
      <c r="AS12" s="607"/>
      <c r="AT12" s="607">
        <f>AT26</f>
        <v>0</v>
      </c>
      <c r="AU12" s="607"/>
      <c r="AV12" s="607">
        <f>AV26</f>
        <v>0</v>
      </c>
      <c r="AW12" s="607"/>
      <c r="AX12" s="607">
        <f>AX26</f>
        <v>-568043837.16833913</v>
      </c>
      <c r="AY12" s="607"/>
      <c r="AZ12" s="607">
        <f>AZ26</f>
        <v>0</v>
      </c>
      <c r="BA12" s="607"/>
      <c r="BB12" s="607">
        <f>BB26</f>
        <v>0</v>
      </c>
      <c r="BC12" s="607"/>
      <c r="BD12" s="607">
        <f>SUM(AX12:BB12)</f>
        <v>-568043837.16833913</v>
      </c>
      <c r="BE12" s="607"/>
      <c r="BF12" s="607">
        <f>+BF26</f>
        <v>-788770110</v>
      </c>
      <c r="BG12" s="592"/>
      <c r="BH12" s="592">
        <f t="shared" ref="BH12:BH17" si="0">A12</f>
        <v>100</v>
      </c>
    </row>
    <row r="13" spans="1:60" ht="15">
      <c r="A13" s="592">
        <f>+A12+1</f>
        <v>101</v>
      </c>
      <c r="B13" s="590" t="s">
        <v>791</v>
      </c>
      <c r="C13" s="590"/>
      <c r="D13" s="700" t="s">
        <v>1408</v>
      </c>
      <c r="E13" s="590"/>
      <c r="F13" s="703" t="s">
        <v>1404</v>
      </c>
      <c r="G13" s="590"/>
      <c r="H13" s="607">
        <f>+H34</f>
        <v>0</v>
      </c>
      <c r="I13" s="590"/>
      <c r="J13" s="607">
        <f>+J34</f>
        <v>0</v>
      </c>
      <c r="K13" s="590"/>
      <c r="L13" s="607">
        <f>+L34</f>
        <v>0</v>
      </c>
      <c r="M13" s="590"/>
      <c r="N13" s="607">
        <f>+N34</f>
        <v>0</v>
      </c>
      <c r="O13" s="590"/>
      <c r="P13" s="703" t="s">
        <v>1405</v>
      </c>
      <c r="Q13" s="590"/>
      <c r="R13" s="607">
        <f>R34</f>
        <v>0</v>
      </c>
      <c r="S13" s="607"/>
      <c r="T13" s="607">
        <f>T34</f>
        <v>0</v>
      </c>
      <c r="U13" s="607"/>
      <c r="V13" s="607">
        <f>V34</f>
        <v>0</v>
      </c>
      <c r="W13" s="607"/>
      <c r="X13" s="607">
        <f t="shared" ref="X13:X16" si="1">SUM(R13:V13)</f>
        <v>0</v>
      </c>
      <c r="Y13" s="607"/>
      <c r="Z13" s="609" t="s">
        <v>1406</v>
      </c>
      <c r="AA13" s="607"/>
      <c r="AB13" s="607">
        <f>AB34</f>
        <v>0</v>
      </c>
      <c r="AC13" s="607"/>
      <c r="AD13" s="607">
        <f>AD34</f>
        <v>0</v>
      </c>
      <c r="AE13" s="607"/>
      <c r="AF13" s="607">
        <f>AF34</f>
        <v>0</v>
      </c>
      <c r="AG13" s="607"/>
      <c r="AH13" s="703" t="s">
        <v>1407</v>
      </c>
      <c r="AI13" s="607"/>
      <c r="AJ13" s="607">
        <f>AJ34</f>
        <v>0</v>
      </c>
      <c r="AK13" s="607"/>
      <c r="AL13" s="607">
        <f>AL34</f>
        <v>0</v>
      </c>
      <c r="AM13" s="607"/>
      <c r="AN13" s="607">
        <f>AN34</f>
        <v>0</v>
      </c>
      <c r="AO13" s="607"/>
      <c r="AP13" s="607">
        <f t="shared" ref="AP13:AP16" si="2">SUM(AJ13:AN13)</f>
        <v>0</v>
      </c>
      <c r="AQ13" s="607"/>
      <c r="AR13" s="607">
        <f>AR34</f>
        <v>0</v>
      </c>
      <c r="AS13" s="607"/>
      <c r="AT13" s="607">
        <f>AT34</f>
        <v>0</v>
      </c>
      <c r="AU13" s="607"/>
      <c r="AV13" s="607">
        <f>AV34</f>
        <v>0</v>
      </c>
      <c r="AW13" s="607"/>
      <c r="AX13" s="607">
        <f>AX34</f>
        <v>0</v>
      </c>
      <c r="AY13" s="607"/>
      <c r="AZ13" s="607">
        <f>AZ34</f>
        <v>0</v>
      </c>
      <c r="BA13" s="607"/>
      <c r="BB13" s="607">
        <f>BB34</f>
        <v>0</v>
      </c>
      <c r="BC13" s="607"/>
      <c r="BD13" s="607">
        <f t="shared" ref="BD13:BD16" si="3">SUM(AX13:BB13)</f>
        <v>0</v>
      </c>
      <c r="BE13" s="607"/>
      <c r="BF13" s="607">
        <f>+BF34</f>
        <v>0</v>
      </c>
      <c r="BG13" s="592"/>
      <c r="BH13" s="592">
        <f t="shared" si="0"/>
        <v>101</v>
      </c>
    </row>
    <row r="14" spans="1:60" ht="15">
      <c r="A14" s="592">
        <f t="shared" ref="A14:A15" si="4">+A13+1</f>
        <v>102</v>
      </c>
      <c r="B14" s="590" t="s">
        <v>1409</v>
      </c>
      <c r="C14" s="590"/>
      <c r="D14" s="700" t="s">
        <v>1410</v>
      </c>
      <c r="E14" s="590"/>
      <c r="F14" s="703" t="s">
        <v>1404</v>
      </c>
      <c r="G14" s="590"/>
      <c r="H14" s="607">
        <f>+H42</f>
        <v>0</v>
      </c>
      <c r="I14" s="590"/>
      <c r="J14" s="607">
        <f>+J42</f>
        <v>-346763385</v>
      </c>
      <c r="K14" s="590"/>
      <c r="L14" s="607">
        <f>+L42</f>
        <v>-206675379</v>
      </c>
      <c r="M14" s="590"/>
      <c r="N14" s="607">
        <f>+N42</f>
        <v>-140088006</v>
      </c>
      <c r="O14" s="590"/>
      <c r="P14" s="703" t="s">
        <v>1405</v>
      </c>
      <c r="Q14" s="590"/>
      <c r="R14" s="607">
        <f>R42</f>
        <v>0</v>
      </c>
      <c r="S14" s="607"/>
      <c r="T14" s="607">
        <f>T42</f>
        <v>-140088006</v>
      </c>
      <c r="U14" s="607"/>
      <c r="V14" s="607">
        <f>V42</f>
        <v>0</v>
      </c>
      <c r="W14" s="607"/>
      <c r="X14" s="607">
        <f t="shared" si="1"/>
        <v>-140088006</v>
      </c>
      <c r="Y14" s="607"/>
      <c r="Z14" s="609" t="s">
        <v>1411</v>
      </c>
      <c r="AA14" s="607"/>
      <c r="AB14" s="607">
        <f>AB42</f>
        <v>0</v>
      </c>
      <c r="AC14" s="607"/>
      <c r="AD14" s="607">
        <f>AD42</f>
        <v>-35245329.751651302</v>
      </c>
      <c r="AE14" s="607"/>
      <c r="AF14" s="607">
        <f>AF42</f>
        <v>0</v>
      </c>
      <c r="AG14" s="607"/>
      <c r="AH14" s="703" t="s">
        <v>1407</v>
      </c>
      <c r="AI14" s="607"/>
      <c r="AJ14" s="607">
        <f>AJ42</f>
        <v>0</v>
      </c>
      <c r="AK14" s="607"/>
      <c r="AL14" s="607">
        <f>AL42</f>
        <v>-104842676.26941842</v>
      </c>
      <c r="AM14" s="607"/>
      <c r="AN14" s="607">
        <f>AN42</f>
        <v>0</v>
      </c>
      <c r="AO14" s="607"/>
      <c r="AP14" s="607">
        <f t="shared" si="2"/>
        <v>-104842676.26941842</v>
      </c>
      <c r="AQ14" s="607"/>
      <c r="AR14" s="607">
        <f>AR42</f>
        <v>0</v>
      </c>
      <c r="AS14" s="607"/>
      <c r="AT14" s="607">
        <f>AT42</f>
        <v>-14324173.144193165</v>
      </c>
      <c r="AU14" s="607"/>
      <c r="AV14" s="607">
        <f>AV42</f>
        <v>0</v>
      </c>
      <c r="AW14" s="607"/>
      <c r="AX14" s="607">
        <f>AX42</f>
        <v>0</v>
      </c>
      <c r="AY14" s="607"/>
      <c r="AZ14" s="607">
        <f>AZ42</f>
        <v>-90518503.125225246</v>
      </c>
      <c r="BA14" s="607"/>
      <c r="BB14" s="607">
        <f>BB42</f>
        <v>0</v>
      </c>
      <c r="BC14" s="607"/>
      <c r="BD14" s="607">
        <f t="shared" si="3"/>
        <v>-90518503.125225246</v>
      </c>
      <c r="BE14" s="607"/>
      <c r="BF14" s="607">
        <f>+BF42</f>
        <v>-125691513</v>
      </c>
      <c r="BG14" s="592"/>
      <c r="BH14" s="592">
        <f t="shared" si="0"/>
        <v>102</v>
      </c>
    </row>
    <row r="15" spans="1:60" ht="15">
      <c r="A15" s="592">
        <f t="shared" si="4"/>
        <v>103</v>
      </c>
      <c r="B15" s="590" t="s">
        <v>1412</v>
      </c>
      <c r="C15" s="590"/>
      <c r="D15" s="700" t="s">
        <v>1413</v>
      </c>
      <c r="E15" s="590"/>
      <c r="F15" s="703" t="s">
        <v>1414</v>
      </c>
      <c r="G15" s="590"/>
      <c r="H15" s="607">
        <f>+H102</f>
        <v>0</v>
      </c>
      <c r="I15" s="590"/>
      <c r="J15" s="607">
        <f>+J102</f>
        <v>9730734</v>
      </c>
      <c r="K15" s="590"/>
      <c r="L15" s="607">
        <f>+L102</f>
        <v>5840030</v>
      </c>
      <c r="M15" s="590"/>
      <c r="N15" s="607">
        <f>+N102</f>
        <v>3890704</v>
      </c>
      <c r="O15" s="590"/>
      <c r="P15" s="703" t="s">
        <v>1415</v>
      </c>
      <c r="Q15" s="590"/>
      <c r="R15" s="607">
        <f>R102</f>
        <v>0</v>
      </c>
      <c r="S15" s="607"/>
      <c r="T15" s="607">
        <f>T102</f>
        <v>0</v>
      </c>
      <c r="U15" s="607"/>
      <c r="V15" s="607">
        <f>V102</f>
        <v>3890704</v>
      </c>
      <c r="W15" s="607"/>
      <c r="X15" s="607">
        <f>SUM(R15:V15)</f>
        <v>3890704</v>
      </c>
      <c r="Y15" s="607"/>
      <c r="Z15" s="609" t="s">
        <v>1411</v>
      </c>
      <c r="AA15" s="607"/>
      <c r="AB15" s="607">
        <f>AB102</f>
        <v>0</v>
      </c>
      <c r="AC15" s="607"/>
      <c r="AD15" s="607">
        <f>AD102</f>
        <v>0</v>
      </c>
      <c r="AE15" s="607"/>
      <c r="AF15" s="607">
        <f>AF102</f>
        <v>-201654.6052043424</v>
      </c>
      <c r="AG15" s="607"/>
      <c r="AH15" s="703" t="s">
        <v>1416</v>
      </c>
      <c r="AI15" s="607"/>
      <c r="AJ15" s="607">
        <f>AJ102</f>
        <v>0</v>
      </c>
      <c r="AK15" s="607"/>
      <c r="AL15" s="607">
        <f>AL102</f>
        <v>0</v>
      </c>
      <c r="AM15" s="607"/>
      <c r="AN15" s="607">
        <f>AN102</f>
        <v>4092358.741047631</v>
      </c>
      <c r="AO15" s="607"/>
      <c r="AP15" s="607">
        <f t="shared" si="2"/>
        <v>4092358.741047631</v>
      </c>
      <c r="AQ15" s="607"/>
      <c r="AR15" s="607">
        <f>AR102</f>
        <v>0</v>
      </c>
      <c r="AS15" s="607"/>
      <c r="AT15" s="607">
        <f>AT102</f>
        <v>0</v>
      </c>
      <c r="AU15" s="607"/>
      <c r="AV15" s="607">
        <f>AV102</f>
        <v>559120.1093791672</v>
      </c>
      <c r="AW15" s="607"/>
      <c r="AX15" s="607">
        <f>AX102</f>
        <v>0</v>
      </c>
      <c r="AY15" s="607"/>
      <c r="AZ15" s="607">
        <f>AZ102</f>
        <v>0</v>
      </c>
      <c r="BA15" s="607"/>
      <c r="BB15" s="607">
        <f>BB102</f>
        <v>3533238.6316684629</v>
      </c>
      <c r="BC15" s="607"/>
      <c r="BD15" s="607">
        <f t="shared" si="3"/>
        <v>3533238.6316684629</v>
      </c>
      <c r="BE15" s="607"/>
      <c r="BF15" s="607">
        <f>+BF102</f>
        <v>4906158</v>
      </c>
      <c r="BG15" s="592"/>
      <c r="BH15" s="592">
        <f t="shared" si="0"/>
        <v>103</v>
      </c>
    </row>
    <row r="16" spans="1:60" ht="15">
      <c r="A16" s="592">
        <f>+A15+1</f>
        <v>104</v>
      </c>
      <c r="B16" s="590" t="s">
        <v>1417</v>
      </c>
      <c r="C16" s="590" t="s">
        <v>1418</v>
      </c>
      <c r="D16" s="700" t="s">
        <v>1419</v>
      </c>
      <c r="E16" s="590"/>
      <c r="F16" s="703" t="s">
        <v>1420</v>
      </c>
      <c r="G16" s="590"/>
      <c r="H16" s="610">
        <f>+H116</f>
        <v>0</v>
      </c>
      <c r="I16" s="590"/>
      <c r="J16" s="610">
        <f>+J116</f>
        <v>336430551</v>
      </c>
      <c r="K16" s="590"/>
      <c r="L16" s="610">
        <f>+L116</f>
        <v>201858330</v>
      </c>
      <c r="M16" s="590"/>
      <c r="N16" s="610">
        <f>+N116</f>
        <v>134572220</v>
      </c>
      <c r="O16" s="590"/>
      <c r="P16" s="703" t="s">
        <v>1415</v>
      </c>
      <c r="Q16" s="590"/>
      <c r="R16" s="610">
        <f>R116</f>
        <v>134572220</v>
      </c>
      <c r="S16" s="610"/>
      <c r="T16" s="610">
        <f t="shared" ref="T16" si="5">T116</f>
        <v>0</v>
      </c>
      <c r="U16" s="610"/>
      <c r="V16" s="610">
        <f t="shared" ref="V16" si="6">V116</f>
        <v>0</v>
      </c>
      <c r="W16" s="610"/>
      <c r="X16" s="610">
        <f t="shared" si="1"/>
        <v>134572220</v>
      </c>
      <c r="Y16" s="607"/>
      <c r="Z16" s="609" t="s">
        <v>1406</v>
      </c>
      <c r="AA16" s="607"/>
      <c r="AB16" s="610">
        <f>AB116</f>
        <v>6619455.2183556501</v>
      </c>
      <c r="AC16" s="610"/>
      <c r="AD16" s="610">
        <f t="shared" ref="AD16:AF16" si="7">AD116</f>
        <v>0</v>
      </c>
      <c r="AE16" s="610"/>
      <c r="AF16" s="610">
        <f t="shared" si="7"/>
        <v>0</v>
      </c>
      <c r="AG16" s="607"/>
      <c r="AH16" s="703" t="s">
        <v>1416</v>
      </c>
      <c r="AI16" s="607"/>
      <c r="AJ16" s="610">
        <f>AJ116</f>
        <v>127952764.98767835</v>
      </c>
      <c r="AK16" s="610"/>
      <c r="AL16" s="610">
        <f t="shared" ref="AL16" si="8">AL116</f>
        <v>0</v>
      </c>
      <c r="AM16" s="610"/>
      <c r="AN16" s="610">
        <f t="shared" ref="AN16" si="9">AN116</f>
        <v>0</v>
      </c>
      <c r="AO16" s="610"/>
      <c r="AP16" s="610">
        <f t="shared" si="2"/>
        <v>127952764.98767835</v>
      </c>
      <c r="AQ16" s="607"/>
      <c r="AR16" s="610">
        <f>AR116</f>
        <v>2209671.1178206801</v>
      </c>
      <c r="AS16" s="610"/>
      <c r="AT16" s="610">
        <f t="shared" ref="AT16:AV16" si="10">AT116</f>
        <v>0</v>
      </c>
      <c r="AU16" s="610"/>
      <c r="AV16" s="610">
        <f t="shared" si="10"/>
        <v>0</v>
      </c>
      <c r="AW16" s="607"/>
      <c r="AX16" s="610">
        <f>AX116</f>
        <v>125743093.86985767</v>
      </c>
      <c r="AY16" s="610"/>
      <c r="AZ16" s="610">
        <f t="shared" ref="AZ16" si="11">AZ116</f>
        <v>0</v>
      </c>
      <c r="BA16" s="610"/>
      <c r="BB16" s="610">
        <f t="shared" ref="BB16" si="12">BB116</f>
        <v>0</v>
      </c>
      <c r="BC16" s="610"/>
      <c r="BD16" s="610">
        <f t="shared" si="3"/>
        <v>125743093.86985767</v>
      </c>
      <c r="BE16" s="607"/>
      <c r="BF16" s="610">
        <f>+BF116</f>
        <v>174603415</v>
      </c>
      <c r="BG16" s="592"/>
      <c r="BH16" s="592">
        <f t="shared" si="0"/>
        <v>104</v>
      </c>
    </row>
    <row r="17" spans="1:60" ht="15">
      <c r="A17" s="592">
        <f>+A16+1</f>
        <v>105</v>
      </c>
      <c r="B17" s="590" t="s">
        <v>465</v>
      </c>
      <c r="C17" s="590"/>
      <c r="D17" s="592"/>
      <c r="E17" s="592"/>
      <c r="F17" s="592"/>
      <c r="G17" s="592"/>
      <c r="H17" s="709">
        <f>SUM(H12:H16)</f>
        <v>0</v>
      </c>
      <c r="I17" s="592"/>
      <c r="J17" s="608">
        <f>SUM(J12:J16)</f>
        <v>-1696330072</v>
      </c>
      <c r="K17" s="592"/>
      <c r="L17" s="608">
        <f>SUM(L12:L16)</f>
        <v>-1086775617</v>
      </c>
      <c r="M17" s="592"/>
      <c r="N17" s="608">
        <f>SUM(N12:N16)</f>
        <v>-609554456</v>
      </c>
      <c r="O17" s="592"/>
      <c r="P17" s="592"/>
      <c r="Q17" s="592"/>
      <c r="R17" s="608">
        <f>SUM(R12:R16)</f>
        <v>-473357154</v>
      </c>
      <c r="S17" s="608"/>
      <c r="T17" s="608">
        <f>SUM(T12:T16)</f>
        <v>-140088006</v>
      </c>
      <c r="U17" s="608"/>
      <c r="V17" s="608">
        <f>SUM(V12:V16)</f>
        <v>3890704</v>
      </c>
      <c r="W17" s="608"/>
      <c r="X17" s="608">
        <f>SUM(X12:X16)</f>
        <v>-609554456</v>
      </c>
      <c r="Y17" s="608"/>
      <c r="Z17" s="709"/>
      <c r="AA17" s="608"/>
      <c r="AB17" s="608">
        <f>SUM(AB12:AB16)</f>
        <v>-23283902.632330947</v>
      </c>
      <c r="AC17" s="608"/>
      <c r="AD17" s="608">
        <f>SUM(AD12:AD16)</f>
        <v>-35245329.751651302</v>
      </c>
      <c r="AE17" s="608"/>
      <c r="AF17" s="608">
        <f>SUM(AF12:AF16)</f>
        <v>-201654.6052043424</v>
      </c>
      <c r="AG17" s="608"/>
      <c r="AH17" s="592"/>
      <c r="AI17" s="608"/>
      <c r="AJ17" s="608">
        <f>SUM(AJ12:AJ16)</f>
        <v>-450073251.0736075</v>
      </c>
      <c r="AK17" s="608"/>
      <c r="AL17" s="608">
        <f>SUM(AL12:AL16)</f>
        <v>-104842676.26941842</v>
      </c>
      <c r="AM17" s="608"/>
      <c r="AN17" s="608">
        <f>SUM(AN12:AN16)</f>
        <v>4092358.741047631</v>
      </c>
      <c r="AO17" s="608"/>
      <c r="AP17" s="608">
        <f>SUM(AP12:AP16)</f>
        <v>-550823568.6019783</v>
      </c>
      <c r="AQ17" s="608"/>
      <c r="AR17" s="608">
        <f>SUM(AR12:AR16)</f>
        <v>-7772507.7751260754</v>
      </c>
      <c r="AS17" s="608"/>
      <c r="AT17" s="608">
        <f>SUM(AT12:AT16)</f>
        <v>-14324173.144193165</v>
      </c>
      <c r="AU17" s="608"/>
      <c r="AV17" s="608">
        <f>SUM(AV12:AV16)</f>
        <v>559120.1093791672</v>
      </c>
      <c r="AW17" s="608"/>
      <c r="AX17" s="608">
        <f>SUM(AX12:AX16)</f>
        <v>-442300743.29848146</v>
      </c>
      <c r="AY17" s="608"/>
      <c r="AZ17" s="608">
        <f>SUM(AZ12:AZ16)</f>
        <v>-90518503.125225246</v>
      </c>
      <c r="BA17" s="608"/>
      <c r="BB17" s="608">
        <f>SUM(BB12:BB16)</f>
        <v>3533238.6316684629</v>
      </c>
      <c r="BC17" s="608"/>
      <c r="BD17" s="608">
        <f>SUM(BD12:BD16)</f>
        <v>-529286007.7920382</v>
      </c>
      <c r="BE17" s="608"/>
      <c r="BF17" s="709">
        <f>SUM(BF12:BF16)</f>
        <v>-734952050</v>
      </c>
      <c r="BG17" s="612"/>
      <c r="BH17" s="592">
        <f t="shared" si="0"/>
        <v>105</v>
      </c>
    </row>
    <row r="18" spans="1:60" ht="15">
      <c r="A18" s="592"/>
      <c r="B18" s="590"/>
      <c r="C18" s="590"/>
      <c r="D18" s="592"/>
      <c r="E18" s="592"/>
      <c r="F18" s="592"/>
      <c r="G18" s="592"/>
      <c r="H18" s="592"/>
      <c r="I18" s="592"/>
      <c r="J18" s="665"/>
      <c r="K18" s="666"/>
      <c r="L18" s="665"/>
      <c r="M18" s="666"/>
      <c r="N18" s="665"/>
      <c r="O18" s="666"/>
      <c r="P18" s="592"/>
      <c r="Q18" s="592"/>
      <c r="R18" s="590"/>
      <c r="S18" s="590"/>
      <c r="T18" s="590"/>
      <c r="U18" s="590"/>
      <c r="V18" s="590"/>
      <c r="W18" s="590"/>
      <c r="X18" s="590"/>
      <c r="Y18" s="590"/>
      <c r="Z18" s="700"/>
      <c r="AA18" s="590"/>
      <c r="AB18" s="590"/>
      <c r="AC18" s="590"/>
      <c r="AD18" s="590"/>
      <c r="AE18" s="590"/>
      <c r="AF18" s="590"/>
      <c r="AG18" s="590"/>
      <c r="AH18" s="592"/>
      <c r="AI18" s="590"/>
      <c r="AJ18" s="590"/>
      <c r="AK18" s="590"/>
      <c r="AL18" s="590"/>
      <c r="AM18" s="590"/>
      <c r="AN18" s="590"/>
      <c r="AO18" s="590"/>
      <c r="AP18" s="590"/>
      <c r="AQ18" s="590"/>
      <c r="AR18" s="590"/>
      <c r="AS18" s="590"/>
      <c r="AT18" s="590"/>
      <c r="AU18" s="590"/>
      <c r="AV18" s="590"/>
      <c r="AW18" s="590"/>
      <c r="AX18" s="590"/>
      <c r="AY18" s="590"/>
      <c r="AZ18" s="590"/>
      <c r="BA18" s="590"/>
      <c r="BB18" s="590"/>
      <c r="BC18" s="590"/>
      <c r="BD18" s="590"/>
      <c r="BE18" s="590"/>
      <c r="BF18" s="592"/>
      <c r="BG18" s="612"/>
      <c r="BH18" s="592"/>
    </row>
    <row r="19" spans="1:60" ht="15">
      <c r="A19" s="592">
        <f>+A17+1</f>
        <v>106</v>
      </c>
      <c r="B19" s="613" t="s">
        <v>1421</v>
      </c>
      <c r="C19" s="613"/>
      <c r="D19" s="591"/>
      <c r="E19" s="592"/>
      <c r="F19" s="592"/>
      <c r="G19" s="592"/>
      <c r="H19" s="592"/>
      <c r="I19" s="592"/>
      <c r="J19" s="592"/>
      <c r="K19" s="592"/>
      <c r="L19" s="592"/>
      <c r="M19" s="592"/>
      <c r="N19" s="592"/>
      <c r="O19" s="592"/>
      <c r="P19" s="592"/>
      <c r="Q19" s="592"/>
      <c r="R19" s="590"/>
      <c r="S19" s="590"/>
      <c r="T19" s="590"/>
      <c r="U19" s="590"/>
      <c r="V19" s="590"/>
      <c r="W19" s="590"/>
      <c r="X19" s="590"/>
      <c r="Y19" s="590"/>
      <c r="Z19" s="700"/>
      <c r="AA19" s="590"/>
      <c r="AB19" s="590"/>
      <c r="AC19" s="590"/>
      <c r="AD19" s="590"/>
      <c r="AE19" s="590"/>
      <c r="AF19" s="590"/>
      <c r="AG19" s="590"/>
      <c r="AH19" s="592"/>
      <c r="AI19" s="590"/>
      <c r="AJ19" s="590"/>
      <c r="AK19" s="590"/>
      <c r="AL19" s="590"/>
      <c r="AM19" s="590"/>
      <c r="AN19" s="590"/>
      <c r="AO19" s="590"/>
      <c r="AP19" s="590"/>
      <c r="AQ19" s="590"/>
      <c r="AR19" s="590"/>
      <c r="AS19" s="590"/>
      <c r="AT19" s="590"/>
      <c r="AU19" s="590"/>
      <c r="AV19" s="590"/>
      <c r="AW19" s="590"/>
      <c r="AX19" s="590"/>
      <c r="AY19" s="590"/>
      <c r="AZ19" s="590"/>
      <c r="BA19" s="590"/>
      <c r="BB19" s="590"/>
      <c r="BC19" s="590"/>
      <c r="BD19" s="590"/>
      <c r="BE19" s="590"/>
      <c r="BF19" s="592"/>
      <c r="BG19" s="614"/>
      <c r="BH19" s="592">
        <f>A19</f>
        <v>106</v>
      </c>
    </row>
    <row r="20" spans="1:60" ht="15">
      <c r="A20" s="592">
        <f>+A19+1</f>
        <v>107</v>
      </c>
      <c r="B20" s="624" t="s">
        <v>1422</v>
      </c>
      <c r="C20" s="590"/>
      <c r="D20" s="592"/>
      <c r="E20" s="592"/>
      <c r="F20" s="592"/>
      <c r="G20" s="592"/>
      <c r="H20" s="709">
        <f>+H125</f>
        <v>0</v>
      </c>
      <c r="I20" s="592"/>
      <c r="J20" s="608">
        <f>J124</f>
        <v>-22361973.694661092</v>
      </c>
      <c r="K20" s="608"/>
      <c r="L20" s="608">
        <f>L124</f>
        <v>-13417682.378914446</v>
      </c>
      <c r="M20" s="608"/>
      <c r="N20" s="608">
        <f>N124</f>
        <v>-8944291.3157466538</v>
      </c>
      <c r="O20" s="608"/>
      <c r="P20" s="703" t="s">
        <v>1423</v>
      </c>
      <c r="Q20" s="592"/>
      <c r="R20" s="608">
        <f>R124</f>
        <v>0</v>
      </c>
      <c r="S20" s="608"/>
      <c r="T20" s="608">
        <f>T124</f>
        <v>-8944291.3157466538</v>
      </c>
      <c r="U20" s="608"/>
      <c r="V20" s="608">
        <f>V124</f>
        <v>0</v>
      </c>
      <c r="W20" s="608"/>
      <c r="X20" s="608">
        <f>SUM(R20:V20)</f>
        <v>-8944291.3157466538</v>
      </c>
      <c r="Y20" s="608"/>
      <c r="Z20" s="609" t="s">
        <v>1406</v>
      </c>
      <c r="AA20" s="608"/>
      <c r="AB20" s="608">
        <f>AB124</f>
        <v>0</v>
      </c>
      <c r="AC20" s="608"/>
      <c r="AD20" s="608">
        <f>AD124</f>
        <v>-2137746.3489086498</v>
      </c>
      <c r="AE20" s="608"/>
      <c r="AF20" s="608">
        <f>AF124</f>
        <v>0</v>
      </c>
      <c r="AG20" s="608"/>
      <c r="AH20" s="703" t="s">
        <v>1423</v>
      </c>
      <c r="AI20" s="608"/>
      <c r="AJ20" s="608">
        <f>AJ124</f>
        <v>0</v>
      </c>
      <c r="AK20" s="608"/>
      <c r="AL20" s="608">
        <f>AL124</f>
        <v>-6806544.9668380041</v>
      </c>
      <c r="AM20" s="608"/>
      <c r="AN20" s="608">
        <f>AN124</f>
        <v>0</v>
      </c>
      <c r="AO20" s="608"/>
      <c r="AP20" s="608">
        <f t="shared" ref="AP20:AP22" si="13">SUM(AJ20:AN20)</f>
        <v>-6806544.9668380041</v>
      </c>
      <c r="AQ20" s="608"/>
      <c r="AR20" s="608">
        <f>AR124</f>
        <v>0</v>
      </c>
      <c r="AS20" s="608"/>
      <c r="AT20" s="608">
        <f>AT124</f>
        <v>-929946.9651860015</v>
      </c>
      <c r="AU20" s="608"/>
      <c r="AV20" s="608">
        <f>AV124</f>
        <v>0</v>
      </c>
      <c r="AW20" s="608"/>
      <c r="AX20" s="608">
        <f>AX124</f>
        <v>0</v>
      </c>
      <c r="AY20" s="608"/>
      <c r="AZ20" s="608">
        <f>AZ124</f>
        <v>-5876598.0016520023</v>
      </c>
      <c r="BA20" s="608"/>
      <c r="BB20" s="608">
        <f>BB124</f>
        <v>0</v>
      </c>
      <c r="BC20" s="608"/>
      <c r="BD20" s="608">
        <f>SUM(AX20:BB20)</f>
        <v>-5876598.0016520023</v>
      </c>
      <c r="BE20" s="608"/>
      <c r="BF20" s="709">
        <f>BF125</f>
        <v>-16360800.678953011</v>
      </c>
      <c r="BG20" s="612"/>
      <c r="BH20" s="592">
        <f>A20</f>
        <v>107</v>
      </c>
    </row>
    <row r="21" spans="1:60" ht="15">
      <c r="A21" s="592">
        <f t="shared" ref="A21:A30" si="14">A20+1</f>
        <v>108</v>
      </c>
      <c r="B21" s="597" t="s">
        <v>127</v>
      </c>
      <c r="C21" s="590"/>
      <c r="D21" s="592"/>
      <c r="E21" s="592"/>
      <c r="F21" s="592"/>
      <c r="G21" s="592"/>
      <c r="H21" s="709">
        <f t="shared" ref="H21:H22" si="15">+H126</f>
        <v>0</v>
      </c>
      <c r="I21" s="592"/>
      <c r="J21" s="608">
        <v>0</v>
      </c>
      <c r="K21" s="608"/>
      <c r="L21" s="608">
        <v>0</v>
      </c>
      <c r="M21" s="608"/>
      <c r="N21" s="608">
        <v>0</v>
      </c>
      <c r="O21" s="608"/>
      <c r="P21" s="703" t="s">
        <v>1423</v>
      </c>
      <c r="Q21" s="592"/>
      <c r="R21" s="608">
        <f t="shared" ref="R21:R22" si="16">R125</f>
        <v>0</v>
      </c>
      <c r="S21" s="608"/>
      <c r="T21" s="608">
        <v>0</v>
      </c>
      <c r="U21" s="608"/>
      <c r="V21" s="608">
        <v>0</v>
      </c>
      <c r="W21" s="608"/>
      <c r="X21" s="608">
        <f t="shared" ref="X21:X22" si="17">SUM(R21:V21)</f>
        <v>0</v>
      </c>
      <c r="Y21" s="608"/>
      <c r="Z21" s="609" t="s">
        <v>1406</v>
      </c>
      <c r="AA21" s="608"/>
      <c r="AB21" s="608">
        <v>0</v>
      </c>
      <c r="AC21" s="608"/>
      <c r="AD21" s="608">
        <v>0</v>
      </c>
      <c r="AE21" s="608"/>
      <c r="AF21" s="608">
        <v>0</v>
      </c>
      <c r="AG21" s="608"/>
      <c r="AH21" s="703" t="s">
        <v>1423</v>
      </c>
      <c r="AI21" s="608"/>
      <c r="AJ21" s="608">
        <v>0</v>
      </c>
      <c r="AK21" s="608"/>
      <c r="AL21" s="608">
        <v>0</v>
      </c>
      <c r="AM21" s="608"/>
      <c r="AN21" s="608">
        <f t="shared" ref="AN21:AN22" si="18">AN125</f>
        <v>0</v>
      </c>
      <c r="AO21" s="608"/>
      <c r="AP21" s="608">
        <f t="shared" si="13"/>
        <v>0</v>
      </c>
      <c r="AQ21" s="608"/>
      <c r="AR21" s="608">
        <v>0</v>
      </c>
      <c r="AS21" s="608"/>
      <c r="AT21" s="608">
        <v>0</v>
      </c>
      <c r="AU21" s="608"/>
      <c r="AV21" s="608">
        <v>0</v>
      </c>
      <c r="AW21" s="608"/>
      <c r="AX21" s="608">
        <v>0</v>
      </c>
      <c r="AY21" s="608"/>
      <c r="AZ21" s="608">
        <v>0</v>
      </c>
      <c r="BA21" s="608"/>
      <c r="BB21" s="608">
        <v>0</v>
      </c>
      <c r="BC21" s="608"/>
      <c r="BD21" s="608">
        <f t="shared" ref="BD21:BD22" si="19">SUM(AX21:BB21)</f>
        <v>0</v>
      </c>
      <c r="BE21" s="608"/>
      <c r="BF21" s="709">
        <f>BF126</f>
        <v>1800105.0092228993</v>
      </c>
      <c r="BG21" s="614"/>
      <c r="BH21" s="592">
        <f>A21</f>
        <v>108</v>
      </c>
    </row>
    <row r="22" spans="1:60" ht="15">
      <c r="A22" s="592">
        <f t="shared" si="14"/>
        <v>109</v>
      </c>
      <c r="B22" s="597" t="s">
        <v>127</v>
      </c>
      <c r="C22" s="590"/>
      <c r="D22" s="592"/>
      <c r="E22" s="592"/>
      <c r="F22" s="592"/>
      <c r="G22" s="592"/>
      <c r="H22" s="718">
        <f t="shared" si="15"/>
        <v>0</v>
      </c>
      <c r="I22" s="592"/>
      <c r="J22" s="611">
        <v>0</v>
      </c>
      <c r="K22" s="611"/>
      <c r="L22" s="611">
        <v>0</v>
      </c>
      <c r="M22" s="611"/>
      <c r="N22" s="611">
        <v>0</v>
      </c>
      <c r="O22" s="611"/>
      <c r="P22" s="703" t="s">
        <v>1423</v>
      </c>
      <c r="Q22" s="592"/>
      <c r="R22" s="611">
        <f t="shared" si="16"/>
        <v>0</v>
      </c>
      <c r="S22" s="611"/>
      <c r="T22" s="611">
        <v>0</v>
      </c>
      <c r="U22" s="611"/>
      <c r="V22" s="611">
        <v>0</v>
      </c>
      <c r="W22" s="611"/>
      <c r="X22" s="611">
        <f t="shared" si="17"/>
        <v>0</v>
      </c>
      <c r="Y22" s="608"/>
      <c r="Z22" s="609" t="s">
        <v>1406</v>
      </c>
      <c r="AA22" s="608"/>
      <c r="AB22" s="611">
        <v>0</v>
      </c>
      <c r="AC22" s="611"/>
      <c r="AD22" s="611">
        <v>0</v>
      </c>
      <c r="AE22" s="611"/>
      <c r="AF22" s="611">
        <v>0</v>
      </c>
      <c r="AG22" s="608"/>
      <c r="AH22" s="703" t="s">
        <v>1423</v>
      </c>
      <c r="AI22" s="608"/>
      <c r="AJ22" s="611">
        <v>0</v>
      </c>
      <c r="AK22" s="611"/>
      <c r="AL22" s="611">
        <v>0</v>
      </c>
      <c r="AM22" s="611"/>
      <c r="AN22" s="611">
        <f t="shared" si="18"/>
        <v>0</v>
      </c>
      <c r="AO22" s="611"/>
      <c r="AP22" s="611">
        <f t="shared" si="13"/>
        <v>0</v>
      </c>
      <c r="AQ22" s="608"/>
      <c r="AR22" s="611">
        <v>0</v>
      </c>
      <c r="AS22" s="611"/>
      <c r="AT22" s="611">
        <v>0</v>
      </c>
      <c r="AU22" s="611"/>
      <c r="AV22" s="611">
        <v>0</v>
      </c>
      <c r="AW22" s="608"/>
      <c r="AX22" s="611">
        <v>0</v>
      </c>
      <c r="AY22" s="611"/>
      <c r="AZ22" s="611">
        <v>0</v>
      </c>
      <c r="BA22" s="611"/>
      <c r="BB22" s="611">
        <v>0</v>
      </c>
      <c r="BC22" s="611"/>
      <c r="BD22" s="611">
        <f t="shared" si="19"/>
        <v>0</v>
      </c>
      <c r="BE22" s="608"/>
      <c r="BF22" s="718">
        <f>BF127</f>
        <v>2140897.7962642731</v>
      </c>
      <c r="BG22" s="614"/>
      <c r="BH22" s="592">
        <f>A22</f>
        <v>109</v>
      </c>
    </row>
    <row r="23" spans="1:60" ht="15">
      <c r="A23" s="592">
        <f t="shared" si="14"/>
        <v>110</v>
      </c>
      <c r="B23" s="590" t="s">
        <v>1424</v>
      </c>
      <c r="C23" s="590"/>
      <c r="D23" s="592"/>
      <c r="E23" s="592"/>
      <c r="F23" s="592"/>
      <c r="G23" s="592"/>
      <c r="H23" s="709">
        <f>SUM(H17:H22)</f>
        <v>0</v>
      </c>
      <c r="I23" s="592"/>
      <c r="J23" s="608">
        <f>SUM(J17:J22)</f>
        <v>-1718692045.6946611</v>
      </c>
      <c r="K23" s="608"/>
      <c r="L23" s="608">
        <f t="shared" ref="L23" si="20">SUM(L17:L22)</f>
        <v>-1100193299.3789144</v>
      </c>
      <c r="M23" s="608"/>
      <c r="N23" s="608">
        <f t="shared" ref="N23" si="21">SUM(N17:N22)</f>
        <v>-618498747.31574667</v>
      </c>
      <c r="O23" s="608"/>
      <c r="P23" s="709"/>
      <c r="Q23" s="592"/>
      <c r="R23" s="608">
        <f>SUM(R17:R22)</f>
        <v>-473357154</v>
      </c>
      <c r="S23" s="608"/>
      <c r="T23" s="608">
        <f t="shared" ref="T23" si="22">SUM(T17:T22)</f>
        <v>-149032297.31574667</v>
      </c>
      <c r="U23" s="608"/>
      <c r="V23" s="608">
        <f t="shared" ref="V23" si="23">SUM(V17:V22)</f>
        <v>3890704</v>
      </c>
      <c r="W23" s="608"/>
      <c r="X23" s="608">
        <f>SUM(X17:X22)</f>
        <v>-618498747.31574667</v>
      </c>
      <c r="Y23" s="608"/>
      <c r="Z23" s="709"/>
      <c r="AA23" s="608"/>
      <c r="AB23" s="608">
        <f>SUM(AB17:AB22)</f>
        <v>-23283902.632330947</v>
      </c>
      <c r="AC23" s="608"/>
      <c r="AD23" s="608">
        <f t="shared" ref="AD23" si="24">SUM(AD17:AD22)</f>
        <v>-37383076.10055995</v>
      </c>
      <c r="AE23" s="608"/>
      <c r="AF23" s="608">
        <f t="shared" ref="AF23" si="25">SUM(AF17:AF22)</f>
        <v>-201654.6052043424</v>
      </c>
      <c r="AG23" s="608"/>
      <c r="AH23" s="709"/>
      <c r="AI23" s="608"/>
      <c r="AJ23" s="608">
        <f>SUM(AJ17:AJ22)</f>
        <v>-450073251.0736075</v>
      </c>
      <c r="AK23" s="608"/>
      <c r="AL23" s="608">
        <f t="shared" ref="AL23" si="26">SUM(AL17:AL22)</f>
        <v>-111649221.23625642</v>
      </c>
      <c r="AM23" s="608"/>
      <c r="AN23" s="608">
        <f t="shared" ref="AN23" si="27">SUM(AN17:AN22)</f>
        <v>4092358.741047631</v>
      </c>
      <c r="AO23" s="608"/>
      <c r="AP23" s="608">
        <f t="shared" ref="AP23" si="28">SUM(AP17:AP22)</f>
        <v>-557630113.5688163</v>
      </c>
      <c r="AQ23" s="608"/>
      <c r="AR23" s="608">
        <f>SUM(AR17:AR22)</f>
        <v>-7772507.7751260754</v>
      </c>
      <c r="AS23" s="608"/>
      <c r="AT23" s="608">
        <f t="shared" ref="AT23" si="29">SUM(AT17:AT22)</f>
        <v>-15254120.109379167</v>
      </c>
      <c r="AU23" s="608"/>
      <c r="AV23" s="608">
        <f t="shared" ref="AV23" si="30">SUM(AV17:AV22)</f>
        <v>559120.1093791672</v>
      </c>
      <c r="AW23" s="608"/>
      <c r="AX23" s="608">
        <f>SUM(AX17:AX22)</f>
        <v>-442300743.29848146</v>
      </c>
      <c r="AY23" s="608"/>
      <c r="AZ23" s="608">
        <f t="shared" ref="AZ23" si="31">SUM(AZ17:AZ22)</f>
        <v>-96395101.126877248</v>
      </c>
      <c r="BA23" s="608"/>
      <c r="BB23" s="608">
        <f t="shared" ref="BB23" si="32">SUM(BB17:BB22)</f>
        <v>3533238.6316684629</v>
      </c>
      <c r="BC23" s="608"/>
      <c r="BD23" s="608">
        <f t="shared" ref="BD23" si="33">SUM(BD17:BD22)</f>
        <v>-535162605.7936902</v>
      </c>
      <c r="BE23" s="608"/>
      <c r="BF23" s="709">
        <f>SUM(BF17:BF22)</f>
        <v>-747371847.8734659</v>
      </c>
      <c r="BG23" s="614"/>
      <c r="BH23" s="592">
        <f>A23</f>
        <v>110</v>
      </c>
    </row>
    <row r="24" spans="1:60" ht="15">
      <c r="A24" s="592"/>
      <c r="B24" s="590"/>
      <c r="C24" s="590"/>
      <c r="D24" s="592"/>
      <c r="E24" s="592"/>
      <c r="F24" s="592"/>
      <c r="G24" s="592"/>
      <c r="H24" s="592"/>
      <c r="I24" s="592"/>
      <c r="J24" s="592"/>
      <c r="K24" s="592"/>
      <c r="L24" s="592"/>
      <c r="M24" s="592"/>
      <c r="N24" s="592"/>
      <c r="O24" s="592"/>
      <c r="P24" s="592"/>
      <c r="Q24" s="592"/>
      <c r="R24" s="608"/>
      <c r="S24" s="608"/>
      <c r="T24" s="608"/>
      <c r="U24" s="608"/>
      <c r="V24" s="608"/>
      <c r="W24" s="608"/>
      <c r="X24" s="608"/>
      <c r="Y24" s="608"/>
      <c r="Z24" s="709"/>
      <c r="AA24" s="608"/>
      <c r="AB24" s="608"/>
      <c r="AC24" s="608"/>
      <c r="AD24" s="608"/>
      <c r="AE24" s="608"/>
      <c r="AF24" s="608"/>
      <c r="AG24" s="608"/>
      <c r="AH24" s="709"/>
      <c r="AI24" s="608"/>
      <c r="AJ24" s="608"/>
      <c r="AK24" s="608"/>
      <c r="AL24" s="608"/>
      <c r="AM24" s="608"/>
      <c r="AN24" s="608"/>
      <c r="AO24" s="608"/>
      <c r="AP24" s="608"/>
      <c r="AQ24" s="608"/>
      <c r="AR24" s="608"/>
      <c r="AS24" s="608"/>
      <c r="AT24" s="608"/>
      <c r="AU24" s="608"/>
      <c r="AV24" s="608"/>
      <c r="AW24" s="608"/>
      <c r="AX24" s="608"/>
      <c r="AY24" s="608"/>
      <c r="AZ24" s="608"/>
      <c r="BA24" s="608"/>
      <c r="BB24" s="608"/>
      <c r="BC24" s="608"/>
      <c r="BD24" s="608"/>
      <c r="BE24" s="608"/>
      <c r="BF24" s="592"/>
      <c r="BG24" s="614"/>
      <c r="BH24" s="592"/>
    </row>
    <row r="25" spans="1:60" ht="15">
      <c r="A25" s="322" t="s">
        <v>100</v>
      </c>
      <c r="B25" s="613" t="s">
        <v>1425</v>
      </c>
      <c r="C25" s="615"/>
      <c r="D25" s="591" t="s">
        <v>111</v>
      </c>
      <c r="E25" s="592"/>
      <c r="F25" s="592"/>
      <c r="G25" s="592"/>
      <c r="H25" s="592"/>
      <c r="I25" s="592"/>
      <c r="J25" s="592"/>
      <c r="K25" s="592"/>
      <c r="L25" s="592"/>
      <c r="M25" s="592"/>
      <c r="N25" s="592"/>
      <c r="O25" s="592"/>
      <c r="P25" s="592"/>
      <c r="Q25" s="592"/>
      <c r="R25" s="608"/>
      <c r="S25" s="608"/>
      <c r="T25" s="608"/>
      <c r="U25" s="608"/>
      <c r="V25" s="590"/>
      <c r="W25" s="590"/>
      <c r="X25" s="590"/>
      <c r="Y25" s="590"/>
      <c r="Z25" s="700"/>
      <c r="AA25" s="590"/>
      <c r="AB25" s="590"/>
      <c r="AC25" s="590"/>
      <c r="AD25" s="590"/>
      <c r="AE25" s="590"/>
      <c r="AF25" s="590"/>
      <c r="AG25" s="590"/>
      <c r="AH25" s="700"/>
      <c r="AI25" s="590"/>
      <c r="AJ25" s="608"/>
      <c r="AK25" s="608"/>
      <c r="AL25" s="608"/>
      <c r="AM25" s="608"/>
      <c r="AN25" s="590"/>
      <c r="AO25" s="590"/>
      <c r="AP25" s="590"/>
      <c r="AQ25" s="590"/>
      <c r="AR25" s="590"/>
      <c r="AS25" s="590"/>
      <c r="AT25" s="608"/>
      <c r="AU25" s="590"/>
      <c r="AV25" s="590"/>
      <c r="AW25" s="590"/>
      <c r="AX25" s="608"/>
      <c r="AY25" s="608"/>
      <c r="AZ25" s="608"/>
      <c r="BA25" s="608"/>
      <c r="BB25" s="590"/>
      <c r="BC25" s="590"/>
      <c r="BD25" s="590"/>
      <c r="BE25" s="590"/>
      <c r="BF25" s="592"/>
      <c r="BG25" s="614"/>
      <c r="BH25" s="618" t="s">
        <v>100</v>
      </c>
    </row>
    <row r="26" spans="1:60" ht="15">
      <c r="A26" s="592">
        <v>200</v>
      </c>
      <c r="B26" s="590" t="s">
        <v>1426</v>
      </c>
      <c r="C26" s="590"/>
      <c r="D26" s="592"/>
      <c r="E26" s="592"/>
      <c r="F26" s="592"/>
      <c r="G26" s="592"/>
      <c r="H26" s="718">
        <f>ROUND(SUM(H27:H31),0)</f>
        <v>0</v>
      </c>
      <c r="I26" s="592"/>
      <c r="J26" s="611">
        <f>ROUND(SUM(J27:J31),0)</f>
        <v>-1695727972</v>
      </c>
      <c r="K26" s="608"/>
      <c r="L26" s="611">
        <f>ROUND(SUM(L27:L31),0)</f>
        <v>-1087798598</v>
      </c>
      <c r="M26" s="608"/>
      <c r="N26" s="611">
        <f>ROUND(SUM(N27:N31),0)</f>
        <v>-607929374</v>
      </c>
      <c r="O26" s="592"/>
      <c r="P26" s="592"/>
      <c r="Q26" s="592"/>
      <c r="R26" s="611">
        <f>ROUND(SUM(R27:R31),0)</f>
        <v>-607929374</v>
      </c>
      <c r="S26" s="608"/>
      <c r="T26" s="611">
        <f>ROUND(SUM(T27:T31),0)</f>
        <v>0</v>
      </c>
      <c r="U26" s="608"/>
      <c r="V26" s="611">
        <f>ROUND(SUM(V27:V31),0)</f>
        <v>0</v>
      </c>
      <c r="W26" s="608"/>
      <c r="X26" s="611">
        <f>ROUND(SUM(X27:X31),0)</f>
        <v>-607929374</v>
      </c>
      <c r="Y26" s="608"/>
      <c r="Z26" s="709"/>
      <c r="AA26" s="608"/>
      <c r="AB26" s="611">
        <f>SUM(AB27:AB31)</f>
        <v>-29903357.850686599</v>
      </c>
      <c r="AC26" s="608"/>
      <c r="AD26" s="611">
        <f>SUM(AD27:AD31)</f>
        <v>0</v>
      </c>
      <c r="AE26" s="608"/>
      <c r="AF26" s="611">
        <f>SUM(AF27:AF31)</f>
        <v>0</v>
      </c>
      <c r="AG26" s="608"/>
      <c r="AH26" s="709"/>
      <c r="AI26" s="608"/>
      <c r="AJ26" s="611">
        <f>SUM(AJ27:AJ31)</f>
        <v>-578026016.06128585</v>
      </c>
      <c r="AK26" s="608"/>
      <c r="AL26" s="611">
        <f>SUM(AL27:AL31)</f>
        <v>0</v>
      </c>
      <c r="AM26" s="608"/>
      <c r="AN26" s="611">
        <f>SUM(AN27:AN31)</f>
        <v>0</v>
      </c>
      <c r="AO26" s="608"/>
      <c r="AP26" s="611">
        <f>SUM(AP27:AP31)</f>
        <v>-578026016.06128585</v>
      </c>
      <c r="AQ26" s="608"/>
      <c r="AR26" s="611">
        <f>SUM(AR27:AR31)</f>
        <v>-9982178.8929467555</v>
      </c>
      <c r="AS26" s="608"/>
      <c r="AT26" s="611">
        <f>SUM(AT27:AT31)</f>
        <v>0</v>
      </c>
      <c r="AU26" s="608"/>
      <c r="AV26" s="611">
        <f>SUM(AV27:AV31)</f>
        <v>0</v>
      </c>
      <c r="AW26" s="608"/>
      <c r="AX26" s="611">
        <f>SUM(AX27:AX31)</f>
        <v>-568043837.16833913</v>
      </c>
      <c r="AY26" s="608"/>
      <c r="AZ26" s="611">
        <f>SUM(AZ27:AZ31)</f>
        <v>0</v>
      </c>
      <c r="BA26" s="608"/>
      <c r="BB26" s="611">
        <f>SUM(BB27:BB31)</f>
        <v>0</v>
      </c>
      <c r="BC26" s="608"/>
      <c r="BD26" s="611">
        <f>SUM(BD27:BD31)</f>
        <v>-568043837.16833913</v>
      </c>
      <c r="BE26" s="608"/>
      <c r="BF26" s="718">
        <f>ROUND(SUM(BF27:BF31),0)</f>
        <v>-788770110</v>
      </c>
      <c r="BG26" s="612"/>
      <c r="BH26" s="592">
        <f t="shared" ref="BH26:BH31" si="34">A26</f>
        <v>200</v>
      </c>
    </row>
    <row r="27" spans="1:60" ht="15">
      <c r="A27" s="592">
        <f t="shared" si="14"/>
        <v>201</v>
      </c>
      <c r="B27" s="624" t="s">
        <v>1427</v>
      </c>
      <c r="C27" s="590"/>
      <c r="D27" s="590" t="s">
        <v>1428</v>
      </c>
      <c r="E27" s="592"/>
      <c r="F27" s="703" t="s">
        <v>1404</v>
      </c>
      <c r="G27" s="592"/>
      <c r="H27" s="720"/>
      <c r="I27" s="592"/>
      <c r="J27" s="622">
        <v>-177951619.23296779</v>
      </c>
      <c r="K27" s="608"/>
      <c r="L27" s="622">
        <v>-177951617.90316525</v>
      </c>
      <c r="M27" s="608"/>
      <c r="N27" s="622">
        <v>-1.3298025289016575</v>
      </c>
      <c r="O27" s="592"/>
      <c r="P27" s="703" t="s">
        <v>1405</v>
      </c>
      <c r="Q27" s="592"/>
      <c r="R27" s="608">
        <f>N27</f>
        <v>-1.3298025289016575</v>
      </c>
      <c r="S27" s="608"/>
      <c r="T27" s="608">
        <v>0</v>
      </c>
      <c r="U27" s="608"/>
      <c r="V27" s="608">
        <v>0</v>
      </c>
      <c r="W27" s="608"/>
      <c r="X27" s="608">
        <f t="shared" ref="X27:X31" si="35">SUM(R27:V27)</f>
        <v>-1.3298025289016575</v>
      </c>
      <c r="Y27" s="608"/>
      <c r="Z27" s="609" t="s">
        <v>1406</v>
      </c>
      <c r="AA27" s="608"/>
      <c r="AB27" s="622"/>
      <c r="AC27" s="608"/>
      <c r="AD27" s="608">
        <v>0</v>
      </c>
      <c r="AE27" s="608"/>
      <c r="AF27" s="608">
        <v>0</v>
      </c>
      <c r="AG27" s="608"/>
      <c r="AH27" s="609" t="s">
        <v>1407</v>
      </c>
      <c r="AI27" s="608"/>
      <c r="AJ27" s="607">
        <f t="shared" ref="AJ27:AJ31" si="36">+R27-AB27</f>
        <v>-1.3298025289016575</v>
      </c>
      <c r="AK27" s="608"/>
      <c r="AL27" s="607">
        <f t="shared" ref="AL27:AL31" si="37">+T27-AD27</f>
        <v>0</v>
      </c>
      <c r="AM27" s="608"/>
      <c r="AN27" s="607">
        <f t="shared" ref="AN27:AN31" si="38">+V27-AF27</f>
        <v>0</v>
      </c>
      <c r="AO27" s="608"/>
      <c r="AP27" s="608">
        <f t="shared" ref="AP27:AP31" si="39">SUM(AJ27:AN27)</f>
        <v>-1.3298025289016575</v>
      </c>
      <c r="AQ27" s="608"/>
      <c r="AR27" s="798">
        <v>0</v>
      </c>
      <c r="AS27" s="608"/>
      <c r="AT27" s="608">
        <v>0</v>
      </c>
      <c r="AU27" s="608"/>
      <c r="AV27" s="608">
        <v>0</v>
      </c>
      <c r="AW27" s="608"/>
      <c r="AX27" s="607">
        <f>+AJ27-AR27</f>
        <v>-1.3298025289016575</v>
      </c>
      <c r="AY27" s="608"/>
      <c r="AZ27" s="607">
        <f>+AL27-AT27</f>
        <v>0</v>
      </c>
      <c r="BA27" s="608"/>
      <c r="BB27" s="607">
        <f>+AN27-AV27</f>
        <v>0</v>
      </c>
      <c r="BC27" s="608"/>
      <c r="BD27" s="608">
        <f t="shared" ref="BD27:BD31" si="40">SUM(AX27:BB27)</f>
        <v>-1.3298025289016575</v>
      </c>
      <c r="BE27" s="608"/>
      <c r="BF27" s="709">
        <f>+BD27*$BF$9</f>
        <v>-1.8465273589094393</v>
      </c>
      <c r="BG27" s="612"/>
      <c r="BH27" s="592">
        <f t="shared" si="34"/>
        <v>201</v>
      </c>
    </row>
    <row r="28" spans="1:60" ht="15">
      <c r="A28" s="592">
        <f t="shared" si="14"/>
        <v>202</v>
      </c>
      <c r="B28" s="624" t="s">
        <v>1429</v>
      </c>
      <c r="C28" s="590"/>
      <c r="D28" s="590" t="s">
        <v>1428</v>
      </c>
      <c r="E28" s="592"/>
      <c r="F28" s="703" t="s">
        <v>1404</v>
      </c>
      <c r="G28" s="592"/>
      <c r="H28" s="720"/>
      <c r="I28" s="592"/>
      <c r="J28" s="622">
        <v>-1580569733.7014818</v>
      </c>
      <c r="K28" s="608"/>
      <c r="L28" s="622">
        <v>-947208768.22001982</v>
      </c>
      <c r="M28" s="608"/>
      <c r="N28" s="622">
        <v>-633360965.481462</v>
      </c>
      <c r="O28" s="592"/>
      <c r="P28" s="703" t="s">
        <v>1405</v>
      </c>
      <c r="Q28" s="592"/>
      <c r="R28" s="608">
        <f t="shared" ref="R28:R29" si="41">N28</f>
        <v>-633360965.481462</v>
      </c>
      <c r="S28" s="608"/>
      <c r="T28" s="608">
        <v>0</v>
      </c>
      <c r="U28" s="608"/>
      <c r="V28" s="608">
        <v>0</v>
      </c>
      <c r="W28" s="608"/>
      <c r="X28" s="608">
        <f t="shared" si="35"/>
        <v>-633360965.481462</v>
      </c>
      <c r="Y28" s="608"/>
      <c r="Z28" s="609" t="s">
        <v>1406</v>
      </c>
      <c r="AA28" s="608"/>
      <c r="AB28" s="622">
        <v>-31154309.124763623</v>
      </c>
      <c r="AC28" s="608"/>
      <c r="AD28" s="608">
        <v>0</v>
      </c>
      <c r="AE28" s="608"/>
      <c r="AF28" s="608">
        <v>0</v>
      </c>
      <c r="AG28" s="608"/>
      <c r="AH28" s="609" t="s">
        <v>1407</v>
      </c>
      <c r="AI28" s="608"/>
      <c r="AJ28" s="607">
        <f t="shared" si="36"/>
        <v>-602206656.35669839</v>
      </c>
      <c r="AK28" s="608"/>
      <c r="AL28" s="607">
        <f t="shared" si="37"/>
        <v>0</v>
      </c>
      <c r="AM28" s="608"/>
      <c r="AN28" s="607">
        <f t="shared" si="38"/>
        <v>0</v>
      </c>
      <c r="AO28" s="608"/>
      <c r="AP28" s="608">
        <f t="shared" si="39"/>
        <v>-602206656.35669839</v>
      </c>
      <c r="AQ28" s="608"/>
      <c r="AR28" s="798">
        <v>-10399764.752921</v>
      </c>
      <c r="AS28" s="608"/>
      <c r="AT28" s="608">
        <v>0</v>
      </c>
      <c r="AU28" s="608"/>
      <c r="AV28" s="608">
        <v>0</v>
      </c>
      <c r="AW28" s="608"/>
      <c r="AX28" s="607">
        <f>+AJ28-AR28</f>
        <v>-591806891.60377741</v>
      </c>
      <c r="AY28" s="608"/>
      <c r="AZ28" s="607">
        <f>+AL28-AT28</f>
        <v>0</v>
      </c>
      <c r="BA28" s="608"/>
      <c r="BB28" s="607">
        <f>+AN28-AV28</f>
        <v>0</v>
      </c>
      <c r="BC28" s="608"/>
      <c r="BD28" s="608">
        <f t="shared" si="40"/>
        <v>-591806891.60377741</v>
      </c>
      <c r="BE28" s="608"/>
      <c r="BF28" s="709">
        <f t="shared" ref="BF28:BF31" si="42">+BD28*$BF$9</f>
        <v>-821766835.89262629</v>
      </c>
      <c r="BG28" s="612"/>
      <c r="BH28" s="592">
        <f t="shared" si="34"/>
        <v>202</v>
      </c>
    </row>
    <row r="29" spans="1:60" ht="15">
      <c r="A29" s="592">
        <f t="shared" si="14"/>
        <v>203</v>
      </c>
      <c r="B29" s="624" t="s">
        <v>1430</v>
      </c>
      <c r="C29" s="590"/>
      <c r="D29" s="590" t="s">
        <v>1428</v>
      </c>
      <c r="E29" s="592"/>
      <c r="F29" s="703" t="s">
        <v>1404</v>
      </c>
      <c r="G29" s="592"/>
      <c r="H29" s="720"/>
      <c r="I29" s="592"/>
      <c r="J29" s="622">
        <v>62793380.796865478</v>
      </c>
      <c r="K29" s="608"/>
      <c r="L29" s="622">
        <v>37361787.897573374</v>
      </c>
      <c r="M29" s="608"/>
      <c r="N29" s="622">
        <v>25431592.899292093</v>
      </c>
      <c r="O29" s="592"/>
      <c r="P29" s="703" t="s">
        <v>1405</v>
      </c>
      <c r="Q29" s="592"/>
      <c r="R29" s="608">
        <f t="shared" si="41"/>
        <v>25431592.899292093</v>
      </c>
      <c r="S29" s="608"/>
      <c r="T29" s="608">
        <v>0</v>
      </c>
      <c r="U29" s="608"/>
      <c r="V29" s="608">
        <v>0</v>
      </c>
      <c r="W29" s="608"/>
      <c r="X29" s="608">
        <f t="shared" si="35"/>
        <v>25431592.899292093</v>
      </c>
      <c r="Y29" s="608"/>
      <c r="Z29" s="609" t="s">
        <v>1406</v>
      </c>
      <c r="AA29" s="608"/>
      <c r="AB29" s="622">
        <v>1250951.274077025</v>
      </c>
      <c r="AC29" s="608"/>
      <c r="AD29" s="608">
        <v>0</v>
      </c>
      <c r="AE29" s="608"/>
      <c r="AF29" s="608">
        <v>0</v>
      </c>
      <c r="AG29" s="608"/>
      <c r="AH29" s="609" t="s">
        <v>1407</v>
      </c>
      <c r="AI29" s="608"/>
      <c r="AJ29" s="607">
        <f t="shared" si="36"/>
        <v>24180641.625215068</v>
      </c>
      <c r="AK29" s="608"/>
      <c r="AL29" s="607">
        <f t="shared" si="37"/>
        <v>0</v>
      </c>
      <c r="AM29" s="608"/>
      <c r="AN29" s="607">
        <f t="shared" si="38"/>
        <v>0</v>
      </c>
      <c r="AO29" s="608"/>
      <c r="AP29" s="608">
        <f t="shared" si="39"/>
        <v>24180641.625215068</v>
      </c>
      <c r="AQ29" s="608"/>
      <c r="AR29" s="798">
        <v>417585.85997424403</v>
      </c>
      <c r="AS29" s="608"/>
      <c r="AT29" s="608">
        <v>0</v>
      </c>
      <c r="AU29" s="608"/>
      <c r="AV29" s="608">
        <v>0</v>
      </c>
      <c r="AW29" s="608"/>
      <c r="AX29" s="607">
        <f>+AJ29-AR29</f>
        <v>23763055.765240826</v>
      </c>
      <c r="AY29" s="608"/>
      <c r="AZ29" s="607">
        <f>+AL29-AT29</f>
        <v>0</v>
      </c>
      <c r="BA29" s="608"/>
      <c r="BB29" s="607">
        <f>+AN29-AV29</f>
        <v>0</v>
      </c>
      <c r="BC29" s="608"/>
      <c r="BD29" s="608">
        <f t="shared" si="40"/>
        <v>23763055.765240826</v>
      </c>
      <c r="BE29" s="608"/>
      <c r="BF29" s="709">
        <f t="shared" si="42"/>
        <v>32996728.196967389</v>
      </c>
      <c r="BG29" s="612"/>
      <c r="BH29" s="592">
        <f t="shared" si="34"/>
        <v>203</v>
      </c>
    </row>
    <row r="30" spans="1:60" ht="15">
      <c r="A30" s="592">
        <f t="shared" si="14"/>
        <v>204</v>
      </c>
      <c r="B30" s="623"/>
      <c r="C30" s="590"/>
      <c r="D30" s="592"/>
      <c r="E30" s="592"/>
      <c r="F30" s="592"/>
      <c r="G30" s="592"/>
      <c r="H30" s="720"/>
      <c r="I30" s="592"/>
      <c r="J30" s="622"/>
      <c r="K30" s="608"/>
      <c r="L30" s="622"/>
      <c r="M30" s="608"/>
      <c r="N30" s="622"/>
      <c r="O30" s="592"/>
      <c r="P30" s="592"/>
      <c r="Q30" s="592"/>
      <c r="R30" s="608">
        <v>0</v>
      </c>
      <c r="S30" s="608"/>
      <c r="T30" s="608">
        <v>0</v>
      </c>
      <c r="U30" s="608"/>
      <c r="V30" s="608">
        <v>0</v>
      </c>
      <c r="W30" s="608"/>
      <c r="X30" s="608">
        <f t="shared" si="35"/>
        <v>0</v>
      </c>
      <c r="Y30" s="608"/>
      <c r="Z30" s="709"/>
      <c r="AA30" s="608"/>
      <c r="AB30" s="622"/>
      <c r="AC30" s="608"/>
      <c r="AD30" s="608">
        <v>0</v>
      </c>
      <c r="AE30" s="608"/>
      <c r="AF30" s="608">
        <v>0</v>
      </c>
      <c r="AG30" s="608"/>
      <c r="AH30" s="709"/>
      <c r="AI30" s="608"/>
      <c r="AJ30" s="607">
        <f t="shared" si="36"/>
        <v>0</v>
      </c>
      <c r="AK30" s="608"/>
      <c r="AL30" s="607">
        <f t="shared" si="37"/>
        <v>0</v>
      </c>
      <c r="AM30" s="608"/>
      <c r="AN30" s="607">
        <f t="shared" si="38"/>
        <v>0</v>
      </c>
      <c r="AO30" s="608"/>
      <c r="AP30" s="608">
        <f t="shared" si="39"/>
        <v>0</v>
      </c>
      <c r="AQ30" s="608"/>
      <c r="AR30" s="622"/>
      <c r="AS30" s="608"/>
      <c r="AT30" s="608">
        <v>0</v>
      </c>
      <c r="AU30" s="608"/>
      <c r="AV30" s="608">
        <v>0</v>
      </c>
      <c r="AW30" s="608"/>
      <c r="AX30" s="607">
        <f>+AJ30-AR30</f>
        <v>0</v>
      </c>
      <c r="AY30" s="608"/>
      <c r="AZ30" s="607">
        <f>+AL30-AT30</f>
        <v>0</v>
      </c>
      <c r="BA30" s="608"/>
      <c r="BB30" s="607">
        <f>+AN30-AV30</f>
        <v>0</v>
      </c>
      <c r="BC30" s="608"/>
      <c r="BD30" s="608">
        <f t="shared" si="40"/>
        <v>0</v>
      </c>
      <c r="BE30" s="608"/>
      <c r="BF30" s="709">
        <f t="shared" si="42"/>
        <v>0</v>
      </c>
      <c r="BG30" s="612"/>
      <c r="BH30" s="592">
        <f t="shared" si="34"/>
        <v>204</v>
      </c>
    </row>
    <row r="31" spans="1:60" ht="15">
      <c r="A31" s="592">
        <f>+A30+1</f>
        <v>205</v>
      </c>
      <c r="B31" s="623"/>
      <c r="C31" s="616"/>
      <c r="D31" s="590"/>
      <c r="E31" s="590"/>
      <c r="F31" s="703"/>
      <c r="G31" s="590"/>
      <c r="H31" s="720"/>
      <c r="I31" s="590"/>
      <c r="J31" s="622"/>
      <c r="K31" s="608"/>
      <c r="L31" s="622"/>
      <c r="M31" s="608"/>
      <c r="N31" s="622"/>
      <c r="O31" s="590"/>
      <c r="P31" s="700"/>
      <c r="Q31" s="590"/>
      <c r="R31" s="608">
        <v>0</v>
      </c>
      <c r="S31" s="608"/>
      <c r="T31" s="608">
        <v>0</v>
      </c>
      <c r="U31" s="608"/>
      <c r="V31" s="608">
        <v>0</v>
      </c>
      <c r="W31" s="608"/>
      <c r="X31" s="608">
        <f t="shared" si="35"/>
        <v>0</v>
      </c>
      <c r="Y31" s="608"/>
      <c r="Z31" s="709"/>
      <c r="AA31" s="608"/>
      <c r="AB31" s="622"/>
      <c r="AC31" s="608"/>
      <c r="AD31" s="608">
        <v>0</v>
      </c>
      <c r="AE31" s="608"/>
      <c r="AF31" s="608">
        <v>0</v>
      </c>
      <c r="AG31" s="608"/>
      <c r="AH31" s="709"/>
      <c r="AI31" s="608"/>
      <c r="AJ31" s="607">
        <f t="shared" si="36"/>
        <v>0</v>
      </c>
      <c r="AK31" s="608"/>
      <c r="AL31" s="607">
        <f t="shared" si="37"/>
        <v>0</v>
      </c>
      <c r="AM31" s="608"/>
      <c r="AN31" s="607">
        <f t="shared" si="38"/>
        <v>0</v>
      </c>
      <c r="AO31" s="608"/>
      <c r="AP31" s="608">
        <f t="shared" si="39"/>
        <v>0</v>
      </c>
      <c r="AQ31" s="617"/>
      <c r="AR31" s="622"/>
      <c r="AS31" s="608"/>
      <c r="AT31" s="608">
        <v>0</v>
      </c>
      <c r="AU31" s="608"/>
      <c r="AV31" s="608">
        <v>0</v>
      </c>
      <c r="AW31" s="608"/>
      <c r="AX31" s="607">
        <f>+AJ31-AR31</f>
        <v>0</v>
      </c>
      <c r="AY31" s="608"/>
      <c r="AZ31" s="607">
        <f>+AL31-AT31</f>
        <v>0</v>
      </c>
      <c r="BA31" s="608"/>
      <c r="BB31" s="607">
        <f>+AN31-AV31</f>
        <v>0</v>
      </c>
      <c r="BC31" s="608"/>
      <c r="BD31" s="608">
        <f t="shared" si="40"/>
        <v>0</v>
      </c>
      <c r="BE31" s="617"/>
      <c r="BF31" s="709">
        <f t="shared" si="42"/>
        <v>0</v>
      </c>
      <c r="BG31" s="590"/>
      <c r="BH31" s="592">
        <f t="shared" si="34"/>
        <v>205</v>
      </c>
    </row>
    <row r="32" spans="1:60" ht="15">
      <c r="A32" s="592"/>
      <c r="B32" s="597"/>
      <c r="C32" s="616"/>
      <c r="D32" s="590"/>
      <c r="E32" s="590"/>
      <c r="F32" s="703"/>
      <c r="G32" s="590"/>
      <c r="H32" s="709"/>
      <c r="I32" s="590"/>
      <c r="J32" s="608"/>
      <c r="K32" s="608"/>
      <c r="L32" s="608"/>
      <c r="M32" s="608"/>
      <c r="N32" s="608"/>
      <c r="O32" s="590"/>
      <c r="P32" s="700"/>
      <c r="Q32" s="590"/>
      <c r="R32" s="608"/>
      <c r="S32" s="608"/>
      <c r="T32" s="608"/>
      <c r="U32" s="608"/>
      <c r="V32" s="608"/>
      <c r="W32" s="608"/>
      <c r="X32" s="608"/>
      <c r="Y32" s="608"/>
      <c r="Z32" s="709"/>
      <c r="AA32" s="608"/>
      <c r="AB32" s="608"/>
      <c r="AC32" s="608"/>
      <c r="AD32" s="608"/>
      <c r="AE32" s="608"/>
      <c r="AF32" s="608"/>
      <c r="AG32" s="608"/>
      <c r="AH32" s="709"/>
      <c r="AI32" s="608"/>
      <c r="AJ32" s="608"/>
      <c r="AK32" s="608"/>
      <c r="AL32" s="608"/>
      <c r="AM32" s="608"/>
      <c r="AN32" s="608"/>
      <c r="AO32" s="608"/>
      <c r="AP32" s="608"/>
      <c r="AQ32" s="617"/>
      <c r="AR32" s="608"/>
      <c r="AS32" s="608"/>
      <c r="AT32" s="608"/>
      <c r="AU32" s="608"/>
      <c r="AV32" s="608"/>
      <c r="AW32" s="608"/>
      <c r="AX32" s="608"/>
      <c r="AY32" s="608"/>
      <c r="AZ32" s="608"/>
      <c r="BA32" s="608"/>
      <c r="BB32" s="608"/>
      <c r="BC32" s="608"/>
      <c r="BD32" s="608"/>
      <c r="BE32" s="617"/>
      <c r="BF32" s="709"/>
      <c r="BG32" s="590"/>
      <c r="BH32" s="592"/>
    </row>
    <row r="33" spans="1:60" ht="15">
      <c r="A33" s="322" t="s">
        <v>100</v>
      </c>
      <c r="B33" s="589"/>
      <c r="F33" s="712"/>
      <c r="H33" s="702"/>
      <c r="BH33" s="618" t="s">
        <v>100</v>
      </c>
    </row>
    <row r="34" spans="1:60" ht="15">
      <c r="A34" s="592">
        <v>300</v>
      </c>
      <c r="B34" s="590" t="s">
        <v>1431</v>
      </c>
      <c r="F34" s="712"/>
      <c r="H34" s="718">
        <f>SUM(H35:H39)</f>
        <v>0</v>
      </c>
      <c r="J34" s="611">
        <f>SUM(J35:J39)</f>
        <v>0</v>
      </c>
      <c r="K34" s="608"/>
      <c r="L34" s="611">
        <f>SUM(L35:L39)</f>
        <v>0</v>
      </c>
      <c r="M34" s="608"/>
      <c r="N34" s="611">
        <f>SUM(N35:N39)</f>
        <v>0</v>
      </c>
      <c r="O34" s="592"/>
      <c r="P34" s="592"/>
      <c r="Q34" s="592"/>
      <c r="R34" s="611">
        <f>SUM(R35:R39)</f>
        <v>0</v>
      </c>
      <c r="S34" s="608"/>
      <c r="T34" s="611">
        <f>SUM(T35:T39)</f>
        <v>0</v>
      </c>
      <c r="U34" s="608"/>
      <c r="V34" s="611">
        <f>SUM(V35:V39)</f>
        <v>0</v>
      </c>
      <c r="W34" s="608"/>
      <c r="X34" s="611">
        <f>SUM(X35:X39)</f>
        <v>0</v>
      </c>
      <c r="Y34" s="608"/>
      <c r="Z34" s="709"/>
      <c r="AA34" s="608"/>
      <c r="AB34" s="611">
        <f>SUM(AB35:AB39)</f>
        <v>0</v>
      </c>
      <c r="AC34" s="608"/>
      <c r="AD34" s="611">
        <f>SUM(AD35:AD39)</f>
        <v>0</v>
      </c>
      <c r="AE34" s="608"/>
      <c r="AF34" s="611">
        <f>SUM(AF35:AF39)</f>
        <v>0</v>
      </c>
      <c r="AG34" s="608"/>
      <c r="AH34" s="709"/>
      <c r="AI34" s="608"/>
      <c r="AJ34" s="611">
        <f>SUM(AJ35:AJ39)</f>
        <v>0</v>
      </c>
      <c r="AK34" s="608"/>
      <c r="AL34" s="611">
        <f>SUM(AL35:AL39)</f>
        <v>0</v>
      </c>
      <c r="AM34" s="608"/>
      <c r="AN34" s="611">
        <f>SUM(AN35:AN39)</f>
        <v>0</v>
      </c>
      <c r="AO34" s="608"/>
      <c r="AP34" s="611">
        <f>SUM(AP35:AP39)</f>
        <v>0</v>
      </c>
      <c r="AR34" s="611">
        <f>SUM(AR35:AR39)</f>
        <v>0</v>
      </c>
      <c r="AS34" s="608"/>
      <c r="AT34" s="611">
        <f>SUM(AT35:AT39)</f>
        <v>0</v>
      </c>
      <c r="AU34" s="608"/>
      <c r="AV34" s="611">
        <f>SUM(AV35:AV39)</f>
        <v>0</v>
      </c>
      <c r="AW34" s="608"/>
      <c r="AX34" s="611">
        <f>SUM(AX35:AX39)</f>
        <v>0</v>
      </c>
      <c r="AY34" s="608"/>
      <c r="AZ34" s="611">
        <f>SUM(AZ35:AZ39)</f>
        <v>0</v>
      </c>
      <c r="BA34" s="608"/>
      <c r="BB34" s="611">
        <f>SUM(BB35:BB39)</f>
        <v>0</v>
      </c>
      <c r="BC34" s="608"/>
      <c r="BD34" s="611">
        <f>SUM(BD35:BD39)</f>
        <v>0</v>
      </c>
      <c r="BF34" s="718">
        <f>SUM(BF35:BF39)</f>
        <v>0</v>
      </c>
      <c r="BH34" s="592">
        <f t="shared" ref="BH34:BH39" si="43">A34</f>
        <v>300</v>
      </c>
    </row>
    <row r="35" spans="1:60" ht="15">
      <c r="A35" s="592">
        <f t="shared" ref="A35:A38" si="44">A34+1</f>
        <v>301</v>
      </c>
      <c r="B35" s="637" t="s">
        <v>1432</v>
      </c>
      <c r="D35" s="707" t="s">
        <v>1433</v>
      </c>
      <c r="F35" s="712" t="s">
        <v>1404</v>
      </c>
      <c r="H35" s="720"/>
      <c r="J35" s="622">
        <v>0</v>
      </c>
      <c r="K35" s="608"/>
      <c r="L35" s="622">
        <v>0</v>
      </c>
      <c r="M35" s="608"/>
      <c r="N35" s="622">
        <v>0</v>
      </c>
      <c r="P35" s="703" t="s">
        <v>1405</v>
      </c>
      <c r="R35" s="608">
        <f t="shared" ref="R35:R39" si="45">N35</f>
        <v>0</v>
      </c>
      <c r="S35" s="608"/>
      <c r="T35" s="608">
        <v>0</v>
      </c>
      <c r="U35" s="608"/>
      <c r="V35" s="608">
        <v>0</v>
      </c>
      <c r="W35" s="608"/>
      <c r="X35" s="608">
        <f>SUM(R35:V35)</f>
        <v>0</v>
      </c>
      <c r="Y35" s="608"/>
      <c r="Z35" s="709"/>
      <c r="AA35" s="608"/>
      <c r="AB35" s="622"/>
      <c r="AC35" s="608"/>
      <c r="AD35" s="622"/>
      <c r="AE35" s="608"/>
      <c r="AF35" s="608">
        <v>0</v>
      </c>
      <c r="AG35" s="608"/>
      <c r="AH35" s="709"/>
      <c r="AI35" s="608"/>
      <c r="AJ35" s="607">
        <f t="shared" ref="AJ35:AJ39" si="46">+R35-AB35</f>
        <v>0</v>
      </c>
      <c r="AK35" s="608"/>
      <c r="AL35" s="607">
        <f t="shared" ref="AL35:AL39" si="47">+T35-AD35</f>
        <v>0</v>
      </c>
      <c r="AM35" s="608"/>
      <c r="AN35" s="607">
        <f t="shared" ref="AN35:AN39" si="48">+V35-AF35</f>
        <v>0</v>
      </c>
      <c r="AO35" s="608"/>
      <c r="AP35" s="608">
        <f t="shared" ref="AP35:AP39" si="49">SUM(AJ35:AN35)</f>
        <v>0</v>
      </c>
      <c r="AR35" s="622"/>
      <c r="AS35" s="608"/>
      <c r="AT35" s="622"/>
      <c r="AU35" s="608"/>
      <c r="AV35" s="608">
        <v>0</v>
      </c>
      <c r="AW35" s="608"/>
      <c r="AX35" s="607">
        <f>+AJ35-AR35</f>
        <v>0</v>
      </c>
      <c r="AY35" s="608"/>
      <c r="AZ35" s="607">
        <f>+AL35-AT35</f>
        <v>0</v>
      </c>
      <c r="BA35" s="608"/>
      <c r="BB35" s="607">
        <f>+AN35-AV35</f>
        <v>0</v>
      </c>
      <c r="BC35" s="608"/>
      <c r="BD35" s="608">
        <f t="shared" ref="BD35:BD39" si="50">SUM(AX35:BB35)</f>
        <v>0</v>
      </c>
      <c r="BF35" s="709">
        <f t="shared" ref="BF35:BF39" si="51">+BD35*$BF$9</f>
        <v>0</v>
      </c>
      <c r="BH35" s="592">
        <f t="shared" si="43"/>
        <v>301</v>
      </c>
    </row>
    <row r="36" spans="1:60" ht="15">
      <c r="A36" s="592">
        <f t="shared" si="44"/>
        <v>302</v>
      </c>
      <c r="B36" s="637" t="s">
        <v>1432</v>
      </c>
      <c r="D36" s="707" t="s">
        <v>1433</v>
      </c>
      <c r="F36" s="712" t="s">
        <v>1404</v>
      </c>
      <c r="H36" s="720"/>
      <c r="J36" s="622">
        <v>0</v>
      </c>
      <c r="K36" s="608"/>
      <c r="L36" s="622">
        <v>0</v>
      </c>
      <c r="M36" s="608"/>
      <c r="N36" s="622">
        <v>0</v>
      </c>
      <c r="P36" s="703" t="s">
        <v>1405</v>
      </c>
      <c r="R36" s="608">
        <f t="shared" si="45"/>
        <v>0</v>
      </c>
      <c r="S36" s="608"/>
      <c r="T36" s="608">
        <v>0</v>
      </c>
      <c r="U36" s="608"/>
      <c r="V36" s="608">
        <v>0</v>
      </c>
      <c r="W36" s="608"/>
      <c r="X36" s="608">
        <f t="shared" ref="X36:X39" si="52">SUM(R36:V36)</f>
        <v>0</v>
      </c>
      <c r="Y36" s="608"/>
      <c r="Z36" s="709"/>
      <c r="AA36" s="608"/>
      <c r="AB36" s="622"/>
      <c r="AC36" s="608"/>
      <c r="AD36" s="622"/>
      <c r="AE36" s="608"/>
      <c r="AF36" s="608">
        <v>0</v>
      </c>
      <c r="AG36" s="608"/>
      <c r="AH36" s="709"/>
      <c r="AI36" s="608"/>
      <c r="AJ36" s="607">
        <f t="shared" si="46"/>
        <v>0</v>
      </c>
      <c r="AK36" s="608"/>
      <c r="AL36" s="607">
        <f t="shared" si="47"/>
        <v>0</v>
      </c>
      <c r="AM36" s="608"/>
      <c r="AN36" s="607">
        <f t="shared" si="48"/>
        <v>0</v>
      </c>
      <c r="AO36" s="608"/>
      <c r="AP36" s="608">
        <f t="shared" si="49"/>
        <v>0</v>
      </c>
      <c r="AR36" s="622"/>
      <c r="AS36" s="608"/>
      <c r="AT36" s="622"/>
      <c r="AU36" s="608"/>
      <c r="AV36" s="608">
        <v>0</v>
      </c>
      <c r="AW36" s="608"/>
      <c r="AX36" s="607">
        <f>+AJ36-AR36</f>
        <v>0</v>
      </c>
      <c r="AY36" s="608"/>
      <c r="AZ36" s="607">
        <f>+AL36-AT36</f>
        <v>0</v>
      </c>
      <c r="BA36" s="608"/>
      <c r="BB36" s="607">
        <f>+AN36-AV36</f>
        <v>0</v>
      </c>
      <c r="BC36" s="608"/>
      <c r="BD36" s="608">
        <f t="shared" si="50"/>
        <v>0</v>
      </c>
      <c r="BF36" s="709">
        <f t="shared" si="51"/>
        <v>0</v>
      </c>
      <c r="BH36" s="592">
        <f t="shared" si="43"/>
        <v>302</v>
      </c>
    </row>
    <row r="37" spans="1:60" ht="15">
      <c r="A37" s="592">
        <f t="shared" si="44"/>
        <v>303</v>
      </c>
      <c r="B37" s="637" t="s">
        <v>1432</v>
      </c>
      <c r="D37" s="707" t="s">
        <v>1433</v>
      </c>
      <c r="F37" s="712" t="s">
        <v>1404</v>
      </c>
      <c r="H37" s="720"/>
      <c r="J37" s="622">
        <v>0</v>
      </c>
      <c r="K37" s="608"/>
      <c r="L37" s="622">
        <v>0</v>
      </c>
      <c r="M37" s="608"/>
      <c r="N37" s="622">
        <v>0</v>
      </c>
      <c r="P37" s="703" t="s">
        <v>1405</v>
      </c>
      <c r="R37" s="608">
        <f t="shared" si="45"/>
        <v>0</v>
      </c>
      <c r="S37" s="608"/>
      <c r="T37" s="608">
        <v>0</v>
      </c>
      <c r="U37" s="608"/>
      <c r="V37" s="608">
        <v>0</v>
      </c>
      <c r="W37" s="608"/>
      <c r="X37" s="608">
        <f t="shared" si="52"/>
        <v>0</v>
      </c>
      <c r="Y37" s="608"/>
      <c r="Z37" s="709"/>
      <c r="AA37" s="608"/>
      <c r="AB37" s="622"/>
      <c r="AC37" s="608"/>
      <c r="AD37" s="622"/>
      <c r="AE37" s="608"/>
      <c r="AF37" s="608">
        <v>0</v>
      </c>
      <c r="AG37" s="608"/>
      <c r="AH37" s="709"/>
      <c r="AI37" s="608"/>
      <c r="AJ37" s="607">
        <f t="shared" si="46"/>
        <v>0</v>
      </c>
      <c r="AK37" s="608"/>
      <c r="AL37" s="607">
        <f t="shared" si="47"/>
        <v>0</v>
      </c>
      <c r="AM37" s="608"/>
      <c r="AN37" s="607">
        <f t="shared" si="48"/>
        <v>0</v>
      </c>
      <c r="AO37" s="608"/>
      <c r="AP37" s="608">
        <f t="shared" si="49"/>
        <v>0</v>
      </c>
      <c r="AR37" s="622"/>
      <c r="AS37" s="608"/>
      <c r="AT37" s="622"/>
      <c r="AU37" s="608"/>
      <c r="AV37" s="608">
        <v>0</v>
      </c>
      <c r="AW37" s="608"/>
      <c r="AX37" s="607">
        <f>+AJ37-AR37</f>
        <v>0</v>
      </c>
      <c r="AY37" s="608"/>
      <c r="AZ37" s="607">
        <f>+AL37-AT37</f>
        <v>0</v>
      </c>
      <c r="BA37" s="608"/>
      <c r="BB37" s="607">
        <f>+AN37-AV37</f>
        <v>0</v>
      </c>
      <c r="BC37" s="608"/>
      <c r="BD37" s="608">
        <f t="shared" si="50"/>
        <v>0</v>
      </c>
      <c r="BF37" s="709">
        <f t="shared" si="51"/>
        <v>0</v>
      </c>
      <c r="BH37" s="592">
        <f t="shared" si="43"/>
        <v>303</v>
      </c>
    </row>
    <row r="38" spans="1:60" ht="15">
      <c r="A38" s="592">
        <f t="shared" si="44"/>
        <v>304</v>
      </c>
      <c r="B38" s="623"/>
      <c r="F38" s="712"/>
      <c r="H38" s="720"/>
      <c r="J38" s="622"/>
      <c r="K38" s="608"/>
      <c r="L38" s="622"/>
      <c r="M38" s="608"/>
      <c r="N38" s="622"/>
      <c r="R38" s="608">
        <f t="shared" si="45"/>
        <v>0</v>
      </c>
      <c r="S38" s="608"/>
      <c r="T38" s="608">
        <v>0</v>
      </c>
      <c r="U38" s="608"/>
      <c r="V38" s="608">
        <v>0</v>
      </c>
      <c r="W38" s="608"/>
      <c r="X38" s="608">
        <f t="shared" si="52"/>
        <v>0</v>
      </c>
      <c r="Y38" s="608"/>
      <c r="Z38" s="709"/>
      <c r="AA38" s="608"/>
      <c r="AB38" s="622"/>
      <c r="AC38" s="608"/>
      <c r="AD38" s="622"/>
      <c r="AE38" s="608"/>
      <c r="AF38" s="608">
        <v>0</v>
      </c>
      <c r="AG38" s="608"/>
      <c r="AH38" s="709"/>
      <c r="AI38" s="608"/>
      <c r="AJ38" s="607">
        <f t="shared" si="46"/>
        <v>0</v>
      </c>
      <c r="AK38" s="608"/>
      <c r="AL38" s="607">
        <f t="shared" si="47"/>
        <v>0</v>
      </c>
      <c r="AM38" s="608"/>
      <c r="AN38" s="607">
        <f t="shared" si="48"/>
        <v>0</v>
      </c>
      <c r="AO38" s="608"/>
      <c r="AP38" s="608">
        <f t="shared" si="49"/>
        <v>0</v>
      </c>
      <c r="AR38" s="622"/>
      <c r="AS38" s="608"/>
      <c r="AT38" s="622"/>
      <c r="AU38" s="608"/>
      <c r="AV38" s="608">
        <v>0</v>
      </c>
      <c r="AW38" s="608"/>
      <c r="AX38" s="607">
        <f>+AJ38-AR38</f>
        <v>0</v>
      </c>
      <c r="AY38" s="608"/>
      <c r="AZ38" s="607">
        <f>+AL38-AT38</f>
        <v>0</v>
      </c>
      <c r="BA38" s="608"/>
      <c r="BB38" s="607">
        <f>+AN38-AV38</f>
        <v>0</v>
      </c>
      <c r="BC38" s="608"/>
      <c r="BD38" s="608">
        <f t="shared" si="50"/>
        <v>0</v>
      </c>
      <c r="BF38" s="709">
        <f t="shared" si="51"/>
        <v>0</v>
      </c>
      <c r="BH38" s="592">
        <f t="shared" si="43"/>
        <v>304</v>
      </c>
    </row>
    <row r="39" spans="1:60" ht="15">
      <c r="A39" s="592">
        <f>+A38+1</f>
        <v>305</v>
      </c>
      <c r="B39" s="623"/>
      <c r="F39" s="712"/>
      <c r="H39" s="720"/>
      <c r="J39" s="622"/>
      <c r="K39" s="608"/>
      <c r="L39" s="622"/>
      <c r="M39" s="608"/>
      <c r="N39" s="622"/>
      <c r="R39" s="608">
        <f t="shared" si="45"/>
        <v>0</v>
      </c>
      <c r="S39" s="608"/>
      <c r="T39" s="608">
        <v>0</v>
      </c>
      <c r="U39" s="608"/>
      <c r="V39" s="608">
        <v>0</v>
      </c>
      <c r="W39" s="608"/>
      <c r="X39" s="608">
        <f t="shared" si="52"/>
        <v>0</v>
      </c>
      <c r="Y39" s="608"/>
      <c r="Z39" s="709"/>
      <c r="AA39" s="608"/>
      <c r="AB39" s="622"/>
      <c r="AC39" s="608"/>
      <c r="AD39" s="622"/>
      <c r="AE39" s="608"/>
      <c r="AF39" s="608">
        <v>0</v>
      </c>
      <c r="AG39" s="608"/>
      <c r="AH39" s="709"/>
      <c r="AI39" s="608"/>
      <c r="AJ39" s="607">
        <f t="shared" si="46"/>
        <v>0</v>
      </c>
      <c r="AK39" s="608"/>
      <c r="AL39" s="607">
        <f t="shared" si="47"/>
        <v>0</v>
      </c>
      <c r="AM39" s="608"/>
      <c r="AN39" s="607">
        <f t="shared" si="48"/>
        <v>0</v>
      </c>
      <c r="AO39" s="608"/>
      <c r="AP39" s="608">
        <f t="shared" si="49"/>
        <v>0</v>
      </c>
      <c r="AR39" s="622"/>
      <c r="AS39" s="608"/>
      <c r="AT39" s="622"/>
      <c r="AU39" s="608"/>
      <c r="AV39" s="608">
        <v>0</v>
      </c>
      <c r="AW39" s="608"/>
      <c r="AX39" s="607">
        <f>+AJ39-AR39</f>
        <v>0</v>
      </c>
      <c r="AY39" s="608"/>
      <c r="AZ39" s="607">
        <f>+AL39-AT39</f>
        <v>0</v>
      </c>
      <c r="BA39" s="608"/>
      <c r="BB39" s="607">
        <f>+AN39-AV39</f>
        <v>0</v>
      </c>
      <c r="BC39" s="608"/>
      <c r="BD39" s="608">
        <f t="shared" si="50"/>
        <v>0</v>
      </c>
      <c r="BF39" s="709">
        <f t="shared" si="51"/>
        <v>0</v>
      </c>
      <c r="BH39" s="592">
        <f t="shared" si="43"/>
        <v>305</v>
      </c>
    </row>
    <row r="40" spans="1:60" ht="15">
      <c r="A40" s="592"/>
      <c r="B40" s="597"/>
      <c r="F40" s="712"/>
      <c r="H40" s="709"/>
      <c r="J40" s="608"/>
      <c r="K40" s="608"/>
      <c r="L40" s="608"/>
      <c r="M40" s="608"/>
      <c r="N40" s="608"/>
      <c r="R40" s="608"/>
      <c r="S40" s="608"/>
      <c r="T40" s="608"/>
      <c r="U40" s="608"/>
      <c r="V40" s="608"/>
      <c r="W40" s="608"/>
      <c r="X40" s="608"/>
      <c r="Y40" s="608"/>
      <c r="Z40" s="709"/>
      <c r="AA40" s="608"/>
      <c r="AB40" s="608"/>
      <c r="AC40" s="608"/>
      <c r="AD40" s="608"/>
      <c r="AE40" s="608"/>
      <c r="AF40" s="608"/>
      <c r="AG40" s="608"/>
      <c r="AH40" s="709"/>
      <c r="AI40" s="608"/>
      <c r="AJ40" s="608"/>
      <c r="AK40" s="608"/>
      <c r="AL40" s="608"/>
      <c r="AM40" s="608"/>
      <c r="AN40" s="608"/>
      <c r="AO40" s="608"/>
      <c r="AP40" s="608"/>
      <c r="AR40" s="608"/>
      <c r="AS40" s="608"/>
      <c r="AT40" s="608"/>
      <c r="AU40" s="608"/>
      <c r="AV40" s="608"/>
      <c r="AW40" s="608"/>
      <c r="AX40" s="608"/>
      <c r="AY40" s="608"/>
      <c r="AZ40" s="608"/>
      <c r="BA40" s="608"/>
      <c r="BB40" s="608"/>
      <c r="BC40" s="608"/>
      <c r="BD40" s="608"/>
      <c r="BF40" s="709"/>
      <c r="BH40" s="592"/>
    </row>
    <row r="41" spans="1:60" ht="15">
      <c r="A41" s="322" t="s">
        <v>100</v>
      </c>
      <c r="F41" s="712"/>
      <c r="H41" s="702"/>
      <c r="R41" s="608"/>
      <c r="S41" s="608"/>
      <c r="T41" s="608"/>
      <c r="U41" s="608"/>
      <c r="V41" s="608"/>
      <c r="W41" s="608"/>
      <c r="X41" s="608"/>
      <c r="Y41" s="608"/>
      <c r="Z41" s="709"/>
      <c r="AA41" s="608"/>
      <c r="AC41" s="608"/>
      <c r="AE41" s="608"/>
      <c r="AG41" s="608"/>
      <c r="AH41" s="709"/>
      <c r="AI41" s="608"/>
      <c r="AJ41" s="608"/>
      <c r="AK41" s="608"/>
      <c r="AL41" s="608"/>
      <c r="AM41" s="608"/>
      <c r="AN41" s="608"/>
      <c r="AO41" s="608"/>
      <c r="AP41" s="608"/>
      <c r="AS41" s="608"/>
      <c r="AU41" s="608"/>
      <c r="AW41" s="608"/>
      <c r="AX41" s="608"/>
      <c r="AY41" s="608"/>
      <c r="AZ41" s="608"/>
      <c r="BA41" s="608"/>
      <c r="BB41" s="608"/>
      <c r="BC41" s="608"/>
      <c r="BD41" s="608"/>
      <c r="BH41" s="322" t="s">
        <v>100</v>
      </c>
    </row>
    <row r="42" spans="1:60" ht="15">
      <c r="A42" s="592">
        <v>400</v>
      </c>
      <c r="B42" s="590" t="s">
        <v>1434</v>
      </c>
      <c r="F42" s="712"/>
      <c r="H42" s="718">
        <f>ROUND(SUM(H43:H99),0)</f>
        <v>0</v>
      </c>
      <c r="J42" s="611">
        <f>ROUND(SUM(J43:J99),0)</f>
        <v>-346763385</v>
      </c>
      <c r="K42" s="608"/>
      <c r="L42" s="611">
        <f>ROUND(SUM(L43:L99),0)</f>
        <v>-206675379</v>
      </c>
      <c r="M42" s="608"/>
      <c r="N42" s="611">
        <f>ROUND(SUM(N43:N99),0)</f>
        <v>-140088006</v>
      </c>
      <c r="O42" s="592"/>
      <c r="P42" s="592"/>
      <c r="Q42" s="592"/>
      <c r="R42" s="611">
        <f>ROUND(SUM(R43:R99),0)</f>
        <v>0</v>
      </c>
      <c r="S42" s="608"/>
      <c r="T42" s="611">
        <f>ROUND(SUM(T43:T99),0)</f>
        <v>-140088006</v>
      </c>
      <c r="U42" s="608"/>
      <c r="V42" s="611">
        <f>ROUND(SUM(V43:V99),0)</f>
        <v>0</v>
      </c>
      <c r="W42" s="608"/>
      <c r="X42" s="611">
        <f>ROUND(SUM(X43:X99),0)</f>
        <v>-140088006</v>
      </c>
      <c r="Y42" s="608"/>
      <c r="Z42" s="709"/>
      <c r="AA42" s="608"/>
      <c r="AB42" s="611">
        <f>SUM(AB43:AB99)</f>
        <v>0</v>
      </c>
      <c r="AC42" s="608"/>
      <c r="AD42" s="611">
        <f>SUM(AD43:AD99)</f>
        <v>-35245329.751651302</v>
      </c>
      <c r="AE42" s="608"/>
      <c r="AF42" s="611">
        <f>SUM(AF43:AF99)</f>
        <v>0</v>
      </c>
      <c r="AG42" s="608"/>
      <c r="AH42" s="709"/>
      <c r="AI42" s="608"/>
      <c r="AJ42" s="611">
        <f>SUM(AJ43:AJ99)</f>
        <v>0</v>
      </c>
      <c r="AK42" s="608"/>
      <c r="AL42" s="611">
        <f>SUM(AL43:AL99)</f>
        <v>-104842676.26941842</v>
      </c>
      <c r="AM42" s="608"/>
      <c r="AN42" s="611">
        <f>SUM(AN43:AN99)</f>
        <v>0</v>
      </c>
      <c r="AO42" s="608"/>
      <c r="AP42" s="611">
        <f>SUM(AP43:AP99)</f>
        <v>-104842676.26941842</v>
      </c>
      <c r="AR42" s="611">
        <f>SUM(AR43:AR99)</f>
        <v>0</v>
      </c>
      <c r="AS42" s="608"/>
      <c r="AT42" s="611">
        <f>SUM(AT43:AT99)</f>
        <v>-14324173.144193165</v>
      </c>
      <c r="AU42" s="608"/>
      <c r="AV42" s="611">
        <f>SUM(AV43:AV99)</f>
        <v>0</v>
      </c>
      <c r="AW42" s="608"/>
      <c r="AX42" s="611">
        <f>SUM(AX43:AX99)</f>
        <v>0</v>
      </c>
      <c r="AY42" s="608"/>
      <c r="AZ42" s="611">
        <f>SUM(AZ43:AZ99)</f>
        <v>-90518503.125225246</v>
      </c>
      <c r="BA42" s="608"/>
      <c r="BB42" s="611">
        <f>SUM(BB43:BB99)</f>
        <v>0</v>
      </c>
      <c r="BC42" s="608"/>
      <c r="BD42" s="611">
        <f>SUM(BD43:BD99)</f>
        <v>-90518503.125225246</v>
      </c>
      <c r="BF42" s="718">
        <f>ROUND(SUM(BF43:BF99),0)</f>
        <v>-125691513</v>
      </c>
      <c r="BH42" s="592">
        <f t="shared" ref="BH42:BH73" si="53">A42</f>
        <v>400</v>
      </c>
    </row>
    <row r="43" spans="1:60" ht="15">
      <c r="A43" s="592">
        <f t="shared" ref="A43:A99" si="54">A42+1</f>
        <v>401</v>
      </c>
      <c r="B43" s="624" t="s">
        <v>1435</v>
      </c>
      <c r="F43" s="712" t="s">
        <v>1404</v>
      </c>
      <c r="H43" s="720"/>
      <c r="J43" s="622">
        <v>-2434619.1484139045</v>
      </c>
      <c r="K43" s="608"/>
      <c r="L43" s="622">
        <v>-1460771.1451043426</v>
      </c>
      <c r="M43" s="608"/>
      <c r="N43" s="622">
        <v>-973848.00330956175</v>
      </c>
      <c r="P43" s="710" t="s">
        <v>1405</v>
      </c>
      <c r="R43" s="608">
        <v>0</v>
      </c>
      <c r="S43" s="608"/>
      <c r="T43" s="608">
        <f>N43</f>
        <v>-973848.00330956175</v>
      </c>
      <c r="U43" s="608"/>
      <c r="V43" s="608">
        <v>0</v>
      </c>
      <c r="W43" s="608"/>
      <c r="X43" s="608">
        <f>SUM(R43:V43)</f>
        <v>-973848.00330956175</v>
      </c>
      <c r="Y43" s="608"/>
      <c r="Z43" s="609" t="s">
        <v>1406</v>
      </c>
      <c r="AA43" s="608"/>
      <c r="AB43" s="608">
        <v>0</v>
      </c>
      <c r="AC43" s="608"/>
      <c r="AD43" s="622">
        <v>-245014.50894711379</v>
      </c>
      <c r="AE43" s="608"/>
      <c r="AF43" s="608">
        <v>0</v>
      </c>
      <c r="AG43" s="608"/>
      <c r="AH43" s="609" t="s">
        <v>1407</v>
      </c>
      <c r="AI43" s="608"/>
      <c r="AJ43" s="607">
        <f t="shared" ref="AJ43:AJ99" si="55">+R43-AB43</f>
        <v>0</v>
      </c>
      <c r="AK43" s="608"/>
      <c r="AL43" s="607">
        <f t="shared" ref="AL43:AL99" si="56">+T43-AD43</f>
        <v>-728833.49436244799</v>
      </c>
      <c r="AM43" s="608"/>
      <c r="AN43" s="607">
        <f t="shared" ref="AN43:AN99" si="57">+V43-AF43</f>
        <v>0</v>
      </c>
      <c r="AO43" s="608"/>
      <c r="AP43" s="608">
        <f t="shared" ref="AP43:AP99" si="58">SUM(AJ43:AN43)</f>
        <v>-728833.49436244799</v>
      </c>
      <c r="AR43" s="608">
        <v>0</v>
      </c>
      <c r="AS43" s="608"/>
      <c r="AT43" s="798">
        <v>-99577.171606218006</v>
      </c>
      <c r="AU43" s="608"/>
      <c r="AV43" s="608">
        <v>0</v>
      </c>
      <c r="AW43" s="608"/>
      <c r="AX43" s="607">
        <f t="shared" ref="AX43:AX74" si="59">+AJ43-AR43</f>
        <v>0</v>
      </c>
      <c r="AY43" s="608"/>
      <c r="AZ43" s="607">
        <f t="shared" ref="AZ43:AZ74" si="60">+AL43-AT43</f>
        <v>-629256.32275623002</v>
      </c>
      <c r="BA43" s="608"/>
      <c r="BB43" s="607">
        <f t="shared" ref="BB43:BB74" si="61">+AN43-AV43</f>
        <v>0</v>
      </c>
      <c r="BC43" s="608"/>
      <c r="BD43" s="608">
        <f t="shared" ref="BD43:BD99" si="62">SUM(AX43:BB43)</f>
        <v>-629256.32275623002</v>
      </c>
      <c r="BF43" s="709">
        <f t="shared" ref="BF43:BF99" si="63">+BD43*$BF$9</f>
        <v>-873768.08998537832</v>
      </c>
      <c r="BH43" s="592">
        <f t="shared" si="53"/>
        <v>401</v>
      </c>
    </row>
    <row r="44" spans="1:60" ht="15">
      <c r="A44" s="592">
        <f t="shared" si="54"/>
        <v>402</v>
      </c>
      <c r="B44" s="624" t="s">
        <v>1436</v>
      </c>
      <c r="F44" s="712" t="s">
        <v>1404</v>
      </c>
      <c r="H44" s="720"/>
      <c r="J44" s="622">
        <v>-448269.85840000003</v>
      </c>
      <c r="K44" s="608"/>
      <c r="L44" s="622">
        <v>-268961.71440600004</v>
      </c>
      <c r="M44" s="608"/>
      <c r="N44" s="622">
        <v>-179308.14399399998</v>
      </c>
      <c r="P44" s="710" t="s">
        <v>1405</v>
      </c>
      <c r="R44" s="608">
        <v>0</v>
      </c>
      <c r="S44" s="608"/>
      <c r="T44" s="608">
        <f t="shared" ref="T44:T96" si="64">N44</f>
        <v>-179308.14399399998</v>
      </c>
      <c r="U44" s="608"/>
      <c r="V44" s="608">
        <v>0</v>
      </c>
      <c r="W44" s="608"/>
      <c r="X44" s="608">
        <f t="shared" ref="X44:X96" si="65">SUM(R44:V44)</f>
        <v>-179308.14399399998</v>
      </c>
      <c r="Y44" s="608"/>
      <c r="Z44" s="609" t="s">
        <v>1406</v>
      </c>
      <c r="AA44" s="608"/>
      <c r="AB44" s="608">
        <v>0</v>
      </c>
      <c r="AC44" s="608"/>
      <c r="AD44" s="622">
        <v>-45112.888974053836</v>
      </c>
      <c r="AE44" s="608"/>
      <c r="AF44" s="608">
        <v>0</v>
      </c>
      <c r="AG44" s="608"/>
      <c r="AH44" s="609" t="s">
        <v>1407</v>
      </c>
      <c r="AI44" s="608"/>
      <c r="AJ44" s="607">
        <f t="shared" si="55"/>
        <v>0</v>
      </c>
      <c r="AK44" s="608"/>
      <c r="AL44" s="607">
        <f t="shared" si="56"/>
        <v>-134195.25501994614</v>
      </c>
      <c r="AM44" s="608"/>
      <c r="AN44" s="607">
        <f t="shared" si="57"/>
        <v>0</v>
      </c>
      <c r="AO44" s="608"/>
      <c r="AP44" s="608">
        <f t="shared" si="58"/>
        <v>-134195.25501994614</v>
      </c>
      <c r="AR44" s="608">
        <v>0</v>
      </c>
      <c r="AS44" s="608"/>
      <c r="AT44" s="798">
        <v>-18334.481114305199</v>
      </c>
      <c r="AU44" s="608"/>
      <c r="AV44" s="608">
        <v>0</v>
      </c>
      <c r="AW44" s="608"/>
      <c r="AX44" s="607">
        <f t="shared" si="59"/>
        <v>0</v>
      </c>
      <c r="AY44" s="608"/>
      <c r="AZ44" s="607">
        <f t="shared" si="60"/>
        <v>-115860.77390564093</v>
      </c>
      <c r="BA44" s="608"/>
      <c r="BB44" s="607">
        <f t="shared" si="61"/>
        <v>0</v>
      </c>
      <c r="BC44" s="608"/>
      <c r="BD44" s="608">
        <f t="shared" si="62"/>
        <v>-115860.77390564093</v>
      </c>
      <c r="BF44" s="709">
        <f t="shared" si="63"/>
        <v>-160881.09639698864</v>
      </c>
      <c r="BH44" s="592">
        <f t="shared" si="53"/>
        <v>402</v>
      </c>
    </row>
    <row r="45" spans="1:60" ht="15">
      <c r="A45" s="592">
        <f t="shared" si="54"/>
        <v>403</v>
      </c>
      <c r="B45" s="624" t="s">
        <v>1437</v>
      </c>
      <c r="F45" s="712" t="s">
        <v>1404</v>
      </c>
      <c r="H45" s="720"/>
      <c r="J45" s="622">
        <v>-54964684.313400358</v>
      </c>
      <c r="K45" s="608"/>
      <c r="L45" s="622">
        <v>-32978810.784167517</v>
      </c>
      <c r="M45" s="608"/>
      <c r="N45" s="622">
        <v>-21985873.529232834</v>
      </c>
      <c r="P45" s="710" t="s">
        <v>1405</v>
      </c>
      <c r="R45" s="608">
        <v>0</v>
      </c>
      <c r="S45" s="608"/>
      <c r="T45" s="608">
        <f t="shared" si="64"/>
        <v>-21985873.529232834</v>
      </c>
      <c r="U45" s="608"/>
      <c r="V45" s="608">
        <v>0</v>
      </c>
      <c r="W45" s="608"/>
      <c r="X45" s="608">
        <f t="shared" si="65"/>
        <v>-21985873.529232834</v>
      </c>
      <c r="Y45" s="608"/>
      <c r="Z45" s="609" t="s">
        <v>1406</v>
      </c>
      <c r="AA45" s="608"/>
      <c r="AB45" s="608">
        <v>0</v>
      </c>
      <c r="AC45" s="608"/>
      <c r="AD45" s="622">
        <v>-5531518.2535995655</v>
      </c>
      <c r="AE45" s="608"/>
      <c r="AF45" s="608">
        <v>0</v>
      </c>
      <c r="AG45" s="608"/>
      <c r="AH45" s="609" t="s">
        <v>1407</v>
      </c>
      <c r="AI45" s="608"/>
      <c r="AJ45" s="607">
        <f t="shared" si="55"/>
        <v>0</v>
      </c>
      <c r="AK45" s="608"/>
      <c r="AL45" s="607">
        <f t="shared" si="56"/>
        <v>-16454355.275633268</v>
      </c>
      <c r="AM45" s="608"/>
      <c r="AN45" s="607">
        <f t="shared" si="57"/>
        <v>0</v>
      </c>
      <c r="AO45" s="608"/>
      <c r="AP45" s="608">
        <f t="shared" si="58"/>
        <v>-16454355.275633268</v>
      </c>
      <c r="AR45" s="608">
        <v>0</v>
      </c>
      <c r="AS45" s="608"/>
      <c r="AT45" s="798">
        <v>-2248082.9594483478</v>
      </c>
      <c r="AU45" s="608"/>
      <c r="AV45" s="608">
        <v>0</v>
      </c>
      <c r="AW45" s="608"/>
      <c r="AX45" s="607">
        <f t="shared" si="59"/>
        <v>0</v>
      </c>
      <c r="AY45" s="608"/>
      <c r="AZ45" s="607">
        <f t="shared" si="60"/>
        <v>-14206272.316184919</v>
      </c>
      <c r="BA45" s="608"/>
      <c r="BB45" s="607">
        <f t="shared" si="61"/>
        <v>0</v>
      </c>
      <c r="BC45" s="608"/>
      <c r="BD45" s="608">
        <f t="shared" si="62"/>
        <v>-14206272.316184919</v>
      </c>
      <c r="BF45" s="709">
        <f t="shared" si="63"/>
        <v>-19726440.527692191</v>
      </c>
      <c r="BH45" s="592">
        <f t="shared" si="53"/>
        <v>403</v>
      </c>
    </row>
    <row r="46" spans="1:60" ht="15">
      <c r="A46" s="592">
        <f t="shared" si="54"/>
        <v>404</v>
      </c>
      <c r="B46" s="624" t="s">
        <v>1438</v>
      </c>
      <c r="F46" s="712" t="s">
        <v>1404</v>
      </c>
      <c r="H46" s="720"/>
      <c r="J46" s="622">
        <v>-20602724.375152476</v>
      </c>
      <c r="K46" s="608"/>
      <c r="L46" s="622">
        <v>-12361634.400661021</v>
      </c>
      <c r="M46" s="608"/>
      <c r="N46" s="622">
        <v>-8241089.9744914537</v>
      </c>
      <c r="P46" s="710" t="s">
        <v>1405</v>
      </c>
      <c r="R46" s="608">
        <v>0</v>
      </c>
      <c r="S46" s="608"/>
      <c r="T46" s="608">
        <f t="shared" si="64"/>
        <v>-8241089.9744914537</v>
      </c>
      <c r="U46" s="608"/>
      <c r="V46" s="608">
        <v>0</v>
      </c>
      <c r="W46" s="608"/>
      <c r="X46" s="608">
        <f t="shared" si="65"/>
        <v>-8241089.9744914537</v>
      </c>
      <c r="Y46" s="608"/>
      <c r="Z46" s="609" t="s">
        <v>1406</v>
      </c>
      <c r="AA46" s="608"/>
      <c r="AB46" s="608">
        <v>0</v>
      </c>
      <c r="AC46" s="608"/>
      <c r="AD46" s="622">
        <v>-2073410.4361532044</v>
      </c>
      <c r="AE46" s="608"/>
      <c r="AF46" s="608">
        <v>0</v>
      </c>
      <c r="AG46" s="608"/>
      <c r="AH46" s="609" t="s">
        <v>1407</v>
      </c>
      <c r="AI46" s="608"/>
      <c r="AJ46" s="607">
        <f t="shared" si="55"/>
        <v>0</v>
      </c>
      <c r="AK46" s="608"/>
      <c r="AL46" s="607">
        <f t="shared" si="56"/>
        <v>-6167679.5383382495</v>
      </c>
      <c r="AM46" s="608"/>
      <c r="AN46" s="607">
        <f t="shared" si="57"/>
        <v>0</v>
      </c>
      <c r="AO46" s="608"/>
      <c r="AP46" s="608">
        <f t="shared" si="58"/>
        <v>-6167679.5383382495</v>
      </c>
      <c r="AR46" s="608">
        <v>0</v>
      </c>
      <c r="AS46" s="608"/>
      <c r="AT46" s="798">
        <v>-842661.71704760636</v>
      </c>
      <c r="AU46" s="608"/>
      <c r="AV46" s="608">
        <v>0</v>
      </c>
      <c r="AW46" s="608"/>
      <c r="AX46" s="607">
        <f t="shared" si="59"/>
        <v>0</v>
      </c>
      <c r="AY46" s="608"/>
      <c r="AZ46" s="607">
        <f t="shared" si="60"/>
        <v>-5325017.821290643</v>
      </c>
      <c r="BA46" s="608"/>
      <c r="BB46" s="607">
        <f t="shared" si="61"/>
        <v>0</v>
      </c>
      <c r="BC46" s="608"/>
      <c r="BD46" s="608">
        <f t="shared" si="62"/>
        <v>-5325017.821290643</v>
      </c>
      <c r="BF46" s="709">
        <f t="shared" si="63"/>
        <v>-7394173.8566363249</v>
      </c>
      <c r="BH46" s="592">
        <f t="shared" si="53"/>
        <v>404</v>
      </c>
    </row>
    <row r="47" spans="1:60" ht="15">
      <c r="A47" s="592">
        <f t="shared" si="54"/>
        <v>405</v>
      </c>
      <c r="B47" s="624" t="s">
        <v>1439</v>
      </c>
      <c r="F47" s="712" t="s">
        <v>1404</v>
      </c>
      <c r="H47" s="720"/>
      <c r="J47" s="622">
        <v>-523661.88911936671</v>
      </c>
      <c r="K47" s="608"/>
      <c r="L47" s="622">
        <v>-314197.16501846712</v>
      </c>
      <c r="M47" s="608"/>
      <c r="N47" s="622">
        <v>-209464.72410089959</v>
      </c>
      <c r="P47" s="710" t="s">
        <v>1405</v>
      </c>
      <c r="R47" s="608">
        <v>0</v>
      </c>
      <c r="S47" s="608"/>
      <c r="T47" s="608">
        <f t="shared" si="64"/>
        <v>-209464.72410089959</v>
      </c>
      <c r="U47" s="608"/>
      <c r="V47" s="608">
        <v>0</v>
      </c>
      <c r="W47" s="608"/>
      <c r="X47" s="608">
        <f t="shared" si="65"/>
        <v>-209464.72410089959</v>
      </c>
      <c r="Y47" s="608"/>
      <c r="Z47" s="609" t="s">
        <v>1406</v>
      </c>
      <c r="AA47" s="608"/>
      <c r="AB47" s="608">
        <v>0</v>
      </c>
      <c r="AC47" s="608"/>
      <c r="AD47" s="622">
        <v>-52700.109609415747</v>
      </c>
      <c r="AE47" s="608"/>
      <c r="AF47" s="608">
        <v>0</v>
      </c>
      <c r="AG47" s="608"/>
      <c r="AH47" s="609" t="s">
        <v>1407</v>
      </c>
      <c r="AI47" s="608"/>
      <c r="AJ47" s="607">
        <f t="shared" si="55"/>
        <v>0</v>
      </c>
      <c r="AK47" s="608"/>
      <c r="AL47" s="607">
        <f t="shared" si="56"/>
        <v>-156764.61449148384</v>
      </c>
      <c r="AM47" s="608"/>
      <c r="AN47" s="607">
        <f t="shared" si="57"/>
        <v>0</v>
      </c>
      <c r="AO47" s="608"/>
      <c r="AP47" s="608">
        <f t="shared" si="58"/>
        <v>-156764.61449148384</v>
      </c>
      <c r="AR47" s="608">
        <v>0</v>
      </c>
      <c r="AS47" s="608"/>
      <c r="AT47" s="798">
        <v>-21418.029000788727</v>
      </c>
      <c r="AU47" s="608"/>
      <c r="AV47" s="608">
        <v>0</v>
      </c>
      <c r="AW47" s="608"/>
      <c r="AX47" s="607">
        <f t="shared" si="59"/>
        <v>0</v>
      </c>
      <c r="AY47" s="608"/>
      <c r="AZ47" s="607">
        <f t="shared" si="60"/>
        <v>-135346.58549069511</v>
      </c>
      <c r="BA47" s="608"/>
      <c r="BB47" s="607">
        <f t="shared" si="61"/>
        <v>0</v>
      </c>
      <c r="BC47" s="608"/>
      <c r="BD47" s="608">
        <f t="shared" si="62"/>
        <v>-135346.58549069511</v>
      </c>
      <c r="BF47" s="709">
        <f t="shared" si="63"/>
        <v>-187938.56050940495</v>
      </c>
      <c r="BH47" s="592">
        <f t="shared" si="53"/>
        <v>405</v>
      </c>
    </row>
    <row r="48" spans="1:60" ht="15">
      <c r="A48" s="592">
        <f t="shared" si="54"/>
        <v>406</v>
      </c>
      <c r="B48" s="624" t="s">
        <v>1440</v>
      </c>
      <c r="F48" s="712" t="s">
        <v>1404</v>
      </c>
      <c r="H48" s="720"/>
      <c r="J48" s="622">
        <v>200460.11720000001</v>
      </c>
      <c r="K48" s="608"/>
      <c r="L48" s="622">
        <v>120276.27095399999</v>
      </c>
      <c r="M48" s="608"/>
      <c r="N48" s="622">
        <v>80183.846246000001</v>
      </c>
      <c r="P48" s="710" t="s">
        <v>1405</v>
      </c>
      <c r="R48" s="608">
        <v>0</v>
      </c>
      <c r="S48" s="608"/>
      <c r="T48" s="608">
        <f t="shared" si="64"/>
        <v>80183.846246000001</v>
      </c>
      <c r="U48" s="608"/>
      <c r="V48" s="608">
        <v>0</v>
      </c>
      <c r="W48" s="608"/>
      <c r="X48" s="608">
        <f t="shared" si="65"/>
        <v>80183.846246000001</v>
      </c>
      <c r="Y48" s="608"/>
      <c r="Z48" s="609" t="s">
        <v>1406</v>
      </c>
      <c r="AA48" s="608"/>
      <c r="AB48" s="608">
        <v>0</v>
      </c>
      <c r="AC48" s="608"/>
      <c r="AD48" s="622">
        <v>20173.79061895507</v>
      </c>
      <c r="AE48" s="608"/>
      <c r="AF48" s="608">
        <v>0</v>
      </c>
      <c r="AG48" s="608"/>
      <c r="AH48" s="609" t="s">
        <v>1407</v>
      </c>
      <c r="AI48" s="608"/>
      <c r="AJ48" s="607">
        <f t="shared" si="55"/>
        <v>0</v>
      </c>
      <c r="AK48" s="608"/>
      <c r="AL48" s="607">
        <f t="shared" si="56"/>
        <v>60010.055627044931</v>
      </c>
      <c r="AM48" s="608"/>
      <c r="AN48" s="607">
        <f t="shared" si="57"/>
        <v>0</v>
      </c>
      <c r="AO48" s="608"/>
      <c r="AP48" s="608">
        <f t="shared" si="58"/>
        <v>60010.055627044931</v>
      </c>
      <c r="AR48" s="608">
        <v>0</v>
      </c>
      <c r="AS48" s="608"/>
      <c r="AT48" s="798">
        <v>8198.8981756390949</v>
      </c>
      <c r="AU48" s="608"/>
      <c r="AV48" s="608">
        <v>0</v>
      </c>
      <c r="AW48" s="608"/>
      <c r="AX48" s="607">
        <f t="shared" si="59"/>
        <v>0</v>
      </c>
      <c r="AY48" s="608"/>
      <c r="AZ48" s="607">
        <f t="shared" si="60"/>
        <v>51811.157451405837</v>
      </c>
      <c r="BA48" s="608"/>
      <c r="BB48" s="607">
        <f t="shared" si="61"/>
        <v>0</v>
      </c>
      <c r="BC48" s="608"/>
      <c r="BD48" s="608">
        <f t="shared" si="62"/>
        <v>51811.157451405837</v>
      </c>
      <c r="BF48" s="709">
        <f t="shared" si="63"/>
        <v>71943.553761928997</v>
      </c>
      <c r="BH48" s="592">
        <f t="shared" si="53"/>
        <v>406</v>
      </c>
    </row>
    <row r="49" spans="1:60" ht="15">
      <c r="A49" s="592">
        <f t="shared" si="54"/>
        <v>407</v>
      </c>
      <c r="B49" s="624" t="s">
        <v>1441</v>
      </c>
      <c r="F49" s="712" t="s">
        <v>1404</v>
      </c>
      <c r="H49" s="720"/>
      <c r="J49" s="622">
        <v>-213631.2616</v>
      </c>
      <c r="K49" s="608"/>
      <c r="L49" s="622">
        <v>-128178.642312</v>
      </c>
      <c r="M49" s="608"/>
      <c r="N49" s="622">
        <v>-85452.619288000002</v>
      </c>
      <c r="P49" s="710" t="s">
        <v>1405</v>
      </c>
      <c r="R49" s="608">
        <v>0</v>
      </c>
      <c r="S49" s="608"/>
      <c r="T49" s="608">
        <f t="shared" si="64"/>
        <v>-85452.619288000002</v>
      </c>
      <c r="U49" s="608"/>
      <c r="V49" s="608">
        <v>0</v>
      </c>
      <c r="W49" s="608"/>
      <c r="X49" s="608">
        <f t="shared" si="65"/>
        <v>-85452.619288000002</v>
      </c>
      <c r="Y49" s="608"/>
      <c r="Z49" s="609" t="s">
        <v>1406</v>
      </c>
      <c r="AA49" s="608"/>
      <c r="AB49" s="608">
        <v>0</v>
      </c>
      <c r="AC49" s="608"/>
      <c r="AD49" s="622">
        <v>-21499.383355452235</v>
      </c>
      <c r="AE49" s="608"/>
      <c r="AF49" s="608">
        <v>0</v>
      </c>
      <c r="AG49" s="608"/>
      <c r="AH49" s="609" t="s">
        <v>1407</v>
      </c>
      <c r="AI49" s="608"/>
      <c r="AJ49" s="607">
        <f t="shared" si="55"/>
        <v>0</v>
      </c>
      <c r="AK49" s="608"/>
      <c r="AL49" s="607">
        <f t="shared" si="56"/>
        <v>-63953.235932547766</v>
      </c>
      <c r="AM49" s="608"/>
      <c r="AN49" s="607">
        <f t="shared" si="57"/>
        <v>0</v>
      </c>
      <c r="AO49" s="608"/>
      <c r="AP49" s="608">
        <f t="shared" si="58"/>
        <v>-63953.235932547766</v>
      </c>
      <c r="AR49" s="608">
        <v>0</v>
      </c>
      <c r="AS49" s="608"/>
      <c r="AT49" s="798">
        <v>-8737.636783280599</v>
      </c>
      <c r="AU49" s="608"/>
      <c r="AV49" s="608">
        <v>0</v>
      </c>
      <c r="AW49" s="608"/>
      <c r="AX49" s="607">
        <f t="shared" si="59"/>
        <v>0</v>
      </c>
      <c r="AY49" s="608"/>
      <c r="AZ49" s="607">
        <f t="shared" si="60"/>
        <v>-55215.599149267167</v>
      </c>
      <c r="BA49" s="608"/>
      <c r="BB49" s="607">
        <f t="shared" si="61"/>
        <v>0</v>
      </c>
      <c r="BC49" s="608"/>
      <c r="BD49" s="608">
        <f t="shared" si="62"/>
        <v>-55215.599149267167</v>
      </c>
      <c r="BF49" s="709">
        <f t="shared" si="63"/>
        <v>-76670.868231773828</v>
      </c>
      <c r="BH49" s="592">
        <f t="shared" si="53"/>
        <v>407</v>
      </c>
    </row>
    <row r="50" spans="1:60" ht="15">
      <c r="A50" s="592">
        <f t="shared" si="54"/>
        <v>408</v>
      </c>
      <c r="B50" s="624" t="s">
        <v>1442</v>
      </c>
      <c r="F50" s="712" t="s">
        <v>1404</v>
      </c>
      <c r="H50" s="720"/>
      <c r="J50" s="622">
        <v>2328139.9133534944</v>
      </c>
      <c r="K50" s="608"/>
      <c r="L50" s="622">
        <v>1396884.1244907889</v>
      </c>
      <c r="M50" s="608"/>
      <c r="N50" s="622">
        <v>931255.78886270523</v>
      </c>
      <c r="P50" s="710" t="s">
        <v>1405</v>
      </c>
      <c r="R50" s="608">
        <v>0</v>
      </c>
      <c r="S50" s="608"/>
      <c r="T50" s="608">
        <f t="shared" si="64"/>
        <v>931255.78886270523</v>
      </c>
      <c r="U50" s="608"/>
      <c r="V50" s="608">
        <v>0</v>
      </c>
      <c r="W50" s="608"/>
      <c r="X50" s="608">
        <f t="shared" si="65"/>
        <v>931255.78886270523</v>
      </c>
      <c r="Y50" s="608"/>
      <c r="Z50" s="609" t="s">
        <v>1406</v>
      </c>
      <c r="AA50" s="608"/>
      <c r="AB50" s="608">
        <v>0</v>
      </c>
      <c r="AC50" s="608"/>
      <c r="AD50" s="622">
        <v>234298.55484318626</v>
      </c>
      <c r="AE50" s="608"/>
      <c r="AF50" s="608">
        <v>0</v>
      </c>
      <c r="AG50" s="608"/>
      <c r="AH50" s="609" t="s">
        <v>1407</v>
      </c>
      <c r="AI50" s="608"/>
      <c r="AJ50" s="607">
        <f t="shared" si="55"/>
        <v>0</v>
      </c>
      <c r="AK50" s="608"/>
      <c r="AL50" s="607">
        <f t="shared" si="56"/>
        <v>696957.23401951895</v>
      </c>
      <c r="AM50" s="608"/>
      <c r="AN50" s="607">
        <f t="shared" si="57"/>
        <v>0</v>
      </c>
      <c r="AO50" s="608"/>
      <c r="AP50" s="608">
        <f t="shared" si="58"/>
        <v>696957.23401951895</v>
      </c>
      <c r="AR50" s="608">
        <v>0</v>
      </c>
      <c r="AS50" s="608"/>
      <c r="AT50" s="798">
        <v>95222.06461554805</v>
      </c>
      <c r="AU50" s="608"/>
      <c r="AV50" s="608">
        <v>0</v>
      </c>
      <c r="AW50" s="608"/>
      <c r="AX50" s="607">
        <f t="shared" si="59"/>
        <v>0</v>
      </c>
      <c r="AY50" s="608"/>
      <c r="AZ50" s="607">
        <f t="shared" si="60"/>
        <v>601735.16940397094</v>
      </c>
      <c r="BA50" s="608"/>
      <c r="BB50" s="607">
        <f t="shared" si="61"/>
        <v>0</v>
      </c>
      <c r="BC50" s="608"/>
      <c r="BD50" s="608">
        <f t="shared" si="62"/>
        <v>601735.16940397094</v>
      </c>
      <c r="BF50" s="709">
        <f t="shared" si="63"/>
        <v>835552.97044002602</v>
      </c>
      <c r="BH50" s="592">
        <f t="shared" si="53"/>
        <v>408</v>
      </c>
    </row>
    <row r="51" spans="1:60" ht="15">
      <c r="A51" s="592">
        <f t="shared" si="54"/>
        <v>409</v>
      </c>
      <c r="B51" s="624" t="s">
        <v>1443</v>
      </c>
      <c r="F51" s="712" t="s">
        <v>1404</v>
      </c>
      <c r="H51" s="720"/>
      <c r="J51" s="622">
        <v>-215413.08259999999</v>
      </c>
      <c r="K51" s="608"/>
      <c r="L51" s="622">
        <v>-129247.82089800001</v>
      </c>
      <c r="M51" s="608"/>
      <c r="N51" s="622">
        <v>-86165.261702000003</v>
      </c>
      <c r="P51" s="710" t="s">
        <v>1405</v>
      </c>
      <c r="R51" s="608">
        <v>0</v>
      </c>
      <c r="S51" s="608"/>
      <c r="T51" s="608">
        <f t="shared" si="64"/>
        <v>-86165.261702000003</v>
      </c>
      <c r="U51" s="608"/>
      <c r="V51" s="608">
        <v>0</v>
      </c>
      <c r="W51" s="608"/>
      <c r="X51" s="608">
        <f t="shared" si="65"/>
        <v>-86165.261702000003</v>
      </c>
      <c r="Y51" s="608"/>
      <c r="Z51" s="609" t="s">
        <v>1406</v>
      </c>
      <c r="AA51" s="608"/>
      <c r="AB51" s="608">
        <v>0</v>
      </c>
      <c r="AC51" s="608"/>
      <c r="AD51" s="622">
        <v>-21678.680053219956</v>
      </c>
      <c r="AE51" s="608"/>
      <c r="AF51" s="608">
        <v>0</v>
      </c>
      <c r="AG51" s="608"/>
      <c r="AH51" s="609" t="s">
        <v>1407</v>
      </c>
      <c r="AI51" s="608"/>
      <c r="AJ51" s="607">
        <f t="shared" si="55"/>
        <v>0</v>
      </c>
      <c r="AK51" s="608"/>
      <c r="AL51" s="607">
        <f t="shared" si="56"/>
        <v>-64486.581648780048</v>
      </c>
      <c r="AM51" s="608"/>
      <c r="AN51" s="607">
        <f t="shared" si="57"/>
        <v>0</v>
      </c>
      <c r="AO51" s="608"/>
      <c r="AP51" s="608">
        <f t="shared" si="58"/>
        <v>-64486.581648780048</v>
      </c>
      <c r="AR51" s="608">
        <v>0</v>
      </c>
      <c r="AS51" s="608"/>
      <c r="AT51" s="798">
        <v>-8810.5053579571231</v>
      </c>
      <c r="AU51" s="608"/>
      <c r="AV51" s="608">
        <v>0</v>
      </c>
      <c r="AW51" s="608"/>
      <c r="AX51" s="607">
        <f t="shared" si="59"/>
        <v>0</v>
      </c>
      <c r="AY51" s="608"/>
      <c r="AZ51" s="607">
        <f t="shared" si="60"/>
        <v>-55676.076290822923</v>
      </c>
      <c r="BA51" s="608"/>
      <c r="BB51" s="607">
        <f t="shared" si="61"/>
        <v>0</v>
      </c>
      <c r="BC51" s="608"/>
      <c r="BD51" s="608">
        <f t="shared" si="62"/>
        <v>-55676.076290822923</v>
      </c>
      <c r="BF51" s="709">
        <f t="shared" si="63"/>
        <v>-77310.274174803126</v>
      </c>
      <c r="BH51" s="592">
        <f t="shared" si="53"/>
        <v>409</v>
      </c>
    </row>
    <row r="52" spans="1:60" ht="15">
      <c r="A52" s="592">
        <f t="shared" si="54"/>
        <v>410</v>
      </c>
      <c r="B52" s="624" t="s">
        <v>1444</v>
      </c>
      <c r="F52" s="712" t="s">
        <v>1404</v>
      </c>
      <c r="H52" s="720"/>
      <c r="J52" s="622">
        <v>-2118462.1781889452</v>
      </c>
      <c r="K52" s="608"/>
      <c r="L52" s="622">
        <v>-1271077.2434608291</v>
      </c>
      <c r="M52" s="608"/>
      <c r="N52" s="622">
        <v>-847384.9347281158</v>
      </c>
      <c r="P52" s="710" t="s">
        <v>1405</v>
      </c>
      <c r="R52" s="608">
        <v>0</v>
      </c>
      <c r="S52" s="608"/>
      <c r="T52" s="608">
        <f t="shared" si="64"/>
        <v>-847384.9347281158</v>
      </c>
      <c r="U52" s="608"/>
      <c r="V52" s="608">
        <v>0</v>
      </c>
      <c r="W52" s="608"/>
      <c r="X52" s="608">
        <f t="shared" si="65"/>
        <v>-847384.9347281158</v>
      </c>
      <c r="Y52" s="608"/>
      <c r="Z52" s="609" t="s">
        <v>1406</v>
      </c>
      <c r="AA52" s="608"/>
      <c r="AB52" s="608">
        <v>0</v>
      </c>
      <c r="AC52" s="608"/>
      <c r="AD52" s="622">
        <v>-213197.1344254979</v>
      </c>
      <c r="AE52" s="608"/>
      <c r="AF52" s="608">
        <v>0</v>
      </c>
      <c r="AG52" s="608"/>
      <c r="AH52" s="609" t="s">
        <v>1407</v>
      </c>
      <c r="AI52" s="608"/>
      <c r="AJ52" s="607">
        <f t="shared" si="55"/>
        <v>0</v>
      </c>
      <c r="AK52" s="608"/>
      <c r="AL52" s="607">
        <f t="shared" si="56"/>
        <v>-634187.80030261795</v>
      </c>
      <c r="AM52" s="608"/>
      <c r="AN52" s="607">
        <f t="shared" si="57"/>
        <v>0</v>
      </c>
      <c r="AO52" s="608"/>
      <c r="AP52" s="608">
        <f t="shared" si="58"/>
        <v>-634187.80030261795</v>
      </c>
      <c r="AR52" s="608">
        <v>0</v>
      </c>
      <c r="AS52" s="608"/>
      <c r="AT52" s="798">
        <v>-86646.165289844619</v>
      </c>
      <c r="AU52" s="608"/>
      <c r="AV52" s="608">
        <v>0</v>
      </c>
      <c r="AW52" s="608"/>
      <c r="AX52" s="607">
        <f t="shared" si="59"/>
        <v>0</v>
      </c>
      <c r="AY52" s="608"/>
      <c r="AZ52" s="607">
        <f t="shared" si="60"/>
        <v>-547541.63501277333</v>
      </c>
      <c r="BA52" s="608"/>
      <c r="BB52" s="607">
        <f t="shared" si="61"/>
        <v>0</v>
      </c>
      <c r="BC52" s="608"/>
      <c r="BD52" s="608">
        <f t="shared" si="62"/>
        <v>-547541.63501277333</v>
      </c>
      <c r="BF52" s="709">
        <f t="shared" si="63"/>
        <v>-760301.31332970446</v>
      </c>
      <c r="BH52" s="592">
        <f t="shared" si="53"/>
        <v>410</v>
      </c>
    </row>
    <row r="53" spans="1:60" ht="15">
      <c r="A53" s="592">
        <f t="shared" si="54"/>
        <v>411</v>
      </c>
      <c r="B53" s="624" t="s">
        <v>1445</v>
      </c>
      <c r="F53" s="712" t="s">
        <v>1404</v>
      </c>
      <c r="H53" s="720"/>
      <c r="J53" s="622">
        <v>-7026118.1700553214</v>
      </c>
      <c r="K53" s="608"/>
      <c r="L53" s="622">
        <v>-4215671.4134425009</v>
      </c>
      <c r="M53" s="608"/>
      <c r="N53" s="622">
        <v>-2810446.7566128215</v>
      </c>
      <c r="P53" s="710" t="s">
        <v>1405</v>
      </c>
      <c r="R53" s="608">
        <v>0</v>
      </c>
      <c r="S53" s="608"/>
      <c r="T53" s="608">
        <f t="shared" si="64"/>
        <v>-2810446.7566128215</v>
      </c>
      <c r="U53" s="608"/>
      <c r="V53" s="608">
        <v>0</v>
      </c>
      <c r="W53" s="608"/>
      <c r="X53" s="608">
        <f t="shared" si="65"/>
        <v>-2810446.7566128215</v>
      </c>
      <c r="Y53" s="608"/>
      <c r="Z53" s="609" t="s">
        <v>1406</v>
      </c>
      <c r="AA53" s="608"/>
      <c r="AB53" s="608">
        <v>0</v>
      </c>
      <c r="AC53" s="608"/>
      <c r="AD53" s="622">
        <v>-707092.10231302434</v>
      </c>
      <c r="AE53" s="608"/>
      <c r="AF53" s="608">
        <v>0</v>
      </c>
      <c r="AG53" s="608"/>
      <c r="AH53" s="609" t="s">
        <v>1407</v>
      </c>
      <c r="AI53" s="608"/>
      <c r="AJ53" s="607">
        <f t="shared" si="55"/>
        <v>0</v>
      </c>
      <c r="AK53" s="608"/>
      <c r="AL53" s="607">
        <f t="shared" si="56"/>
        <v>-2103354.654299797</v>
      </c>
      <c r="AM53" s="608"/>
      <c r="AN53" s="607">
        <f t="shared" si="57"/>
        <v>0</v>
      </c>
      <c r="AO53" s="608"/>
      <c r="AP53" s="608">
        <f t="shared" si="58"/>
        <v>-2103354.654299797</v>
      </c>
      <c r="AR53" s="608">
        <v>0</v>
      </c>
      <c r="AS53" s="608"/>
      <c r="AT53" s="798">
        <v>-287371.68225667602</v>
      </c>
      <c r="AU53" s="608"/>
      <c r="AV53" s="608">
        <v>0</v>
      </c>
      <c r="AW53" s="608"/>
      <c r="AX53" s="607">
        <f t="shared" si="59"/>
        <v>0</v>
      </c>
      <c r="AY53" s="608"/>
      <c r="AZ53" s="607">
        <f t="shared" si="60"/>
        <v>-1815982.972043121</v>
      </c>
      <c r="BA53" s="608"/>
      <c r="BB53" s="607">
        <f t="shared" si="61"/>
        <v>0</v>
      </c>
      <c r="BC53" s="608"/>
      <c r="BD53" s="608">
        <f t="shared" si="62"/>
        <v>-1815982.972043121</v>
      </c>
      <c r="BF53" s="709">
        <f t="shared" si="63"/>
        <v>-2521624.2023249161</v>
      </c>
      <c r="BH53" s="592">
        <f t="shared" si="53"/>
        <v>411</v>
      </c>
    </row>
    <row r="54" spans="1:60" ht="15">
      <c r="A54" s="592">
        <f t="shared" si="54"/>
        <v>412</v>
      </c>
      <c r="B54" s="624" t="s">
        <v>1446</v>
      </c>
      <c r="F54" s="712" t="s">
        <v>1404</v>
      </c>
      <c r="H54" s="720"/>
      <c r="J54" s="622">
        <v>-21209153.518288884</v>
      </c>
      <c r="K54" s="608"/>
      <c r="L54" s="622">
        <v>-12725492.086459177</v>
      </c>
      <c r="M54" s="608"/>
      <c r="N54" s="622">
        <v>-8483661.4318297058</v>
      </c>
      <c r="P54" s="710" t="s">
        <v>1405</v>
      </c>
      <c r="R54" s="608">
        <v>0</v>
      </c>
      <c r="S54" s="608"/>
      <c r="T54" s="608">
        <f t="shared" si="64"/>
        <v>-8483661.4318297058</v>
      </c>
      <c r="U54" s="608"/>
      <c r="V54" s="608">
        <v>0</v>
      </c>
      <c r="W54" s="608"/>
      <c r="X54" s="608">
        <f t="shared" si="65"/>
        <v>-8483661.4318297058</v>
      </c>
      <c r="Y54" s="608"/>
      <c r="Z54" s="609" t="s">
        <v>1406</v>
      </c>
      <c r="AA54" s="608"/>
      <c r="AB54" s="608">
        <v>0</v>
      </c>
      <c r="AC54" s="608"/>
      <c r="AD54" s="622">
        <v>-2134440.0078136041</v>
      </c>
      <c r="AE54" s="608"/>
      <c r="AF54" s="608">
        <v>0</v>
      </c>
      <c r="AG54" s="608"/>
      <c r="AH54" s="609" t="s">
        <v>1407</v>
      </c>
      <c r="AI54" s="608"/>
      <c r="AJ54" s="607">
        <f t="shared" si="55"/>
        <v>0</v>
      </c>
      <c r="AK54" s="608"/>
      <c r="AL54" s="607">
        <f t="shared" si="56"/>
        <v>-6349221.4240161013</v>
      </c>
      <c r="AM54" s="608"/>
      <c r="AN54" s="607">
        <f t="shared" si="57"/>
        <v>0</v>
      </c>
      <c r="AO54" s="608"/>
      <c r="AP54" s="608">
        <f t="shared" si="58"/>
        <v>-6349221.4240161013</v>
      </c>
      <c r="AR54" s="608">
        <v>0</v>
      </c>
      <c r="AS54" s="608"/>
      <c r="AT54" s="798">
        <v>-867464.95076791348</v>
      </c>
      <c r="AU54" s="608"/>
      <c r="AV54" s="608">
        <v>0</v>
      </c>
      <c r="AW54" s="608"/>
      <c r="AX54" s="607">
        <f t="shared" si="59"/>
        <v>0</v>
      </c>
      <c r="AY54" s="608"/>
      <c r="AZ54" s="607">
        <f t="shared" si="60"/>
        <v>-5481756.4732481875</v>
      </c>
      <c r="BA54" s="608"/>
      <c r="BB54" s="607">
        <f t="shared" si="61"/>
        <v>0</v>
      </c>
      <c r="BC54" s="608"/>
      <c r="BD54" s="608">
        <f t="shared" si="62"/>
        <v>-5481756.4732481875</v>
      </c>
      <c r="BF54" s="709">
        <f t="shared" si="63"/>
        <v>-7611816.854561165</v>
      </c>
      <c r="BH54" s="592">
        <f t="shared" si="53"/>
        <v>412</v>
      </c>
    </row>
    <row r="55" spans="1:60" ht="15">
      <c r="A55" s="592">
        <f t="shared" si="54"/>
        <v>413</v>
      </c>
      <c r="B55" s="624" t="s">
        <v>1447</v>
      </c>
      <c r="F55" s="712" t="s">
        <v>1404</v>
      </c>
      <c r="H55" s="720"/>
      <c r="J55" s="622">
        <v>-836924.33457711921</v>
      </c>
      <c r="K55" s="608"/>
      <c r="L55" s="622">
        <v>-662647.5181006192</v>
      </c>
      <c r="M55" s="608"/>
      <c r="N55" s="622">
        <v>-174276.81647649998</v>
      </c>
      <c r="P55" s="710" t="s">
        <v>1405</v>
      </c>
      <c r="R55" s="608">
        <v>0</v>
      </c>
      <c r="S55" s="608"/>
      <c r="T55" s="608">
        <f t="shared" si="64"/>
        <v>-174276.81647649998</v>
      </c>
      <c r="U55" s="608"/>
      <c r="V55" s="608">
        <v>0</v>
      </c>
      <c r="W55" s="608"/>
      <c r="X55" s="608">
        <f t="shared" si="65"/>
        <v>-174276.81647649998</v>
      </c>
      <c r="Y55" s="608"/>
      <c r="Z55" s="609" t="s">
        <v>1406</v>
      </c>
      <c r="AA55" s="608"/>
      <c r="AB55" s="608">
        <v>0</v>
      </c>
      <c r="AC55" s="608"/>
      <c r="AD55" s="622">
        <v>-43847.036154247311</v>
      </c>
      <c r="AE55" s="608"/>
      <c r="AF55" s="608">
        <v>0</v>
      </c>
      <c r="AG55" s="608"/>
      <c r="AH55" s="609" t="s">
        <v>1407</v>
      </c>
      <c r="AI55" s="608"/>
      <c r="AJ55" s="607">
        <f t="shared" si="55"/>
        <v>0</v>
      </c>
      <c r="AK55" s="608"/>
      <c r="AL55" s="607">
        <f t="shared" si="56"/>
        <v>-130429.78032225267</v>
      </c>
      <c r="AM55" s="608"/>
      <c r="AN55" s="607">
        <f t="shared" si="57"/>
        <v>0</v>
      </c>
      <c r="AO55" s="608"/>
      <c r="AP55" s="608">
        <f t="shared" si="58"/>
        <v>-130429.78032225267</v>
      </c>
      <c r="AR55" s="608">
        <v>0</v>
      </c>
      <c r="AS55" s="608"/>
      <c r="AT55" s="798">
        <v>-17820.021607365154</v>
      </c>
      <c r="AU55" s="608"/>
      <c r="AV55" s="608">
        <v>0</v>
      </c>
      <c r="AW55" s="608"/>
      <c r="AX55" s="607">
        <f t="shared" si="59"/>
        <v>0</v>
      </c>
      <c r="AY55" s="608"/>
      <c r="AZ55" s="607">
        <f t="shared" si="60"/>
        <v>-112609.75871488752</v>
      </c>
      <c r="BA55" s="608"/>
      <c r="BB55" s="607">
        <f t="shared" si="61"/>
        <v>0</v>
      </c>
      <c r="BC55" s="608"/>
      <c r="BD55" s="608">
        <f t="shared" si="62"/>
        <v>-112609.75871488752</v>
      </c>
      <c r="BF55" s="709">
        <f t="shared" si="63"/>
        <v>-156366.82577147358</v>
      </c>
      <c r="BH55" s="592">
        <f t="shared" si="53"/>
        <v>413</v>
      </c>
    </row>
    <row r="56" spans="1:60" ht="15">
      <c r="A56" s="592">
        <f t="shared" si="54"/>
        <v>414</v>
      </c>
      <c r="B56" s="624" t="s">
        <v>1448</v>
      </c>
      <c r="F56" s="712" t="s">
        <v>1404</v>
      </c>
      <c r="H56" s="720"/>
      <c r="J56" s="622">
        <v>-218308782.94916928</v>
      </c>
      <c r="K56" s="608"/>
      <c r="L56" s="622">
        <v>-129315766.69833358</v>
      </c>
      <c r="M56" s="608"/>
      <c r="N56" s="622">
        <v>-88993016.250835702</v>
      </c>
      <c r="P56" s="710" t="s">
        <v>1405</v>
      </c>
      <c r="R56" s="608">
        <v>0</v>
      </c>
      <c r="S56" s="608"/>
      <c r="T56" s="608">
        <f t="shared" si="64"/>
        <v>-88993016.250835702</v>
      </c>
      <c r="U56" s="608"/>
      <c r="V56" s="608">
        <v>0</v>
      </c>
      <c r="W56" s="608"/>
      <c r="X56" s="608">
        <f t="shared" si="65"/>
        <v>-88993016.250835702</v>
      </c>
      <c r="Y56" s="608"/>
      <c r="Z56" s="609" t="s">
        <v>1406</v>
      </c>
      <c r="AA56" s="608"/>
      <c r="AB56" s="608">
        <v>0</v>
      </c>
      <c r="AC56" s="608"/>
      <c r="AD56" s="622">
        <v>-22390126.695664536</v>
      </c>
      <c r="AE56" s="608"/>
      <c r="AF56" s="608">
        <v>0</v>
      </c>
      <c r="AG56" s="608"/>
      <c r="AH56" s="609" t="s">
        <v>1407</v>
      </c>
      <c r="AI56" s="608"/>
      <c r="AJ56" s="607">
        <f t="shared" si="55"/>
        <v>0</v>
      </c>
      <c r="AK56" s="608"/>
      <c r="AL56" s="607">
        <f t="shared" si="56"/>
        <v>-66602889.555171162</v>
      </c>
      <c r="AM56" s="608"/>
      <c r="AN56" s="607">
        <f t="shared" si="57"/>
        <v>0</v>
      </c>
      <c r="AO56" s="608"/>
      <c r="AP56" s="608">
        <f t="shared" si="58"/>
        <v>-66602889.555171162</v>
      </c>
      <c r="AR56" s="608">
        <v>0</v>
      </c>
      <c r="AS56" s="608"/>
      <c r="AT56" s="798">
        <v>-9099646.7835314889</v>
      </c>
      <c r="AU56" s="608"/>
      <c r="AV56" s="608">
        <v>0</v>
      </c>
      <c r="AW56" s="608"/>
      <c r="AX56" s="607">
        <f t="shared" si="59"/>
        <v>0</v>
      </c>
      <c r="AY56" s="608"/>
      <c r="AZ56" s="607">
        <f t="shared" si="60"/>
        <v>-57503242.771639675</v>
      </c>
      <c r="BA56" s="608"/>
      <c r="BB56" s="607">
        <f t="shared" si="61"/>
        <v>0</v>
      </c>
      <c r="BC56" s="608"/>
      <c r="BD56" s="608">
        <f t="shared" si="62"/>
        <v>-57503242.771639675</v>
      </c>
      <c r="BF56" s="709">
        <f t="shared" si="63"/>
        <v>-79847427.491015479</v>
      </c>
      <c r="BH56" s="592">
        <f t="shared" si="53"/>
        <v>414</v>
      </c>
    </row>
    <row r="57" spans="1:60" ht="15">
      <c r="A57" s="592">
        <f t="shared" si="54"/>
        <v>415</v>
      </c>
      <c r="B57" s="624" t="s">
        <v>1449</v>
      </c>
      <c r="F57" s="712" t="s">
        <v>1404</v>
      </c>
      <c r="H57" s="720"/>
      <c r="J57" s="622">
        <v>-14250105.3266</v>
      </c>
      <c r="K57" s="608"/>
      <c r="L57" s="622">
        <v>-8550063.0526500009</v>
      </c>
      <c r="M57" s="608"/>
      <c r="N57" s="622">
        <v>-5700042.2739500003</v>
      </c>
      <c r="P57" s="710" t="s">
        <v>1405</v>
      </c>
      <c r="R57" s="608">
        <v>0</v>
      </c>
      <c r="S57" s="608"/>
      <c r="T57" s="608">
        <f t="shared" si="64"/>
        <v>-5700042.2739500003</v>
      </c>
      <c r="U57" s="608"/>
      <c r="V57" s="608">
        <v>0</v>
      </c>
      <c r="W57" s="608"/>
      <c r="X57" s="608">
        <f t="shared" si="65"/>
        <v>-5700042.2739500003</v>
      </c>
      <c r="Y57" s="608"/>
      <c r="Z57" s="609" t="s">
        <v>1406</v>
      </c>
      <c r="AA57" s="608"/>
      <c r="AB57" s="608">
        <v>0</v>
      </c>
      <c r="AC57" s="608"/>
      <c r="AD57" s="622">
        <v>-1434097.5737316443</v>
      </c>
      <c r="AE57" s="608"/>
      <c r="AF57" s="608">
        <v>0</v>
      </c>
      <c r="AG57" s="608"/>
      <c r="AH57" s="609" t="s">
        <v>1407</v>
      </c>
      <c r="AI57" s="608"/>
      <c r="AJ57" s="607">
        <f t="shared" si="55"/>
        <v>0</v>
      </c>
      <c r="AK57" s="608"/>
      <c r="AL57" s="607">
        <f t="shared" si="56"/>
        <v>-4265944.7002183562</v>
      </c>
      <c r="AM57" s="608"/>
      <c r="AN57" s="607">
        <f t="shared" si="57"/>
        <v>0</v>
      </c>
      <c r="AO57" s="608"/>
      <c r="AP57" s="608">
        <f t="shared" si="58"/>
        <v>-4265944.7002183562</v>
      </c>
      <c r="AR57" s="608">
        <v>0</v>
      </c>
      <c r="AS57" s="608"/>
      <c r="AT57" s="798">
        <v>-582836.42390484258</v>
      </c>
      <c r="AU57" s="608"/>
      <c r="AV57" s="608">
        <v>0</v>
      </c>
      <c r="AW57" s="608"/>
      <c r="AX57" s="607">
        <f t="shared" si="59"/>
        <v>0</v>
      </c>
      <c r="AY57" s="608"/>
      <c r="AZ57" s="607">
        <f t="shared" si="60"/>
        <v>-3683108.2763135135</v>
      </c>
      <c r="BA57" s="608"/>
      <c r="BB57" s="607">
        <f t="shared" si="61"/>
        <v>0</v>
      </c>
      <c r="BC57" s="608"/>
      <c r="BD57" s="608">
        <f t="shared" si="62"/>
        <v>-3683108.2763135135</v>
      </c>
      <c r="BF57" s="709">
        <f t="shared" si="63"/>
        <v>-5114263.2460293947</v>
      </c>
      <c r="BH57" s="592">
        <f t="shared" si="53"/>
        <v>415</v>
      </c>
    </row>
    <row r="58" spans="1:60" ht="15">
      <c r="A58" s="592">
        <f t="shared" si="54"/>
        <v>416</v>
      </c>
      <c r="B58" s="624" t="s">
        <v>1450</v>
      </c>
      <c r="F58" s="712" t="s">
        <v>1404</v>
      </c>
      <c r="H58" s="720"/>
      <c r="J58" s="622">
        <v>-29782170.194800001</v>
      </c>
      <c r="K58" s="608"/>
      <c r="L58" s="622">
        <v>-17869302.088218</v>
      </c>
      <c r="M58" s="608"/>
      <c r="N58" s="622">
        <v>-11912868.106582003</v>
      </c>
      <c r="P58" s="710" t="s">
        <v>1405</v>
      </c>
      <c r="R58" s="608">
        <v>0</v>
      </c>
      <c r="S58" s="608"/>
      <c r="T58" s="608">
        <f t="shared" si="64"/>
        <v>-11912868.106582003</v>
      </c>
      <c r="U58" s="608"/>
      <c r="V58" s="608">
        <v>0</v>
      </c>
      <c r="W58" s="608"/>
      <c r="X58" s="608">
        <f t="shared" si="65"/>
        <v>-11912868.106582003</v>
      </c>
      <c r="Y58" s="608"/>
      <c r="Z58" s="609" t="s">
        <v>1406</v>
      </c>
      <c r="AA58" s="608"/>
      <c r="AB58" s="608">
        <v>0</v>
      </c>
      <c r="AC58" s="608"/>
      <c r="AD58" s="622">
        <v>-2997208.5164897144</v>
      </c>
      <c r="AE58" s="608"/>
      <c r="AF58" s="608">
        <v>0</v>
      </c>
      <c r="AG58" s="608"/>
      <c r="AH58" s="609" t="s">
        <v>1407</v>
      </c>
      <c r="AI58" s="608"/>
      <c r="AJ58" s="607">
        <f t="shared" si="55"/>
        <v>0</v>
      </c>
      <c r="AK58" s="608"/>
      <c r="AL58" s="607">
        <f t="shared" si="56"/>
        <v>-8915659.5900922883</v>
      </c>
      <c r="AM58" s="608"/>
      <c r="AN58" s="607">
        <f t="shared" si="57"/>
        <v>0</v>
      </c>
      <c r="AO58" s="608"/>
      <c r="AP58" s="608">
        <f t="shared" si="58"/>
        <v>-8915659.5900922883</v>
      </c>
      <c r="AR58" s="608">
        <v>0</v>
      </c>
      <c r="AS58" s="608"/>
      <c r="AT58" s="798">
        <v>-1218105.6055359377</v>
      </c>
      <c r="AU58" s="608"/>
      <c r="AV58" s="608">
        <v>0</v>
      </c>
      <c r="AW58" s="608"/>
      <c r="AX58" s="607">
        <f t="shared" si="59"/>
        <v>0</v>
      </c>
      <c r="AY58" s="608"/>
      <c r="AZ58" s="607">
        <f t="shared" si="60"/>
        <v>-7697553.9845563509</v>
      </c>
      <c r="BA58" s="608"/>
      <c r="BB58" s="607">
        <f t="shared" si="61"/>
        <v>0</v>
      </c>
      <c r="BC58" s="608"/>
      <c r="BD58" s="608">
        <f t="shared" si="62"/>
        <v>-7697553.9845563509</v>
      </c>
      <c r="BF58" s="709">
        <f t="shared" si="63"/>
        <v>-10688612.572353451</v>
      </c>
      <c r="BH58" s="592">
        <f t="shared" si="53"/>
        <v>416</v>
      </c>
    </row>
    <row r="59" spans="1:60" ht="15">
      <c r="A59" s="592">
        <f t="shared" si="54"/>
        <v>417</v>
      </c>
      <c r="B59" s="624" t="s">
        <v>1451</v>
      </c>
      <c r="F59" s="712" t="s">
        <v>1404</v>
      </c>
      <c r="H59" s="720"/>
      <c r="J59" s="622">
        <v>-3287922.8230146882</v>
      </c>
      <c r="K59" s="608"/>
      <c r="L59" s="622">
        <v>-1972753.6622619657</v>
      </c>
      <c r="M59" s="608"/>
      <c r="N59" s="622">
        <v>-1315169.1607527225</v>
      </c>
      <c r="P59" s="710" t="s">
        <v>1405</v>
      </c>
      <c r="R59" s="608">
        <v>0</v>
      </c>
      <c r="S59" s="608"/>
      <c r="T59" s="608">
        <f t="shared" si="64"/>
        <v>-1315169.1607527225</v>
      </c>
      <c r="U59" s="608"/>
      <c r="V59" s="608">
        <v>0</v>
      </c>
      <c r="W59" s="608"/>
      <c r="X59" s="608">
        <f t="shared" si="65"/>
        <v>-1315169.1607527225</v>
      </c>
      <c r="Y59" s="608"/>
      <c r="Z59" s="609" t="s">
        <v>1406</v>
      </c>
      <c r="AA59" s="608"/>
      <c r="AB59" s="608">
        <v>0</v>
      </c>
      <c r="AC59" s="608"/>
      <c r="AD59" s="622">
        <v>-330888.93236841756</v>
      </c>
      <c r="AE59" s="608"/>
      <c r="AF59" s="608">
        <v>0</v>
      </c>
      <c r="AG59" s="608"/>
      <c r="AH59" s="609" t="s">
        <v>1407</v>
      </c>
      <c r="AI59" s="608"/>
      <c r="AJ59" s="607">
        <f t="shared" si="55"/>
        <v>0</v>
      </c>
      <c r="AK59" s="608"/>
      <c r="AL59" s="607">
        <f t="shared" si="56"/>
        <v>-984280.22838430502</v>
      </c>
      <c r="AM59" s="608"/>
      <c r="AN59" s="607">
        <f t="shared" si="57"/>
        <v>0</v>
      </c>
      <c r="AO59" s="608"/>
      <c r="AP59" s="608">
        <f t="shared" si="58"/>
        <v>-984280.22838430502</v>
      </c>
      <c r="AR59" s="608">
        <v>0</v>
      </c>
      <c r="AS59" s="608"/>
      <c r="AT59" s="798">
        <v>-134477.68518949303</v>
      </c>
      <c r="AU59" s="608"/>
      <c r="AV59" s="608">
        <v>0</v>
      </c>
      <c r="AW59" s="608"/>
      <c r="AX59" s="607">
        <f t="shared" si="59"/>
        <v>0</v>
      </c>
      <c r="AY59" s="608"/>
      <c r="AZ59" s="607">
        <f t="shared" si="60"/>
        <v>-849802.54319481202</v>
      </c>
      <c r="BA59" s="608"/>
      <c r="BB59" s="607">
        <f t="shared" si="61"/>
        <v>0</v>
      </c>
      <c r="BC59" s="608"/>
      <c r="BD59" s="608">
        <f t="shared" si="62"/>
        <v>-849802.54319481202</v>
      </c>
      <c r="BF59" s="709">
        <f t="shared" si="63"/>
        <v>-1180012.5293611065</v>
      </c>
      <c r="BH59" s="592">
        <f t="shared" si="53"/>
        <v>417</v>
      </c>
    </row>
    <row r="60" spans="1:60" ht="15">
      <c r="A60" s="592">
        <f t="shared" si="54"/>
        <v>418</v>
      </c>
      <c r="B60" s="624" t="s">
        <v>1452</v>
      </c>
      <c r="F60" s="712" t="s">
        <v>1404</v>
      </c>
      <c r="H60" s="720"/>
      <c r="J60" s="622">
        <v>-1300270.1541934409</v>
      </c>
      <c r="K60" s="608"/>
      <c r="L60" s="622">
        <v>-780162.11054283439</v>
      </c>
      <c r="M60" s="608"/>
      <c r="N60" s="622">
        <v>-520108.04365060659</v>
      </c>
      <c r="P60" s="710" t="s">
        <v>1405</v>
      </c>
      <c r="R60" s="608">
        <v>0</v>
      </c>
      <c r="S60" s="608"/>
      <c r="T60" s="608">
        <f t="shared" si="64"/>
        <v>-520108.04365060659</v>
      </c>
      <c r="U60" s="608"/>
      <c r="V60" s="608">
        <v>0</v>
      </c>
      <c r="W60" s="608"/>
      <c r="X60" s="608">
        <f t="shared" si="65"/>
        <v>-520108.04365060659</v>
      </c>
      <c r="Y60" s="608"/>
      <c r="Z60" s="609" t="s">
        <v>1406</v>
      </c>
      <c r="AA60" s="608"/>
      <c r="AB60" s="608">
        <v>0</v>
      </c>
      <c r="AC60" s="608"/>
      <c r="AD60" s="622">
        <v>-130856.16695975227</v>
      </c>
      <c r="AE60" s="608"/>
      <c r="AF60" s="608">
        <v>0</v>
      </c>
      <c r="AG60" s="608"/>
      <c r="AH60" s="609" t="s">
        <v>1407</v>
      </c>
      <c r="AI60" s="608"/>
      <c r="AJ60" s="607">
        <f t="shared" si="55"/>
        <v>0</v>
      </c>
      <c r="AK60" s="608"/>
      <c r="AL60" s="607">
        <f t="shared" si="56"/>
        <v>-389251.87669085432</v>
      </c>
      <c r="AM60" s="608"/>
      <c r="AN60" s="607">
        <f t="shared" si="57"/>
        <v>0</v>
      </c>
      <c r="AO60" s="608"/>
      <c r="AP60" s="608">
        <f t="shared" si="58"/>
        <v>-389251.87669085432</v>
      </c>
      <c r="AR60" s="608">
        <v>0</v>
      </c>
      <c r="AS60" s="608"/>
      <c r="AT60" s="798">
        <v>-53181.695439496376</v>
      </c>
      <c r="AU60" s="608"/>
      <c r="AV60" s="608">
        <v>0</v>
      </c>
      <c r="AW60" s="608"/>
      <c r="AX60" s="607">
        <f t="shared" si="59"/>
        <v>0</v>
      </c>
      <c r="AY60" s="608"/>
      <c r="AZ60" s="607">
        <f t="shared" si="60"/>
        <v>-336070.18125135795</v>
      </c>
      <c r="BA60" s="608"/>
      <c r="BB60" s="607">
        <f t="shared" si="61"/>
        <v>0</v>
      </c>
      <c r="BC60" s="608"/>
      <c r="BD60" s="608">
        <f t="shared" si="62"/>
        <v>-336070.18125135795</v>
      </c>
      <c r="BF60" s="709">
        <f t="shared" si="63"/>
        <v>-466657.84633966419</v>
      </c>
      <c r="BH60" s="592">
        <f t="shared" si="53"/>
        <v>418</v>
      </c>
    </row>
    <row r="61" spans="1:60" ht="15">
      <c r="A61" s="592">
        <f t="shared" si="54"/>
        <v>419</v>
      </c>
      <c r="B61" s="624" t="s">
        <v>1453</v>
      </c>
      <c r="F61" s="712" t="s">
        <v>1404</v>
      </c>
      <c r="H61" s="720"/>
      <c r="J61" s="622">
        <v>-9402052.2694172058</v>
      </c>
      <c r="K61" s="608"/>
      <c r="L61" s="622">
        <v>-5641231.3075700132</v>
      </c>
      <c r="M61" s="608"/>
      <c r="N61" s="622">
        <v>-3760820.9618471917</v>
      </c>
      <c r="P61" s="710" t="s">
        <v>1405</v>
      </c>
      <c r="R61" s="608">
        <v>0</v>
      </c>
      <c r="S61" s="608"/>
      <c r="T61" s="608">
        <f t="shared" si="64"/>
        <v>-3760820.9618471917</v>
      </c>
      <c r="U61" s="608"/>
      <c r="V61" s="608">
        <v>0</v>
      </c>
      <c r="W61" s="608"/>
      <c r="X61" s="608">
        <f t="shared" si="65"/>
        <v>-3760820.9618471917</v>
      </c>
      <c r="Y61" s="608"/>
      <c r="Z61" s="609" t="s">
        <v>1406</v>
      </c>
      <c r="AA61" s="608"/>
      <c r="AB61" s="608">
        <v>0</v>
      </c>
      <c r="AC61" s="608"/>
      <c r="AD61" s="622">
        <v>-946200.73982129851</v>
      </c>
      <c r="AE61" s="608"/>
      <c r="AF61" s="608">
        <v>0</v>
      </c>
      <c r="AG61" s="608"/>
      <c r="AH61" s="609" t="s">
        <v>1407</v>
      </c>
      <c r="AI61" s="608"/>
      <c r="AJ61" s="607">
        <f t="shared" si="55"/>
        <v>0</v>
      </c>
      <c r="AK61" s="608"/>
      <c r="AL61" s="607">
        <f t="shared" si="56"/>
        <v>-2814620.2220258932</v>
      </c>
      <c r="AM61" s="608"/>
      <c r="AN61" s="607">
        <f t="shared" si="57"/>
        <v>0</v>
      </c>
      <c r="AO61" s="608"/>
      <c r="AP61" s="608">
        <f t="shared" si="58"/>
        <v>-2814620.2220258932</v>
      </c>
      <c r="AR61" s="608">
        <v>0</v>
      </c>
      <c r="AS61" s="608"/>
      <c r="AT61" s="798">
        <v>-384548.62876489165</v>
      </c>
      <c r="AU61" s="608"/>
      <c r="AV61" s="608">
        <v>0</v>
      </c>
      <c r="AW61" s="608"/>
      <c r="AX61" s="607">
        <f t="shared" si="59"/>
        <v>0</v>
      </c>
      <c r="AY61" s="608"/>
      <c r="AZ61" s="607">
        <f t="shared" si="60"/>
        <v>-2430071.5932610016</v>
      </c>
      <c r="BA61" s="608"/>
      <c r="BB61" s="607">
        <f t="shared" si="61"/>
        <v>0</v>
      </c>
      <c r="BC61" s="608"/>
      <c r="BD61" s="608">
        <f t="shared" si="62"/>
        <v>-2430071.5932610016</v>
      </c>
      <c r="BF61" s="709">
        <f t="shared" si="63"/>
        <v>-3374330.8375050705</v>
      </c>
      <c r="BH61" s="592">
        <f t="shared" si="53"/>
        <v>419</v>
      </c>
    </row>
    <row r="62" spans="1:60" ht="15">
      <c r="A62" s="592">
        <f t="shared" si="54"/>
        <v>420</v>
      </c>
      <c r="B62" s="624" t="s">
        <v>1454</v>
      </c>
      <c r="F62" s="712" t="s">
        <v>1404</v>
      </c>
      <c r="H62" s="720"/>
      <c r="J62" s="622">
        <v>-940821.10647100396</v>
      </c>
      <c r="K62" s="608"/>
      <c r="L62" s="622">
        <v>-564492.76789537212</v>
      </c>
      <c r="M62" s="608"/>
      <c r="N62" s="622">
        <v>-376328.33857563185</v>
      </c>
      <c r="P62" s="710" t="s">
        <v>1405</v>
      </c>
      <c r="R62" s="608">
        <v>0</v>
      </c>
      <c r="S62" s="608"/>
      <c r="T62" s="608">
        <f t="shared" si="64"/>
        <v>-376328.33857563185</v>
      </c>
      <c r="U62" s="608"/>
      <c r="V62" s="608">
        <v>0</v>
      </c>
      <c r="W62" s="608"/>
      <c r="X62" s="608">
        <f t="shared" si="65"/>
        <v>-376328.33857563185</v>
      </c>
      <c r="Y62" s="608"/>
      <c r="Z62" s="609" t="s">
        <v>1406</v>
      </c>
      <c r="AA62" s="608"/>
      <c r="AB62" s="608">
        <v>0</v>
      </c>
      <c r="AC62" s="608"/>
      <c r="AD62" s="622">
        <v>-94682.02713938478</v>
      </c>
      <c r="AE62" s="608"/>
      <c r="AF62" s="608">
        <v>0</v>
      </c>
      <c r="AG62" s="608"/>
      <c r="AH62" s="609" t="s">
        <v>1407</v>
      </c>
      <c r="AI62" s="608"/>
      <c r="AJ62" s="607">
        <f t="shared" si="55"/>
        <v>0</v>
      </c>
      <c r="AK62" s="608"/>
      <c r="AL62" s="607">
        <f t="shared" si="56"/>
        <v>-281646.31143624708</v>
      </c>
      <c r="AM62" s="608"/>
      <c r="AN62" s="607">
        <f t="shared" si="57"/>
        <v>0</v>
      </c>
      <c r="AO62" s="608"/>
      <c r="AP62" s="608">
        <f t="shared" si="58"/>
        <v>-281646.31143624708</v>
      </c>
      <c r="AR62" s="608">
        <v>0</v>
      </c>
      <c r="AS62" s="608"/>
      <c r="AT62" s="798">
        <v>-38480.041467740892</v>
      </c>
      <c r="AU62" s="608"/>
      <c r="AV62" s="608">
        <v>0</v>
      </c>
      <c r="AW62" s="608"/>
      <c r="AX62" s="607">
        <f t="shared" si="59"/>
        <v>0</v>
      </c>
      <c r="AY62" s="608"/>
      <c r="AZ62" s="607">
        <f t="shared" si="60"/>
        <v>-243166.26996850618</v>
      </c>
      <c r="BA62" s="608"/>
      <c r="BB62" s="607">
        <f t="shared" si="61"/>
        <v>0</v>
      </c>
      <c r="BC62" s="608"/>
      <c r="BD62" s="608">
        <f t="shared" si="62"/>
        <v>-243166.26996850618</v>
      </c>
      <c r="BF62" s="709">
        <f t="shared" si="63"/>
        <v>-337654.02042938297</v>
      </c>
      <c r="BH62" s="592">
        <f t="shared" si="53"/>
        <v>420</v>
      </c>
    </row>
    <row r="63" spans="1:60" ht="15">
      <c r="A63" s="592">
        <f t="shared" si="54"/>
        <v>421</v>
      </c>
      <c r="B63" s="624" t="s">
        <v>1455</v>
      </c>
      <c r="F63" s="712" t="s">
        <v>1404</v>
      </c>
      <c r="H63" s="720"/>
      <c r="J63" s="622">
        <v>-97065.292183923128</v>
      </c>
      <c r="K63" s="608"/>
      <c r="L63" s="622">
        <v>-58239.170803661436</v>
      </c>
      <c r="M63" s="608"/>
      <c r="N63" s="622">
        <v>-38826.121380261699</v>
      </c>
      <c r="P63" s="710" t="s">
        <v>1405</v>
      </c>
      <c r="R63" s="608">
        <v>0</v>
      </c>
      <c r="S63" s="608"/>
      <c r="T63" s="608">
        <f t="shared" si="64"/>
        <v>-38826.121380261699</v>
      </c>
      <c r="U63" s="608"/>
      <c r="V63" s="608">
        <v>0</v>
      </c>
      <c r="W63" s="608"/>
      <c r="X63" s="608">
        <f t="shared" si="65"/>
        <v>-38826.121380261699</v>
      </c>
      <c r="Y63" s="608"/>
      <c r="Z63" s="609" t="s">
        <v>1406</v>
      </c>
      <c r="AA63" s="608"/>
      <c r="AB63" s="608">
        <v>0</v>
      </c>
      <c r="AC63" s="608"/>
      <c r="AD63" s="622">
        <v>-9768.4269331319083</v>
      </c>
      <c r="AE63" s="608"/>
      <c r="AF63" s="608">
        <v>0</v>
      </c>
      <c r="AG63" s="608"/>
      <c r="AH63" s="609" t="s">
        <v>1407</v>
      </c>
      <c r="AI63" s="608"/>
      <c r="AJ63" s="607">
        <f t="shared" si="55"/>
        <v>0</v>
      </c>
      <c r="AK63" s="608"/>
      <c r="AL63" s="607">
        <f t="shared" si="56"/>
        <v>-29057.69444712979</v>
      </c>
      <c r="AM63" s="608"/>
      <c r="AN63" s="607">
        <f t="shared" si="57"/>
        <v>0</v>
      </c>
      <c r="AO63" s="608"/>
      <c r="AP63" s="608">
        <f t="shared" si="58"/>
        <v>-29057.69444712979</v>
      </c>
      <c r="AR63" s="608">
        <v>0</v>
      </c>
      <c r="AS63" s="608"/>
      <c r="AT63" s="798">
        <v>-3970.0192826263919</v>
      </c>
      <c r="AU63" s="608"/>
      <c r="AV63" s="608">
        <v>0</v>
      </c>
      <c r="AW63" s="608"/>
      <c r="AX63" s="607">
        <f t="shared" si="59"/>
        <v>0</v>
      </c>
      <c r="AY63" s="608"/>
      <c r="AZ63" s="607">
        <f t="shared" si="60"/>
        <v>-25087.675164503398</v>
      </c>
      <c r="BA63" s="608"/>
      <c r="BB63" s="607">
        <f t="shared" si="61"/>
        <v>0</v>
      </c>
      <c r="BC63" s="608"/>
      <c r="BD63" s="608">
        <f t="shared" si="62"/>
        <v>-25087.675164503398</v>
      </c>
      <c r="BF63" s="709">
        <f t="shared" si="63"/>
        <v>-34836.058404062678</v>
      </c>
      <c r="BH63" s="592">
        <f t="shared" si="53"/>
        <v>421</v>
      </c>
    </row>
    <row r="64" spans="1:60" ht="15">
      <c r="A64" s="592">
        <f t="shared" si="54"/>
        <v>422</v>
      </c>
      <c r="B64" s="624" t="s">
        <v>1456</v>
      </c>
      <c r="F64" s="712" t="s">
        <v>1404</v>
      </c>
      <c r="H64" s="720"/>
      <c r="J64" s="622">
        <v>-261.08771586334626</v>
      </c>
      <c r="K64" s="608"/>
      <c r="L64" s="622">
        <v>-156.63009605576406</v>
      </c>
      <c r="M64" s="608"/>
      <c r="N64" s="622">
        <v>-104.45761980758219</v>
      </c>
      <c r="P64" s="710" t="s">
        <v>1405</v>
      </c>
      <c r="R64" s="608">
        <v>0</v>
      </c>
      <c r="S64" s="608"/>
      <c r="T64" s="608">
        <f t="shared" si="64"/>
        <v>-104.45761980758219</v>
      </c>
      <c r="U64" s="608"/>
      <c r="V64" s="608">
        <v>0</v>
      </c>
      <c r="W64" s="608"/>
      <c r="X64" s="608">
        <f t="shared" si="65"/>
        <v>-104.45761980758219</v>
      </c>
      <c r="Y64" s="608"/>
      <c r="Z64" s="609" t="s">
        <v>1406</v>
      </c>
      <c r="AA64" s="608"/>
      <c r="AB64" s="608">
        <v>0</v>
      </c>
      <c r="AC64" s="608"/>
      <c r="AD64" s="622">
        <v>-26.28093125001098</v>
      </c>
      <c r="AE64" s="608"/>
      <c r="AF64" s="608">
        <v>0</v>
      </c>
      <c r="AG64" s="608"/>
      <c r="AH64" s="609" t="s">
        <v>1407</v>
      </c>
      <c r="AI64" s="608"/>
      <c r="AJ64" s="607">
        <f t="shared" si="55"/>
        <v>0</v>
      </c>
      <c r="AK64" s="608"/>
      <c r="AL64" s="607">
        <f t="shared" si="56"/>
        <v>-78.176688557571211</v>
      </c>
      <c r="AM64" s="608"/>
      <c r="AN64" s="607">
        <f t="shared" si="57"/>
        <v>0</v>
      </c>
      <c r="AO64" s="608"/>
      <c r="AP64" s="608">
        <f t="shared" si="58"/>
        <v>-78.176688557571211</v>
      </c>
      <c r="AR64" s="608">
        <v>0</v>
      </c>
      <c r="AS64" s="608"/>
      <c r="AT64" s="798">
        <v>-10.68092176377373</v>
      </c>
      <c r="AU64" s="608"/>
      <c r="AV64" s="608">
        <v>0</v>
      </c>
      <c r="AW64" s="608"/>
      <c r="AX64" s="607">
        <f t="shared" si="59"/>
        <v>0</v>
      </c>
      <c r="AY64" s="608"/>
      <c r="AZ64" s="607">
        <f t="shared" si="60"/>
        <v>-67.495766793797486</v>
      </c>
      <c r="BA64" s="608"/>
      <c r="BB64" s="607">
        <f t="shared" si="61"/>
        <v>0</v>
      </c>
      <c r="BC64" s="608"/>
      <c r="BD64" s="608">
        <f t="shared" si="62"/>
        <v>-67.495766793797486</v>
      </c>
      <c r="BF64" s="709">
        <f t="shared" si="63"/>
        <v>-93.722772582075024</v>
      </c>
      <c r="BH64" s="592">
        <f t="shared" si="53"/>
        <v>422</v>
      </c>
    </row>
    <row r="65" spans="1:60" ht="15">
      <c r="A65" s="592">
        <f t="shared" si="54"/>
        <v>423</v>
      </c>
      <c r="B65" s="624" t="s">
        <v>1457</v>
      </c>
      <c r="F65" s="712" t="s">
        <v>1404</v>
      </c>
      <c r="H65" s="720"/>
      <c r="J65" s="622">
        <v>371735.72841851</v>
      </c>
      <c r="K65" s="608"/>
      <c r="L65" s="622">
        <v>223041.47761133805</v>
      </c>
      <c r="M65" s="608"/>
      <c r="N65" s="622">
        <v>148694.25080717195</v>
      </c>
      <c r="P65" s="710" t="s">
        <v>1405</v>
      </c>
      <c r="R65" s="608">
        <v>0</v>
      </c>
      <c r="S65" s="608"/>
      <c r="T65" s="608">
        <f t="shared" si="64"/>
        <v>148694.25080717195</v>
      </c>
      <c r="U65" s="608"/>
      <c r="V65" s="608">
        <v>0</v>
      </c>
      <c r="W65" s="608"/>
      <c r="X65" s="608">
        <f t="shared" si="65"/>
        <v>148694.25080717195</v>
      </c>
      <c r="Y65" s="608"/>
      <c r="Z65" s="609" t="s">
        <v>1406</v>
      </c>
      <c r="AA65" s="608"/>
      <c r="AB65" s="608">
        <v>0</v>
      </c>
      <c r="AC65" s="608"/>
      <c r="AD65" s="622">
        <v>37410.611020370197</v>
      </c>
      <c r="AE65" s="608"/>
      <c r="AF65" s="608">
        <v>0</v>
      </c>
      <c r="AG65" s="608"/>
      <c r="AH65" s="609" t="s">
        <v>1407</v>
      </c>
      <c r="AI65" s="608"/>
      <c r="AJ65" s="607">
        <f t="shared" si="55"/>
        <v>0</v>
      </c>
      <c r="AK65" s="608"/>
      <c r="AL65" s="607">
        <f t="shared" si="56"/>
        <v>111283.63978680175</v>
      </c>
      <c r="AM65" s="608"/>
      <c r="AN65" s="607">
        <f t="shared" si="57"/>
        <v>0</v>
      </c>
      <c r="AO65" s="608"/>
      <c r="AP65" s="608">
        <f t="shared" si="58"/>
        <v>111283.63978680175</v>
      </c>
      <c r="AR65" s="608">
        <v>0</v>
      </c>
      <c r="AS65" s="608"/>
      <c r="AT65" s="798">
        <v>15204.172395655825</v>
      </c>
      <c r="AU65" s="608"/>
      <c r="AV65" s="608">
        <v>0</v>
      </c>
      <c r="AW65" s="608"/>
      <c r="AX65" s="607">
        <f t="shared" si="59"/>
        <v>0</v>
      </c>
      <c r="AY65" s="608"/>
      <c r="AZ65" s="607">
        <f t="shared" si="60"/>
        <v>96079.467391145925</v>
      </c>
      <c r="BA65" s="608"/>
      <c r="BB65" s="607">
        <f t="shared" si="61"/>
        <v>0</v>
      </c>
      <c r="BC65" s="608"/>
      <c r="BD65" s="608">
        <f t="shared" si="62"/>
        <v>96079.467391145925</v>
      </c>
      <c r="BF65" s="709">
        <f t="shared" si="63"/>
        <v>133413.31612125284</v>
      </c>
      <c r="BH65" s="592">
        <f t="shared" si="53"/>
        <v>423</v>
      </c>
    </row>
    <row r="66" spans="1:60" ht="15">
      <c r="A66" s="592">
        <f t="shared" si="54"/>
        <v>424</v>
      </c>
      <c r="B66" s="624" t="s">
        <v>1458</v>
      </c>
      <c r="F66" s="712" t="s">
        <v>1404</v>
      </c>
      <c r="H66" s="720"/>
      <c r="J66" s="622">
        <v>39627.125800000002</v>
      </c>
      <c r="K66" s="608"/>
      <c r="L66" s="622">
        <v>23771.092473216002</v>
      </c>
      <c r="M66" s="608"/>
      <c r="N66" s="622">
        <v>15856.033326784</v>
      </c>
      <c r="P66" s="710" t="s">
        <v>1405</v>
      </c>
      <c r="R66" s="608">
        <v>0</v>
      </c>
      <c r="S66" s="608"/>
      <c r="T66" s="608">
        <f t="shared" si="64"/>
        <v>15856.033326784</v>
      </c>
      <c r="U66" s="608"/>
      <c r="V66" s="608">
        <v>0</v>
      </c>
      <c r="W66" s="608"/>
      <c r="X66" s="608">
        <f t="shared" si="65"/>
        <v>15856.033326784</v>
      </c>
      <c r="Y66" s="608"/>
      <c r="Z66" s="609" t="s">
        <v>1406</v>
      </c>
      <c r="AA66" s="608"/>
      <c r="AB66" s="608">
        <v>0</v>
      </c>
      <c r="AC66" s="608"/>
      <c r="AD66" s="622">
        <v>3989.2860140476378</v>
      </c>
      <c r="AE66" s="608"/>
      <c r="AF66" s="608">
        <v>0</v>
      </c>
      <c r="AG66" s="608"/>
      <c r="AH66" s="609" t="s">
        <v>1407</v>
      </c>
      <c r="AI66" s="608"/>
      <c r="AJ66" s="607">
        <f t="shared" si="55"/>
        <v>0</v>
      </c>
      <c r="AK66" s="608"/>
      <c r="AL66" s="607">
        <f t="shared" si="56"/>
        <v>11866.747312736363</v>
      </c>
      <c r="AM66" s="608"/>
      <c r="AN66" s="607">
        <f t="shared" si="57"/>
        <v>0</v>
      </c>
      <c r="AO66" s="608"/>
      <c r="AP66" s="608">
        <f t="shared" si="58"/>
        <v>11866.747312736363</v>
      </c>
      <c r="AR66" s="608">
        <v>0</v>
      </c>
      <c r="AS66" s="608"/>
      <c r="AT66" s="798">
        <v>1621.2991618910673</v>
      </c>
      <c r="AU66" s="608"/>
      <c r="AV66" s="608">
        <v>0</v>
      </c>
      <c r="AW66" s="608"/>
      <c r="AX66" s="607">
        <f t="shared" si="59"/>
        <v>0</v>
      </c>
      <c r="AY66" s="608"/>
      <c r="AZ66" s="607">
        <f t="shared" si="60"/>
        <v>10245.448150845295</v>
      </c>
      <c r="BA66" s="608"/>
      <c r="BB66" s="607">
        <f t="shared" si="61"/>
        <v>0</v>
      </c>
      <c r="BC66" s="608"/>
      <c r="BD66" s="608">
        <f t="shared" si="62"/>
        <v>10245.448150845295</v>
      </c>
      <c r="BF66" s="709">
        <f t="shared" si="63"/>
        <v>14226.548606769145</v>
      </c>
      <c r="BH66" s="592">
        <f t="shared" si="53"/>
        <v>424</v>
      </c>
    </row>
    <row r="67" spans="1:60" ht="15">
      <c r="A67" s="592">
        <f t="shared" si="54"/>
        <v>425</v>
      </c>
      <c r="B67" s="624" t="s">
        <v>1459</v>
      </c>
      <c r="F67" s="712" t="s">
        <v>1404</v>
      </c>
      <c r="H67" s="720"/>
      <c r="J67" s="622">
        <v>4858877.9765368579</v>
      </c>
      <c r="K67" s="608"/>
      <c r="L67" s="622">
        <v>2914698.7054959484</v>
      </c>
      <c r="M67" s="608"/>
      <c r="N67" s="622">
        <v>1944179.2710409102</v>
      </c>
      <c r="P67" s="710" t="s">
        <v>1405</v>
      </c>
      <c r="R67" s="608">
        <v>0</v>
      </c>
      <c r="S67" s="608"/>
      <c r="T67" s="608">
        <f t="shared" si="64"/>
        <v>1944179.2710409102</v>
      </c>
      <c r="U67" s="608"/>
      <c r="V67" s="608">
        <v>0</v>
      </c>
      <c r="W67" s="608"/>
      <c r="X67" s="608">
        <f t="shared" si="65"/>
        <v>1944179.2710409102</v>
      </c>
      <c r="Y67" s="608"/>
      <c r="Z67" s="609" t="s">
        <v>1406</v>
      </c>
      <c r="AA67" s="608"/>
      <c r="AB67" s="608">
        <v>0</v>
      </c>
      <c r="AC67" s="608"/>
      <c r="AD67" s="622">
        <v>489144.22762114124</v>
      </c>
      <c r="AE67" s="608"/>
      <c r="AF67" s="608">
        <v>0</v>
      </c>
      <c r="AG67" s="608"/>
      <c r="AH67" s="609" t="s">
        <v>1407</v>
      </c>
      <c r="AI67" s="608"/>
      <c r="AJ67" s="607">
        <f t="shared" si="55"/>
        <v>0</v>
      </c>
      <c r="AK67" s="608"/>
      <c r="AL67" s="607">
        <f t="shared" si="56"/>
        <v>1455035.043419769</v>
      </c>
      <c r="AM67" s="608"/>
      <c r="AN67" s="607">
        <f t="shared" si="57"/>
        <v>0</v>
      </c>
      <c r="AO67" s="608"/>
      <c r="AP67" s="608">
        <f t="shared" si="58"/>
        <v>1455035.043419769</v>
      </c>
      <c r="AR67" s="608">
        <v>0</v>
      </c>
      <c r="AS67" s="608"/>
      <c r="AT67" s="798">
        <v>198794.7526182413</v>
      </c>
      <c r="AU67" s="608"/>
      <c r="AV67" s="608">
        <v>0</v>
      </c>
      <c r="AW67" s="608"/>
      <c r="AX67" s="607">
        <f t="shared" si="59"/>
        <v>0</v>
      </c>
      <c r="AY67" s="608"/>
      <c r="AZ67" s="607">
        <f t="shared" si="60"/>
        <v>1256240.2908015277</v>
      </c>
      <c r="BA67" s="608"/>
      <c r="BB67" s="607">
        <f t="shared" si="61"/>
        <v>0</v>
      </c>
      <c r="BC67" s="608"/>
      <c r="BD67" s="608">
        <f t="shared" si="62"/>
        <v>1256240.2908015277</v>
      </c>
      <c r="BF67" s="709">
        <f t="shared" si="63"/>
        <v>1744380.8504750689</v>
      </c>
      <c r="BH67" s="592">
        <f t="shared" si="53"/>
        <v>425</v>
      </c>
    </row>
    <row r="68" spans="1:60" ht="15">
      <c r="A68" s="592">
        <f t="shared" si="54"/>
        <v>426</v>
      </c>
      <c r="B68" s="624" t="s">
        <v>1460</v>
      </c>
      <c r="F68" s="712" t="s">
        <v>1404</v>
      </c>
      <c r="H68" s="720"/>
      <c r="J68" s="622">
        <v>1290770.57171274</v>
      </c>
      <c r="K68" s="608"/>
      <c r="L68" s="622">
        <v>774295.40260003391</v>
      </c>
      <c r="M68" s="608"/>
      <c r="N68" s="622">
        <v>516475.16911270609</v>
      </c>
      <c r="P68" s="710" t="s">
        <v>1405</v>
      </c>
      <c r="R68" s="608">
        <v>0</v>
      </c>
      <c r="S68" s="608"/>
      <c r="T68" s="608">
        <f t="shared" si="64"/>
        <v>516475.16911270609</v>
      </c>
      <c r="U68" s="608"/>
      <c r="V68" s="608">
        <v>0</v>
      </c>
      <c r="W68" s="608"/>
      <c r="X68" s="608">
        <f t="shared" si="65"/>
        <v>516475.16911270609</v>
      </c>
      <c r="Y68" s="608"/>
      <c r="Z68" s="609" t="s">
        <v>1406</v>
      </c>
      <c r="AA68" s="608"/>
      <c r="AB68" s="608">
        <v>0</v>
      </c>
      <c r="AC68" s="608"/>
      <c r="AD68" s="622">
        <v>129942.15679805847</v>
      </c>
      <c r="AE68" s="608"/>
      <c r="AF68" s="608">
        <v>0</v>
      </c>
      <c r="AG68" s="608"/>
      <c r="AH68" s="609" t="s">
        <v>1407</v>
      </c>
      <c r="AI68" s="608"/>
      <c r="AJ68" s="607">
        <f t="shared" si="55"/>
        <v>0</v>
      </c>
      <c r="AK68" s="608"/>
      <c r="AL68" s="607">
        <f t="shared" si="56"/>
        <v>386533.01231464761</v>
      </c>
      <c r="AM68" s="608"/>
      <c r="AN68" s="607">
        <f t="shared" si="57"/>
        <v>0</v>
      </c>
      <c r="AO68" s="608"/>
      <c r="AP68" s="608">
        <f t="shared" si="58"/>
        <v>386533.01231464761</v>
      </c>
      <c r="AR68" s="608">
        <v>0</v>
      </c>
      <c r="AS68" s="608"/>
      <c r="AT68" s="798">
        <v>52810.229491982012</v>
      </c>
      <c r="AU68" s="608"/>
      <c r="AV68" s="608">
        <v>0</v>
      </c>
      <c r="AW68" s="608"/>
      <c r="AX68" s="607">
        <f t="shared" si="59"/>
        <v>0</v>
      </c>
      <c r="AY68" s="608"/>
      <c r="AZ68" s="607">
        <f t="shared" si="60"/>
        <v>333722.78282266558</v>
      </c>
      <c r="BA68" s="608"/>
      <c r="BB68" s="607">
        <f t="shared" si="61"/>
        <v>0</v>
      </c>
      <c r="BC68" s="608"/>
      <c r="BD68" s="608">
        <f t="shared" si="62"/>
        <v>333722.78282266558</v>
      </c>
      <c r="BF68" s="709">
        <f t="shared" si="63"/>
        <v>463398.31319347478</v>
      </c>
      <c r="BH68" s="592">
        <f t="shared" si="53"/>
        <v>426</v>
      </c>
    </row>
    <row r="69" spans="1:60" ht="15">
      <c r="A69" s="592">
        <f t="shared" si="54"/>
        <v>427</v>
      </c>
      <c r="B69" s="624" t="s">
        <v>1461</v>
      </c>
      <c r="F69" s="712" t="s">
        <v>1404</v>
      </c>
      <c r="H69" s="720"/>
      <c r="J69" s="622">
        <v>1949491.3032683765</v>
      </c>
      <c r="K69" s="608"/>
      <c r="L69" s="622">
        <v>1169442.4782304987</v>
      </c>
      <c r="M69" s="608"/>
      <c r="N69" s="622">
        <v>780048.82503787789</v>
      </c>
      <c r="P69" s="710" t="s">
        <v>1405</v>
      </c>
      <c r="R69" s="608">
        <v>0</v>
      </c>
      <c r="S69" s="608"/>
      <c r="T69" s="608">
        <f t="shared" si="64"/>
        <v>780048.82503787789</v>
      </c>
      <c r="U69" s="608"/>
      <c r="V69" s="608">
        <v>0</v>
      </c>
      <c r="W69" s="608"/>
      <c r="X69" s="608">
        <f t="shared" si="65"/>
        <v>780048.82503787789</v>
      </c>
      <c r="Y69" s="608"/>
      <c r="Z69" s="609" t="s">
        <v>1406</v>
      </c>
      <c r="AA69" s="608"/>
      <c r="AB69" s="608">
        <v>0</v>
      </c>
      <c r="AC69" s="608"/>
      <c r="AD69" s="622">
        <v>196255.75980225677</v>
      </c>
      <c r="AE69" s="608"/>
      <c r="AF69" s="608">
        <v>0</v>
      </c>
      <c r="AG69" s="608"/>
      <c r="AH69" s="609" t="s">
        <v>1407</v>
      </c>
      <c r="AI69" s="608"/>
      <c r="AJ69" s="607">
        <f t="shared" si="55"/>
        <v>0</v>
      </c>
      <c r="AK69" s="608"/>
      <c r="AL69" s="607">
        <f t="shared" si="56"/>
        <v>583793.06523562106</v>
      </c>
      <c r="AM69" s="608"/>
      <c r="AN69" s="607">
        <f t="shared" si="57"/>
        <v>0</v>
      </c>
      <c r="AO69" s="608"/>
      <c r="AP69" s="608">
        <f t="shared" si="58"/>
        <v>583793.06523562106</v>
      </c>
      <c r="AR69" s="608">
        <v>0</v>
      </c>
      <c r="AS69" s="608"/>
      <c r="AT69" s="798">
        <v>79760.964183375283</v>
      </c>
      <c r="AU69" s="608"/>
      <c r="AV69" s="608">
        <v>0</v>
      </c>
      <c r="AW69" s="608"/>
      <c r="AX69" s="607">
        <f t="shared" si="59"/>
        <v>0</v>
      </c>
      <c r="AY69" s="608"/>
      <c r="AZ69" s="607">
        <f t="shared" si="60"/>
        <v>504032.10105224577</v>
      </c>
      <c r="BA69" s="608"/>
      <c r="BB69" s="607">
        <f t="shared" si="61"/>
        <v>0</v>
      </c>
      <c r="BC69" s="608"/>
      <c r="BD69" s="608">
        <f t="shared" si="62"/>
        <v>504032.10105224577</v>
      </c>
      <c r="BF69" s="709">
        <f t="shared" si="63"/>
        <v>699885.16650685912</v>
      </c>
      <c r="BH69" s="592">
        <f t="shared" si="53"/>
        <v>427</v>
      </c>
    </row>
    <row r="70" spans="1:60" ht="15">
      <c r="A70" s="592">
        <f t="shared" si="54"/>
        <v>428</v>
      </c>
      <c r="B70" s="624" t="s">
        <v>1462</v>
      </c>
      <c r="F70" s="712" t="s">
        <v>1404</v>
      </c>
      <c r="H70" s="720"/>
      <c r="J70" s="622">
        <v>46022.343286475691</v>
      </c>
      <c r="K70" s="608"/>
      <c r="L70" s="622">
        <v>27769.044679727383</v>
      </c>
      <c r="M70" s="608"/>
      <c r="N70" s="622">
        <v>18253.298606748307</v>
      </c>
      <c r="P70" s="710" t="s">
        <v>1405</v>
      </c>
      <c r="R70" s="608">
        <v>0</v>
      </c>
      <c r="S70" s="608"/>
      <c r="T70" s="608">
        <f t="shared" si="64"/>
        <v>18253.298606748307</v>
      </c>
      <c r="U70" s="608"/>
      <c r="V70" s="608">
        <v>0</v>
      </c>
      <c r="W70" s="608"/>
      <c r="X70" s="608">
        <f t="shared" si="65"/>
        <v>18253.298606748307</v>
      </c>
      <c r="Y70" s="608"/>
      <c r="Z70" s="609" t="s">
        <v>1406</v>
      </c>
      <c r="AA70" s="608"/>
      <c r="AB70" s="608">
        <v>0</v>
      </c>
      <c r="AC70" s="608"/>
      <c r="AD70" s="622">
        <v>4592.4240534442351</v>
      </c>
      <c r="AE70" s="608"/>
      <c r="AF70" s="608">
        <v>0</v>
      </c>
      <c r="AG70" s="608"/>
      <c r="AH70" s="609" t="s">
        <v>1407</v>
      </c>
      <c r="AI70" s="608"/>
      <c r="AJ70" s="607">
        <f t="shared" si="55"/>
        <v>0</v>
      </c>
      <c r="AK70" s="608"/>
      <c r="AL70" s="607">
        <f t="shared" si="56"/>
        <v>13660.874553304071</v>
      </c>
      <c r="AM70" s="608"/>
      <c r="AN70" s="607">
        <f t="shared" si="57"/>
        <v>0</v>
      </c>
      <c r="AO70" s="608"/>
      <c r="AP70" s="608">
        <f t="shared" si="58"/>
        <v>13660.874553304071</v>
      </c>
      <c r="AR70" s="608">
        <v>0</v>
      </c>
      <c r="AS70" s="608"/>
      <c r="AT70" s="798">
        <v>1866.4225233985958</v>
      </c>
      <c r="AU70" s="608"/>
      <c r="AV70" s="608">
        <v>0</v>
      </c>
      <c r="AW70" s="608"/>
      <c r="AX70" s="607">
        <f t="shared" si="59"/>
        <v>0</v>
      </c>
      <c r="AY70" s="608"/>
      <c r="AZ70" s="607">
        <f t="shared" si="60"/>
        <v>11794.452029905475</v>
      </c>
      <c r="BA70" s="608"/>
      <c r="BB70" s="607">
        <f t="shared" si="61"/>
        <v>0</v>
      </c>
      <c r="BC70" s="608"/>
      <c r="BD70" s="608">
        <f t="shared" si="62"/>
        <v>11794.452029905475</v>
      </c>
      <c r="BF70" s="709">
        <f t="shared" si="63"/>
        <v>16377.452955028957</v>
      </c>
      <c r="BH70" s="592">
        <f t="shared" si="53"/>
        <v>428</v>
      </c>
    </row>
    <row r="71" spans="1:60" ht="15">
      <c r="A71" s="592">
        <f t="shared" si="54"/>
        <v>429</v>
      </c>
      <c r="B71" s="624" t="s">
        <v>1463</v>
      </c>
      <c r="F71" s="712" t="s">
        <v>1404</v>
      </c>
      <c r="H71" s="720"/>
      <c r="J71" s="622">
        <v>10.21516955046464</v>
      </c>
      <c r="K71" s="608"/>
      <c r="L71" s="622">
        <v>6.1868835363948245</v>
      </c>
      <c r="M71" s="608"/>
      <c r="N71" s="622">
        <v>4.028286014069816</v>
      </c>
      <c r="P71" s="710" t="s">
        <v>1405</v>
      </c>
      <c r="R71" s="608">
        <v>0</v>
      </c>
      <c r="S71" s="608"/>
      <c r="T71" s="608">
        <f t="shared" si="64"/>
        <v>4.028286014069816</v>
      </c>
      <c r="U71" s="608"/>
      <c r="V71" s="608">
        <v>0</v>
      </c>
      <c r="W71" s="608"/>
      <c r="X71" s="608">
        <f t="shared" si="65"/>
        <v>4.028286014069816</v>
      </c>
      <c r="Y71" s="608"/>
      <c r="Z71" s="609" t="s">
        <v>1406</v>
      </c>
      <c r="AA71" s="608"/>
      <c r="AB71" s="608">
        <v>0</v>
      </c>
      <c r="AC71" s="608"/>
      <c r="AD71" s="622">
        <v>1.0134933955623704</v>
      </c>
      <c r="AE71" s="608"/>
      <c r="AF71" s="608">
        <v>0</v>
      </c>
      <c r="AG71" s="608"/>
      <c r="AH71" s="609" t="s">
        <v>1407</v>
      </c>
      <c r="AI71" s="608"/>
      <c r="AJ71" s="607">
        <f t="shared" si="55"/>
        <v>0</v>
      </c>
      <c r="AK71" s="608"/>
      <c r="AL71" s="607">
        <f t="shared" si="56"/>
        <v>3.0147926185074456</v>
      </c>
      <c r="AM71" s="608"/>
      <c r="AN71" s="607">
        <f t="shared" si="57"/>
        <v>0</v>
      </c>
      <c r="AO71" s="608"/>
      <c r="AP71" s="608">
        <f t="shared" si="58"/>
        <v>3.0147926185074456</v>
      </c>
      <c r="AR71" s="608">
        <v>0</v>
      </c>
      <c r="AS71" s="608"/>
      <c r="AT71" s="798">
        <v>0.4118972635757927</v>
      </c>
      <c r="AU71" s="608"/>
      <c r="AV71" s="608">
        <v>0</v>
      </c>
      <c r="AW71" s="608"/>
      <c r="AX71" s="607">
        <f t="shared" si="59"/>
        <v>0</v>
      </c>
      <c r="AY71" s="608"/>
      <c r="AZ71" s="607">
        <f t="shared" si="60"/>
        <v>2.6028953549316531</v>
      </c>
      <c r="BA71" s="608"/>
      <c r="BB71" s="607">
        <f t="shared" si="61"/>
        <v>0</v>
      </c>
      <c r="BC71" s="608"/>
      <c r="BD71" s="608">
        <f t="shared" si="62"/>
        <v>2.6028953549316531</v>
      </c>
      <c r="BF71" s="709">
        <f t="shared" si="63"/>
        <v>3.6143091780922858</v>
      </c>
      <c r="BH71" s="592">
        <f t="shared" si="53"/>
        <v>429</v>
      </c>
    </row>
    <row r="72" spans="1:60" ht="15">
      <c r="A72" s="592">
        <f t="shared" si="54"/>
        <v>430</v>
      </c>
      <c r="B72" s="624" t="s">
        <v>1464</v>
      </c>
      <c r="F72" s="712" t="s">
        <v>1404</v>
      </c>
      <c r="H72" s="720"/>
      <c r="J72" s="622">
        <v>79588.641600000003</v>
      </c>
      <c r="K72" s="608"/>
      <c r="L72" s="622">
        <v>47742.789596543997</v>
      </c>
      <c r="M72" s="608"/>
      <c r="N72" s="622">
        <v>31845.852003456002</v>
      </c>
      <c r="P72" s="710" t="s">
        <v>1405</v>
      </c>
      <c r="R72" s="608">
        <v>0</v>
      </c>
      <c r="S72" s="608"/>
      <c r="T72" s="608">
        <f t="shared" si="64"/>
        <v>31845.852003456002</v>
      </c>
      <c r="U72" s="608"/>
      <c r="V72" s="608">
        <v>0</v>
      </c>
      <c r="W72" s="608"/>
      <c r="X72" s="608">
        <f t="shared" si="65"/>
        <v>31845.852003456002</v>
      </c>
      <c r="Y72" s="608"/>
      <c r="Z72" s="609" t="s">
        <v>1406</v>
      </c>
      <c r="AA72" s="608"/>
      <c r="AB72" s="608">
        <v>0</v>
      </c>
      <c r="AC72" s="608"/>
      <c r="AD72" s="622">
        <v>8012.2316461216287</v>
      </c>
      <c r="AE72" s="608"/>
      <c r="AF72" s="608">
        <v>0</v>
      </c>
      <c r="AG72" s="608"/>
      <c r="AH72" s="609" t="s">
        <v>1407</v>
      </c>
      <c r="AI72" s="608"/>
      <c r="AJ72" s="607">
        <f t="shared" si="55"/>
        <v>0</v>
      </c>
      <c r="AK72" s="608"/>
      <c r="AL72" s="607">
        <f t="shared" si="56"/>
        <v>23833.620357334374</v>
      </c>
      <c r="AM72" s="608"/>
      <c r="AN72" s="607">
        <f t="shared" si="57"/>
        <v>0</v>
      </c>
      <c r="AO72" s="608"/>
      <c r="AP72" s="608">
        <f t="shared" si="58"/>
        <v>23833.620357334374</v>
      </c>
      <c r="AR72" s="608">
        <v>0</v>
      </c>
      <c r="AS72" s="608"/>
      <c r="AT72" s="798">
        <v>3256.2780424845637</v>
      </c>
      <c r="AU72" s="608"/>
      <c r="AV72" s="608">
        <v>0</v>
      </c>
      <c r="AW72" s="608"/>
      <c r="AX72" s="607">
        <f t="shared" si="59"/>
        <v>0</v>
      </c>
      <c r="AY72" s="608"/>
      <c r="AZ72" s="607">
        <f t="shared" si="60"/>
        <v>20577.342314849811</v>
      </c>
      <c r="BA72" s="608"/>
      <c r="BB72" s="607">
        <f t="shared" si="61"/>
        <v>0</v>
      </c>
      <c r="BC72" s="608"/>
      <c r="BD72" s="608">
        <f t="shared" si="62"/>
        <v>20577.342314849811</v>
      </c>
      <c r="BF72" s="709">
        <f t="shared" si="63"/>
        <v>28573.133779041731</v>
      </c>
      <c r="BH72" s="592">
        <f t="shared" si="53"/>
        <v>430</v>
      </c>
    </row>
    <row r="73" spans="1:60" ht="15">
      <c r="A73" s="592">
        <f t="shared" si="54"/>
        <v>431</v>
      </c>
      <c r="B73" s="624" t="s">
        <v>1465</v>
      </c>
      <c r="F73" s="712" t="s">
        <v>1404</v>
      </c>
      <c r="H73" s="720"/>
      <c r="J73" s="622">
        <v>138316.12419999999</v>
      </c>
      <c r="K73" s="608"/>
      <c r="L73" s="622">
        <v>82971.771394048003</v>
      </c>
      <c r="M73" s="608"/>
      <c r="N73" s="622">
        <v>55344.352805952003</v>
      </c>
      <c r="P73" s="710" t="s">
        <v>1405</v>
      </c>
      <c r="R73" s="608">
        <v>0</v>
      </c>
      <c r="S73" s="608"/>
      <c r="T73" s="608">
        <f t="shared" si="64"/>
        <v>55344.352805952003</v>
      </c>
      <c r="U73" s="608"/>
      <c r="V73" s="608">
        <v>0</v>
      </c>
      <c r="W73" s="608"/>
      <c r="X73" s="608">
        <f t="shared" si="65"/>
        <v>55344.352805952003</v>
      </c>
      <c r="Y73" s="608"/>
      <c r="Z73" s="609" t="s">
        <v>1406</v>
      </c>
      <c r="AA73" s="608"/>
      <c r="AB73" s="608">
        <v>0</v>
      </c>
      <c r="AC73" s="608"/>
      <c r="AD73" s="622">
        <v>13924.318147865743</v>
      </c>
      <c r="AE73" s="608"/>
      <c r="AF73" s="608">
        <v>0</v>
      </c>
      <c r="AG73" s="608"/>
      <c r="AH73" s="609" t="s">
        <v>1407</v>
      </c>
      <c r="AI73" s="608"/>
      <c r="AJ73" s="607">
        <f t="shared" si="55"/>
        <v>0</v>
      </c>
      <c r="AK73" s="608"/>
      <c r="AL73" s="607">
        <f t="shared" si="56"/>
        <v>41420.034658086261</v>
      </c>
      <c r="AM73" s="608"/>
      <c r="AN73" s="607">
        <f t="shared" si="57"/>
        <v>0</v>
      </c>
      <c r="AO73" s="608"/>
      <c r="AP73" s="608">
        <f t="shared" si="58"/>
        <v>41420.034658086261</v>
      </c>
      <c r="AR73" s="608">
        <v>0</v>
      </c>
      <c r="AS73" s="608"/>
      <c r="AT73" s="798">
        <v>5659.029025129641</v>
      </c>
      <c r="AU73" s="608"/>
      <c r="AV73" s="608">
        <v>0</v>
      </c>
      <c r="AW73" s="608"/>
      <c r="AX73" s="607">
        <f t="shared" si="59"/>
        <v>0</v>
      </c>
      <c r="AY73" s="608"/>
      <c r="AZ73" s="607">
        <f t="shared" si="60"/>
        <v>35761.005632956621</v>
      </c>
      <c r="BA73" s="608"/>
      <c r="BB73" s="607">
        <f t="shared" si="61"/>
        <v>0</v>
      </c>
      <c r="BC73" s="608"/>
      <c r="BD73" s="608">
        <f t="shared" si="62"/>
        <v>35761.005632956621</v>
      </c>
      <c r="BF73" s="709">
        <f t="shared" si="63"/>
        <v>49656.752674330593</v>
      </c>
      <c r="BH73" s="592">
        <f t="shared" si="53"/>
        <v>431</v>
      </c>
    </row>
    <row r="74" spans="1:60" ht="15">
      <c r="A74" s="592">
        <f t="shared" si="54"/>
        <v>432</v>
      </c>
      <c r="B74" s="624" t="s">
        <v>1466</v>
      </c>
      <c r="F74" s="712" t="s">
        <v>1404</v>
      </c>
      <c r="H74" s="720"/>
      <c r="J74" s="622">
        <v>42824.849600000001</v>
      </c>
      <c r="K74" s="608"/>
      <c r="L74" s="622">
        <v>25839.92877952</v>
      </c>
      <c r="M74" s="608"/>
      <c r="N74" s="622">
        <v>16984.920820480002</v>
      </c>
      <c r="P74" s="710" t="s">
        <v>1405</v>
      </c>
      <c r="R74" s="608">
        <v>0</v>
      </c>
      <c r="S74" s="608"/>
      <c r="T74" s="608">
        <f t="shared" si="64"/>
        <v>16984.920820480002</v>
      </c>
      <c r="U74" s="608"/>
      <c r="V74" s="608">
        <v>0</v>
      </c>
      <c r="W74" s="608"/>
      <c r="X74" s="608">
        <f t="shared" si="65"/>
        <v>16984.920820480002</v>
      </c>
      <c r="Y74" s="608"/>
      <c r="Z74" s="609" t="s">
        <v>1406</v>
      </c>
      <c r="AA74" s="608"/>
      <c r="AB74" s="608">
        <v>0</v>
      </c>
      <c r="AC74" s="608"/>
      <c r="AD74" s="622">
        <v>4273.307559488484</v>
      </c>
      <c r="AE74" s="608"/>
      <c r="AF74" s="608">
        <v>0</v>
      </c>
      <c r="AG74" s="608"/>
      <c r="AH74" s="609" t="s">
        <v>1407</v>
      </c>
      <c r="AI74" s="608"/>
      <c r="AJ74" s="607">
        <f t="shared" si="55"/>
        <v>0</v>
      </c>
      <c r="AK74" s="608"/>
      <c r="AL74" s="607">
        <f t="shared" si="56"/>
        <v>12711.613260991518</v>
      </c>
      <c r="AM74" s="608"/>
      <c r="AN74" s="607">
        <f t="shared" si="57"/>
        <v>0</v>
      </c>
      <c r="AO74" s="608"/>
      <c r="AP74" s="608">
        <f t="shared" si="58"/>
        <v>12711.613260991518</v>
      </c>
      <c r="AR74" s="608">
        <v>0</v>
      </c>
      <c r="AS74" s="608"/>
      <c r="AT74" s="798">
        <v>1736.729314545134</v>
      </c>
      <c r="AU74" s="608"/>
      <c r="AV74" s="608">
        <v>0</v>
      </c>
      <c r="AW74" s="608"/>
      <c r="AX74" s="607">
        <f t="shared" si="59"/>
        <v>0</v>
      </c>
      <c r="AY74" s="608"/>
      <c r="AZ74" s="607">
        <f t="shared" si="60"/>
        <v>10974.883946446385</v>
      </c>
      <c r="BA74" s="608"/>
      <c r="BB74" s="607">
        <f t="shared" si="61"/>
        <v>0</v>
      </c>
      <c r="BC74" s="608"/>
      <c r="BD74" s="608">
        <f t="shared" si="62"/>
        <v>10974.883946446385</v>
      </c>
      <c r="BF74" s="709">
        <f t="shared" si="63"/>
        <v>15239.423168120573</v>
      </c>
      <c r="BH74" s="592">
        <f t="shared" ref="BH74:BH99" si="66">A74</f>
        <v>432</v>
      </c>
    </row>
    <row r="75" spans="1:60" ht="15">
      <c r="A75" s="592">
        <f t="shared" si="54"/>
        <v>433</v>
      </c>
      <c r="B75" s="624" t="s">
        <v>1467</v>
      </c>
      <c r="F75" s="712" t="s">
        <v>1404</v>
      </c>
      <c r="H75" s="720"/>
      <c r="J75" s="622">
        <v>-176949.63399999999</v>
      </c>
      <c r="K75" s="608"/>
      <c r="L75" s="622">
        <v>-106152.043895808</v>
      </c>
      <c r="M75" s="608"/>
      <c r="N75" s="622">
        <v>-70797.590104192001</v>
      </c>
      <c r="P75" s="710" t="s">
        <v>1405</v>
      </c>
      <c r="R75" s="608">
        <v>0</v>
      </c>
      <c r="S75" s="608"/>
      <c r="T75" s="608">
        <f t="shared" si="64"/>
        <v>-70797.590104192001</v>
      </c>
      <c r="U75" s="608"/>
      <c r="V75" s="608">
        <v>0</v>
      </c>
      <c r="W75" s="608"/>
      <c r="X75" s="608">
        <f t="shared" si="65"/>
        <v>-70797.590104192001</v>
      </c>
      <c r="Y75" s="608"/>
      <c r="Z75" s="609" t="s">
        <v>1406</v>
      </c>
      <c r="AA75" s="608"/>
      <c r="AB75" s="608">
        <v>0</v>
      </c>
      <c r="AC75" s="608"/>
      <c r="AD75" s="622">
        <v>-17812.263017500532</v>
      </c>
      <c r="AE75" s="608"/>
      <c r="AF75" s="608">
        <v>0</v>
      </c>
      <c r="AG75" s="608"/>
      <c r="AH75" s="609" t="s">
        <v>1407</v>
      </c>
      <c r="AI75" s="608"/>
      <c r="AJ75" s="607">
        <f t="shared" si="55"/>
        <v>0</v>
      </c>
      <c r="AK75" s="608"/>
      <c r="AL75" s="607">
        <f t="shared" si="56"/>
        <v>-52985.327086691468</v>
      </c>
      <c r="AM75" s="608"/>
      <c r="AN75" s="607">
        <f t="shared" si="57"/>
        <v>0</v>
      </c>
      <c r="AO75" s="608"/>
      <c r="AP75" s="608">
        <f t="shared" si="58"/>
        <v>-52985.327086691468</v>
      </c>
      <c r="AR75" s="608">
        <v>0</v>
      </c>
      <c r="AS75" s="608"/>
      <c r="AT75" s="798">
        <v>-7239.1417912789502</v>
      </c>
      <c r="AU75" s="608"/>
      <c r="AV75" s="608">
        <v>0</v>
      </c>
      <c r="AW75" s="608"/>
      <c r="AX75" s="607">
        <f t="shared" ref="AX75:AX99" si="67">+AJ75-AR75</f>
        <v>0</v>
      </c>
      <c r="AY75" s="608"/>
      <c r="AZ75" s="607">
        <f t="shared" ref="AZ75:AZ99" si="68">+AL75-AT75</f>
        <v>-45746.185295412521</v>
      </c>
      <c r="BA75" s="608"/>
      <c r="BB75" s="607">
        <f t="shared" ref="BB75:BB99" si="69">+AN75-AV75</f>
        <v>0</v>
      </c>
      <c r="BC75" s="608"/>
      <c r="BD75" s="608">
        <f t="shared" si="62"/>
        <v>-45746.185295412521</v>
      </c>
      <c r="BF75" s="709">
        <f t="shared" si="63"/>
        <v>-63521.899588722175</v>
      </c>
      <c r="BH75" s="592">
        <f t="shared" si="66"/>
        <v>433</v>
      </c>
    </row>
    <row r="76" spans="1:60" ht="15">
      <c r="A76" s="592">
        <f t="shared" si="54"/>
        <v>434</v>
      </c>
      <c r="B76" s="624" t="s">
        <v>1468</v>
      </c>
      <c r="F76" s="712" t="s">
        <v>1404</v>
      </c>
      <c r="H76" s="720"/>
      <c r="J76" s="622">
        <v>19042.077400000002</v>
      </c>
      <c r="K76" s="608"/>
      <c r="L76" s="622">
        <v>11423.045504128</v>
      </c>
      <c r="M76" s="608"/>
      <c r="N76" s="622">
        <v>7619.0318958720009</v>
      </c>
      <c r="P76" s="710" t="s">
        <v>1405</v>
      </c>
      <c r="R76" s="608">
        <v>0</v>
      </c>
      <c r="S76" s="608"/>
      <c r="T76" s="608">
        <f t="shared" si="64"/>
        <v>7619.0318958720009</v>
      </c>
      <c r="U76" s="608"/>
      <c r="V76" s="608">
        <v>0</v>
      </c>
      <c r="W76" s="608"/>
      <c r="X76" s="608">
        <f t="shared" si="65"/>
        <v>7619.0318958720009</v>
      </c>
      <c r="Y76" s="608"/>
      <c r="Z76" s="609" t="s">
        <v>1406</v>
      </c>
      <c r="AA76" s="608"/>
      <c r="AB76" s="608">
        <v>0</v>
      </c>
      <c r="AC76" s="608"/>
      <c r="AD76" s="622">
        <v>1916.90423174393</v>
      </c>
      <c r="AE76" s="608"/>
      <c r="AF76" s="608">
        <v>0</v>
      </c>
      <c r="AG76" s="608"/>
      <c r="AH76" s="609" t="s">
        <v>1407</v>
      </c>
      <c r="AI76" s="608"/>
      <c r="AJ76" s="607">
        <f t="shared" si="55"/>
        <v>0</v>
      </c>
      <c r="AK76" s="608"/>
      <c r="AL76" s="607">
        <f t="shared" si="56"/>
        <v>5702.127664128071</v>
      </c>
      <c r="AM76" s="608"/>
      <c r="AN76" s="607">
        <f t="shared" si="57"/>
        <v>0</v>
      </c>
      <c r="AO76" s="608"/>
      <c r="AP76" s="608">
        <f t="shared" si="58"/>
        <v>5702.127664128071</v>
      </c>
      <c r="AR76" s="608">
        <v>0</v>
      </c>
      <c r="AS76" s="608"/>
      <c r="AT76" s="798">
        <v>779.05550351816976</v>
      </c>
      <c r="AU76" s="608"/>
      <c r="AV76" s="608">
        <v>0</v>
      </c>
      <c r="AW76" s="608"/>
      <c r="AX76" s="607">
        <f t="shared" si="67"/>
        <v>0</v>
      </c>
      <c r="AY76" s="608"/>
      <c r="AZ76" s="607">
        <f t="shared" si="68"/>
        <v>4923.0721606099014</v>
      </c>
      <c r="BA76" s="608"/>
      <c r="BB76" s="607">
        <f t="shared" si="69"/>
        <v>0</v>
      </c>
      <c r="BC76" s="608"/>
      <c r="BD76" s="608">
        <f t="shared" si="62"/>
        <v>4923.0721606099014</v>
      </c>
      <c r="BF76" s="709">
        <f t="shared" si="63"/>
        <v>6836.0431243576477</v>
      </c>
      <c r="BH76" s="592">
        <f t="shared" si="66"/>
        <v>434</v>
      </c>
    </row>
    <row r="77" spans="1:60" ht="15">
      <c r="A77" s="592">
        <f t="shared" si="54"/>
        <v>435</v>
      </c>
      <c r="B77" s="624" t="s">
        <v>1469</v>
      </c>
      <c r="F77" s="712" t="s">
        <v>1404</v>
      </c>
      <c r="H77" s="720"/>
      <c r="J77" s="622">
        <v>186182.91084647487</v>
      </c>
      <c r="K77" s="608"/>
      <c r="L77" s="622">
        <v>112339.01732682377</v>
      </c>
      <c r="M77" s="608"/>
      <c r="N77" s="622">
        <v>73843.893519651116</v>
      </c>
      <c r="P77" s="710" t="s">
        <v>1405</v>
      </c>
      <c r="R77" s="608">
        <v>0</v>
      </c>
      <c r="S77" s="608"/>
      <c r="T77" s="608">
        <f t="shared" si="64"/>
        <v>73843.893519651116</v>
      </c>
      <c r="U77" s="608"/>
      <c r="V77" s="608">
        <v>0</v>
      </c>
      <c r="W77" s="608"/>
      <c r="X77" s="608">
        <f t="shared" si="65"/>
        <v>73843.893519651116</v>
      </c>
      <c r="Y77" s="608"/>
      <c r="Z77" s="609" t="s">
        <v>1406</v>
      </c>
      <c r="AA77" s="608"/>
      <c r="AB77" s="608">
        <v>0</v>
      </c>
      <c r="AC77" s="608"/>
      <c r="AD77" s="622">
        <v>18578.695287121744</v>
      </c>
      <c r="AE77" s="608"/>
      <c r="AF77" s="608">
        <v>0</v>
      </c>
      <c r="AG77" s="608"/>
      <c r="AH77" s="609" t="s">
        <v>1407</v>
      </c>
      <c r="AI77" s="608"/>
      <c r="AJ77" s="607">
        <f t="shared" si="55"/>
        <v>0</v>
      </c>
      <c r="AK77" s="608"/>
      <c r="AL77" s="607">
        <f t="shared" si="56"/>
        <v>55265.198232529372</v>
      </c>
      <c r="AM77" s="608"/>
      <c r="AN77" s="607">
        <f t="shared" si="57"/>
        <v>0</v>
      </c>
      <c r="AO77" s="608"/>
      <c r="AP77" s="608">
        <f t="shared" si="58"/>
        <v>55265.198232529372</v>
      </c>
      <c r="AR77" s="608">
        <v>0</v>
      </c>
      <c r="AS77" s="608"/>
      <c r="AT77" s="798">
        <v>7550.6301107445033</v>
      </c>
      <c r="AU77" s="608"/>
      <c r="AV77" s="608">
        <v>0</v>
      </c>
      <c r="AW77" s="608"/>
      <c r="AX77" s="607">
        <f t="shared" si="67"/>
        <v>0</v>
      </c>
      <c r="AY77" s="608"/>
      <c r="AZ77" s="607">
        <f t="shared" si="68"/>
        <v>47714.568121784869</v>
      </c>
      <c r="BA77" s="608"/>
      <c r="BB77" s="607">
        <f t="shared" si="69"/>
        <v>0</v>
      </c>
      <c r="BC77" s="608"/>
      <c r="BD77" s="608">
        <f t="shared" si="62"/>
        <v>47714.568121784869</v>
      </c>
      <c r="BF77" s="709">
        <f t="shared" si="63"/>
        <v>66255.142053455696</v>
      </c>
      <c r="BH77" s="592">
        <f t="shared" si="66"/>
        <v>435</v>
      </c>
    </row>
    <row r="78" spans="1:60" ht="15">
      <c r="A78" s="592">
        <f t="shared" si="54"/>
        <v>436</v>
      </c>
      <c r="B78" s="624" t="s">
        <v>1470</v>
      </c>
      <c r="F78" s="712" t="s">
        <v>1404</v>
      </c>
      <c r="H78" s="720"/>
      <c r="J78" s="622">
        <v>-44233.094088579019</v>
      </c>
      <c r="K78" s="608"/>
      <c r="L78" s="622">
        <v>-26689.47596975568</v>
      </c>
      <c r="M78" s="608"/>
      <c r="N78" s="622">
        <v>-17543.618118823335</v>
      </c>
      <c r="P78" s="710" t="s">
        <v>1405</v>
      </c>
      <c r="R78" s="608">
        <v>0</v>
      </c>
      <c r="S78" s="608"/>
      <c r="T78" s="608">
        <f t="shared" si="64"/>
        <v>-17543.618118823335</v>
      </c>
      <c r="U78" s="608"/>
      <c r="V78" s="608">
        <v>0</v>
      </c>
      <c r="W78" s="608"/>
      <c r="X78" s="608">
        <f t="shared" si="65"/>
        <v>-17543.618118823335</v>
      </c>
      <c r="Y78" s="608"/>
      <c r="Z78" s="609" t="s">
        <v>1406</v>
      </c>
      <c r="AA78" s="608"/>
      <c r="AB78" s="608">
        <v>0</v>
      </c>
      <c r="AC78" s="608"/>
      <c r="AD78" s="622">
        <v>-4413.8725590966997</v>
      </c>
      <c r="AE78" s="608"/>
      <c r="AF78" s="608">
        <v>0</v>
      </c>
      <c r="AG78" s="608"/>
      <c r="AH78" s="609" t="s">
        <v>1407</v>
      </c>
      <c r="AI78" s="608"/>
      <c r="AJ78" s="607">
        <f t="shared" si="55"/>
        <v>0</v>
      </c>
      <c r="AK78" s="608"/>
      <c r="AL78" s="607">
        <f t="shared" si="56"/>
        <v>-13129.745559726634</v>
      </c>
      <c r="AM78" s="608"/>
      <c r="AN78" s="607">
        <f t="shared" si="57"/>
        <v>0</v>
      </c>
      <c r="AO78" s="608"/>
      <c r="AP78" s="608">
        <f t="shared" si="58"/>
        <v>-13129.745559726634</v>
      </c>
      <c r="AR78" s="608">
        <v>0</v>
      </c>
      <c r="AS78" s="608"/>
      <c r="AT78" s="798">
        <v>-1793.8568093533561</v>
      </c>
      <c r="AU78" s="608"/>
      <c r="AV78" s="608">
        <v>0</v>
      </c>
      <c r="AW78" s="608"/>
      <c r="AX78" s="607">
        <f t="shared" si="67"/>
        <v>0</v>
      </c>
      <c r="AY78" s="608"/>
      <c r="AZ78" s="607">
        <f t="shared" si="68"/>
        <v>-11335.888750373279</v>
      </c>
      <c r="BA78" s="608"/>
      <c r="BB78" s="607">
        <f t="shared" si="69"/>
        <v>0</v>
      </c>
      <c r="BC78" s="608"/>
      <c r="BD78" s="608">
        <f t="shared" si="62"/>
        <v>-11335.888750373279</v>
      </c>
      <c r="BF78" s="709">
        <f t="shared" si="63"/>
        <v>-15740.704548371312</v>
      </c>
      <c r="BH78" s="592">
        <f t="shared" si="66"/>
        <v>436</v>
      </c>
    </row>
    <row r="79" spans="1:60" ht="15">
      <c r="A79" s="592">
        <f t="shared" si="54"/>
        <v>437</v>
      </c>
      <c r="B79" s="624" t="s">
        <v>1471</v>
      </c>
      <c r="F79" s="712" t="s">
        <v>1404</v>
      </c>
      <c r="H79" s="720"/>
      <c r="J79" s="622">
        <v>617494.83598150895</v>
      </c>
      <c r="K79" s="608"/>
      <c r="L79" s="622">
        <v>372585.0544452038</v>
      </c>
      <c r="M79" s="608"/>
      <c r="N79" s="622">
        <v>244909.78153630506</v>
      </c>
      <c r="P79" s="710" t="s">
        <v>1405</v>
      </c>
      <c r="R79" s="608">
        <v>0</v>
      </c>
      <c r="S79" s="608"/>
      <c r="T79" s="608">
        <f t="shared" si="64"/>
        <v>244909.78153630506</v>
      </c>
      <c r="U79" s="608"/>
      <c r="V79" s="608">
        <v>0</v>
      </c>
      <c r="W79" s="608"/>
      <c r="X79" s="608">
        <f t="shared" si="65"/>
        <v>244909.78153630506</v>
      </c>
      <c r="Y79" s="608"/>
      <c r="Z79" s="609" t="s">
        <v>1406</v>
      </c>
      <c r="AA79" s="608"/>
      <c r="AB79" s="608">
        <v>0</v>
      </c>
      <c r="AC79" s="608"/>
      <c r="AD79" s="622">
        <v>61617.880465467417</v>
      </c>
      <c r="AE79" s="608"/>
      <c r="AF79" s="608">
        <v>0</v>
      </c>
      <c r="AG79" s="608"/>
      <c r="AH79" s="609" t="s">
        <v>1407</v>
      </c>
      <c r="AI79" s="608"/>
      <c r="AJ79" s="607">
        <f t="shared" si="55"/>
        <v>0</v>
      </c>
      <c r="AK79" s="608"/>
      <c r="AL79" s="607">
        <f t="shared" si="56"/>
        <v>183291.90107083763</v>
      </c>
      <c r="AM79" s="608"/>
      <c r="AN79" s="607">
        <f t="shared" si="57"/>
        <v>0</v>
      </c>
      <c r="AO79" s="608"/>
      <c r="AP79" s="608">
        <f t="shared" si="58"/>
        <v>183291.90107083763</v>
      </c>
      <c r="AR79" s="608">
        <v>0</v>
      </c>
      <c r="AS79" s="608"/>
      <c r="AT79" s="798">
        <v>25042.330282757554</v>
      </c>
      <c r="AU79" s="608"/>
      <c r="AV79" s="608">
        <v>0</v>
      </c>
      <c r="AW79" s="608"/>
      <c r="AX79" s="607">
        <f t="shared" si="67"/>
        <v>0</v>
      </c>
      <c r="AY79" s="608"/>
      <c r="AZ79" s="607">
        <f t="shared" si="68"/>
        <v>158249.57078808008</v>
      </c>
      <c r="BA79" s="608"/>
      <c r="BB79" s="607">
        <f t="shared" si="69"/>
        <v>0</v>
      </c>
      <c r="BC79" s="608"/>
      <c r="BD79" s="608">
        <f t="shared" si="62"/>
        <v>158249.57078808008</v>
      </c>
      <c r="BF79" s="709">
        <f t="shared" si="63"/>
        <v>219741.01841813818</v>
      </c>
      <c r="BH79" s="592">
        <f t="shared" si="66"/>
        <v>437</v>
      </c>
    </row>
    <row r="80" spans="1:60" ht="15">
      <c r="A80" s="592">
        <f t="shared" si="54"/>
        <v>438</v>
      </c>
      <c r="B80" s="624" t="s">
        <v>1472</v>
      </c>
      <c r="F80" s="712" t="s">
        <v>1404</v>
      </c>
      <c r="H80" s="720"/>
      <c r="J80" s="622">
        <v>1864201.3516246921</v>
      </c>
      <c r="K80" s="608"/>
      <c r="L80" s="622">
        <v>1124691.1101175349</v>
      </c>
      <c r="M80" s="608"/>
      <c r="N80" s="622">
        <v>739510.24150715722</v>
      </c>
      <c r="P80" s="710" t="s">
        <v>1405</v>
      </c>
      <c r="R80" s="608">
        <v>0</v>
      </c>
      <c r="S80" s="608"/>
      <c r="T80" s="608">
        <f t="shared" si="64"/>
        <v>739510.24150715722</v>
      </c>
      <c r="U80" s="608"/>
      <c r="V80" s="608">
        <v>0</v>
      </c>
      <c r="W80" s="608"/>
      <c r="X80" s="608">
        <f t="shared" si="65"/>
        <v>739510.24150715722</v>
      </c>
      <c r="Y80" s="608"/>
      <c r="Z80" s="609" t="s">
        <v>1406</v>
      </c>
      <c r="AA80" s="608"/>
      <c r="AB80" s="608">
        <v>0</v>
      </c>
      <c r="AC80" s="608"/>
      <c r="AD80" s="622">
        <v>186056.48732499551</v>
      </c>
      <c r="AE80" s="608"/>
      <c r="AF80" s="608">
        <v>0</v>
      </c>
      <c r="AG80" s="608"/>
      <c r="AH80" s="609" t="s">
        <v>1407</v>
      </c>
      <c r="AI80" s="608"/>
      <c r="AJ80" s="607">
        <f t="shared" si="55"/>
        <v>0</v>
      </c>
      <c r="AK80" s="608"/>
      <c r="AL80" s="607">
        <f t="shared" si="56"/>
        <v>553453.75418216176</v>
      </c>
      <c r="AM80" s="608"/>
      <c r="AN80" s="607">
        <f t="shared" si="57"/>
        <v>0</v>
      </c>
      <c r="AO80" s="608"/>
      <c r="AP80" s="608">
        <f t="shared" si="58"/>
        <v>553453.75418216176</v>
      </c>
      <c r="AR80" s="608">
        <v>0</v>
      </c>
      <c r="AS80" s="608"/>
      <c r="AT80" s="798">
        <v>75615.843512394771</v>
      </c>
      <c r="AU80" s="608"/>
      <c r="AV80" s="608">
        <v>0</v>
      </c>
      <c r="AW80" s="608"/>
      <c r="AX80" s="607">
        <f t="shared" si="67"/>
        <v>0</v>
      </c>
      <c r="AY80" s="608"/>
      <c r="AZ80" s="607">
        <f t="shared" si="68"/>
        <v>477837.91066976701</v>
      </c>
      <c r="BA80" s="608"/>
      <c r="BB80" s="607">
        <f t="shared" si="69"/>
        <v>0</v>
      </c>
      <c r="BC80" s="608"/>
      <c r="BD80" s="608">
        <f t="shared" si="62"/>
        <v>477837.91066976701</v>
      </c>
      <c r="BF80" s="709">
        <f t="shared" si="63"/>
        <v>663512.63138641615</v>
      </c>
      <c r="BH80" s="592">
        <f t="shared" si="66"/>
        <v>438</v>
      </c>
    </row>
    <row r="81" spans="1:60" ht="15">
      <c r="A81" s="592">
        <f t="shared" si="54"/>
        <v>439</v>
      </c>
      <c r="B81" s="624" t="s">
        <v>1473</v>
      </c>
      <c r="F81" s="712" t="s">
        <v>1404</v>
      </c>
      <c r="H81" s="720"/>
      <c r="J81" s="622">
        <v>-122080.81916864363</v>
      </c>
      <c r="K81" s="608"/>
      <c r="L81" s="622">
        <v>-73662.261069185886</v>
      </c>
      <c r="M81" s="608"/>
      <c r="N81" s="622">
        <v>-48418.558099457739</v>
      </c>
      <c r="P81" s="710" t="s">
        <v>1405</v>
      </c>
      <c r="R81" s="608">
        <v>0</v>
      </c>
      <c r="S81" s="608"/>
      <c r="T81" s="608">
        <f t="shared" si="64"/>
        <v>-48418.558099457739</v>
      </c>
      <c r="U81" s="608"/>
      <c r="V81" s="608">
        <v>0</v>
      </c>
      <c r="W81" s="608"/>
      <c r="X81" s="608">
        <f t="shared" si="65"/>
        <v>-48418.558099457739</v>
      </c>
      <c r="Y81" s="608"/>
      <c r="Z81" s="609" t="s">
        <v>1406</v>
      </c>
      <c r="AA81" s="608"/>
      <c r="AB81" s="608">
        <v>0</v>
      </c>
      <c r="AC81" s="608"/>
      <c r="AD81" s="622">
        <v>-12181.828371932193</v>
      </c>
      <c r="AE81" s="608"/>
      <c r="AF81" s="608">
        <v>0</v>
      </c>
      <c r="AG81" s="608"/>
      <c r="AH81" s="609" t="s">
        <v>1407</v>
      </c>
      <c r="AI81" s="608"/>
      <c r="AJ81" s="607">
        <f t="shared" si="55"/>
        <v>0</v>
      </c>
      <c r="AK81" s="608"/>
      <c r="AL81" s="607">
        <f t="shared" si="56"/>
        <v>-36236.729727525548</v>
      </c>
      <c r="AM81" s="608"/>
      <c r="AN81" s="607">
        <f t="shared" si="57"/>
        <v>0</v>
      </c>
      <c r="AO81" s="608"/>
      <c r="AP81" s="608">
        <f t="shared" si="58"/>
        <v>-36236.729727525548</v>
      </c>
      <c r="AR81" s="608">
        <v>0</v>
      </c>
      <c r="AS81" s="608"/>
      <c r="AT81" s="798">
        <v>-4950.8578878943845</v>
      </c>
      <c r="AU81" s="608"/>
      <c r="AV81" s="608">
        <v>0</v>
      </c>
      <c r="AW81" s="608"/>
      <c r="AX81" s="607">
        <f t="shared" si="67"/>
        <v>0</v>
      </c>
      <c r="AY81" s="608"/>
      <c r="AZ81" s="607">
        <f t="shared" si="68"/>
        <v>-31285.871839631163</v>
      </c>
      <c r="BA81" s="608"/>
      <c r="BB81" s="607">
        <f t="shared" si="69"/>
        <v>0</v>
      </c>
      <c r="BC81" s="608"/>
      <c r="BD81" s="608">
        <f t="shared" si="62"/>
        <v>-31285.871839631163</v>
      </c>
      <c r="BF81" s="709">
        <f t="shared" si="63"/>
        <v>-43442.704494575068</v>
      </c>
      <c r="BH81" s="592">
        <f t="shared" si="66"/>
        <v>439</v>
      </c>
    </row>
    <row r="82" spans="1:60" ht="15">
      <c r="A82" s="592">
        <f t="shared" si="54"/>
        <v>440</v>
      </c>
      <c r="B82" s="624" t="s">
        <v>1474</v>
      </c>
      <c r="F82" s="712" t="s">
        <v>1404</v>
      </c>
      <c r="H82" s="720"/>
      <c r="J82" s="622">
        <v>-34475.896786654914</v>
      </c>
      <c r="K82" s="608"/>
      <c r="L82" s="622">
        <v>-20681.103871194482</v>
      </c>
      <c r="M82" s="608"/>
      <c r="N82" s="622">
        <v>-13794.792915460432</v>
      </c>
      <c r="P82" s="710" t="s">
        <v>1405</v>
      </c>
      <c r="R82" s="608">
        <v>0</v>
      </c>
      <c r="S82" s="608"/>
      <c r="T82" s="608">
        <f t="shared" si="64"/>
        <v>-13794.792915460432</v>
      </c>
      <c r="U82" s="608"/>
      <c r="V82" s="608">
        <v>0</v>
      </c>
      <c r="W82" s="608"/>
      <c r="X82" s="608">
        <f t="shared" si="65"/>
        <v>-13794.792915460432</v>
      </c>
      <c r="Y82" s="608"/>
      <c r="Z82" s="609" t="s">
        <v>1406</v>
      </c>
      <c r="AA82" s="608"/>
      <c r="AB82" s="608">
        <v>0</v>
      </c>
      <c r="AC82" s="608"/>
      <c r="AD82" s="622">
        <v>-3470.6898825301273</v>
      </c>
      <c r="AE82" s="608"/>
      <c r="AF82" s="608">
        <v>0</v>
      </c>
      <c r="AG82" s="608"/>
      <c r="AH82" s="609" t="s">
        <v>1407</v>
      </c>
      <c r="AI82" s="608"/>
      <c r="AJ82" s="607">
        <f t="shared" si="55"/>
        <v>0</v>
      </c>
      <c r="AK82" s="608"/>
      <c r="AL82" s="607">
        <f t="shared" si="56"/>
        <v>-10324.103032930305</v>
      </c>
      <c r="AM82" s="608"/>
      <c r="AN82" s="607">
        <f t="shared" si="57"/>
        <v>0</v>
      </c>
      <c r="AO82" s="608"/>
      <c r="AP82" s="608">
        <f t="shared" si="58"/>
        <v>-10324.103032930305</v>
      </c>
      <c r="AR82" s="608">
        <v>0</v>
      </c>
      <c r="AS82" s="608"/>
      <c r="AT82" s="798">
        <v>-1410.5347618383896</v>
      </c>
      <c r="AU82" s="608"/>
      <c r="AV82" s="608">
        <v>0</v>
      </c>
      <c r="AW82" s="608"/>
      <c r="AX82" s="607">
        <f t="shared" si="67"/>
        <v>0</v>
      </c>
      <c r="AY82" s="608"/>
      <c r="AZ82" s="607">
        <f t="shared" si="68"/>
        <v>-8913.5682710919154</v>
      </c>
      <c r="BA82" s="608"/>
      <c r="BB82" s="607">
        <f t="shared" si="69"/>
        <v>0</v>
      </c>
      <c r="BC82" s="608"/>
      <c r="BD82" s="608">
        <f t="shared" si="62"/>
        <v>-8913.5682710919154</v>
      </c>
      <c r="BF82" s="709">
        <f t="shared" si="63"/>
        <v>-12377.136695380379</v>
      </c>
      <c r="BH82" s="592">
        <f t="shared" si="66"/>
        <v>440</v>
      </c>
    </row>
    <row r="83" spans="1:60" ht="15">
      <c r="A83" s="592">
        <f t="shared" si="54"/>
        <v>441</v>
      </c>
      <c r="B83" s="624" t="s">
        <v>1475</v>
      </c>
      <c r="F83" s="712" t="s">
        <v>1404</v>
      </c>
      <c r="H83" s="720"/>
      <c r="J83" s="622">
        <v>73984.116584648276</v>
      </c>
      <c r="K83" s="608"/>
      <c r="L83" s="622">
        <v>58565.418742607122</v>
      </c>
      <c r="M83" s="608"/>
      <c r="N83" s="622">
        <v>15418.697842041158</v>
      </c>
      <c r="P83" s="710" t="s">
        <v>1405</v>
      </c>
      <c r="R83" s="608">
        <v>0</v>
      </c>
      <c r="S83" s="608"/>
      <c r="T83" s="608">
        <f t="shared" si="64"/>
        <v>15418.697842041158</v>
      </c>
      <c r="U83" s="608"/>
      <c r="V83" s="608">
        <v>0</v>
      </c>
      <c r="W83" s="608"/>
      <c r="X83" s="608">
        <f t="shared" si="65"/>
        <v>15418.697842041158</v>
      </c>
      <c r="Y83" s="608"/>
      <c r="Z83" s="609" t="s">
        <v>1406</v>
      </c>
      <c r="AA83" s="608"/>
      <c r="AB83" s="608">
        <v>0</v>
      </c>
      <c r="AC83" s="608"/>
      <c r="AD83" s="622">
        <v>3879.2549427970312</v>
      </c>
      <c r="AE83" s="608"/>
      <c r="AF83" s="608">
        <v>0</v>
      </c>
      <c r="AG83" s="608"/>
      <c r="AH83" s="609" t="s">
        <v>1407</v>
      </c>
      <c r="AI83" s="608"/>
      <c r="AJ83" s="607">
        <f t="shared" si="55"/>
        <v>0</v>
      </c>
      <c r="AK83" s="608"/>
      <c r="AL83" s="607">
        <f t="shared" si="56"/>
        <v>11539.442899244126</v>
      </c>
      <c r="AM83" s="608"/>
      <c r="AN83" s="607">
        <f t="shared" si="57"/>
        <v>0</v>
      </c>
      <c r="AO83" s="608"/>
      <c r="AP83" s="608">
        <f t="shared" si="58"/>
        <v>11539.442899244126</v>
      </c>
      <c r="AR83" s="608">
        <v>0</v>
      </c>
      <c r="AS83" s="608"/>
      <c r="AT83" s="798">
        <v>1576.5810637220216</v>
      </c>
      <c r="AU83" s="608"/>
      <c r="AV83" s="608">
        <v>0</v>
      </c>
      <c r="AW83" s="608"/>
      <c r="AX83" s="607">
        <f t="shared" si="67"/>
        <v>0</v>
      </c>
      <c r="AY83" s="608"/>
      <c r="AZ83" s="607">
        <f t="shared" si="68"/>
        <v>9962.8618355221042</v>
      </c>
      <c r="BA83" s="608"/>
      <c r="BB83" s="607">
        <f t="shared" si="69"/>
        <v>0</v>
      </c>
      <c r="BC83" s="608"/>
      <c r="BD83" s="608">
        <f t="shared" si="62"/>
        <v>9962.8618355221042</v>
      </c>
      <c r="BF83" s="709">
        <f t="shared" si="63"/>
        <v>13834.15699135489</v>
      </c>
      <c r="BH83" s="592">
        <f t="shared" si="66"/>
        <v>441</v>
      </c>
    </row>
    <row r="84" spans="1:60" ht="15">
      <c r="A84" s="592">
        <f t="shared" si="54"/>
        <v>442</v>
      </c>
      <c r="B84" s="624" t="s">
        <v>1476</v>
      </c>
      <c r="F84" s="712" t="s">
        <v>1404</v>
      </c>
      <c r="H84" s="720"/>
      <c r="J84" s="622">
        <v>928.07819827603748</v>
      </c>
      <c r="K84" s="608"/>
      <c r="L84" s="622">
        <v>556.76096732724022</v>
      </c>
      <c r="M84" s="608"/>
      <c r="N84" s="622">
        <v>371.31723094879726</v>
      </c>
      <c r="P84" s="710" t="s">
        <v>1405</v>
      </c>
      <c r="R84" s="608">
        <v>0</v>
      </c>
      <c r="S84" s="608"/>
      <c r="T84" s="608">
        <f t="shared" si="64"/>
        <v>371.31723094879726</v>
      </c>
      <c r="U84" s="608"/>
      <c r="V84" s="608">
        <v>0</v>
      </c>
      <c r="W84" s="608"/>
      <c r="X84" s="608">
        <f t="shared" si="65"/>
        <v>371.31723094879726</v>
      </c>
      <c r="Y84" s="608"/>
      <c r="Z84" s="609" t="s">
        <v>1406</v>
      </c>
      <c r="AA84" s="608"/>
      <c r="AB84" s="608">
        <v>0</v>
      </c>
      <c r="AC84" s="608"/>
      <c r="AD84" s="622">
        <v>93.421261526786694</v>
      </c>
      <c r="AE84" s="608"/>
      <c r="AF84" s="608">
        <v>0</v>
      </c>
      <c r="AG84" s="608"/>
      <c r="AH84" s="609" t="s">
        <v>1407</v>
      </c>
      <c r="AI84" s="608"/>
      <c r="AJ84" s="607">
        <f t="shared" si="55"/>
        <v>0</v>
      </c>
      <c r="AK84" s="608"/>
      <c r="AL84" s="607">
        <f t="shared" si="56"/>
        <v>277.89596942201058</v>
      </c>
      <c r="AM84" s="608"/>
      <c r="AN84" s="607">
        <f t="shared" si="57"/>
        <v>0</v>
      </c>
      <c r="AO84" s="608"/>
      <c r="AP84" s="608">
        <f t="shared" si="58"/>
        <v>277.89596942201058</v>
      </c>
      <c r="AR84" s="608">
        <v>0</v>
      </c>
      <c r="AS84" s="608"/>
      <c r="AT84" s="798">
        <v>37.967649469812315</v>
      </c>
      <c r="AU84" s="608"/>
      <c r="AV84" s="608">
        <v>0</v>
      </c>
      <c r="AW84" s="608"/>
      <c r="AX84" s="607">
        <f t="shared" si="67"/>
        <v>0</v>
      </c>
      <c r="AY84" s="608"/>
      <c r="AZ84" s="607">
        <f t="shared" si="68"/>
        <v>239.92831995219825</v>
      </c>
      <c r="BA84" s="608"/>
      <c r="BB84" s="607">
        <f t="shared" si="69"/>
        <v>0</v>
      </c>
      <c r="BC84" s="608"/>
      <c r="BD84" s="608">
        <f t="shared" si="62"/>
        <v>239.92831995219825</v>
      </c>
      <c r="BF84" s="709">
        <f t="shared" si="63"/>
        <v>333.15789174715513</v>
      </c>
      <c r="BH84" s="592">
        <f t="shared" si="66"/>
        <v>442</v>
      </c>
    </row>
    <row r="85" spans="1:60" ht="15">
      <c r="A85" s="592">
        <f t="shared" si="54"/>
        <v>443</v>
      </c>
      <c r="B85" s="624" t="s">
        <v>1477</v>
      </c>
      <c r="F85" s="712" t="s">
        <v>1404</v>
      </c>
      <c r="H85" s="720"/>
      <c r="J85" s="622">
        <v>19298495.997185547</v>
      </c>
      <c r="K85" s="608"/>
      <c r="L85" s="622">
        <v>11429050.618671767</v>
      </c>
      <c r="M85" s="608"/>
      <c r="N85" s="622">
        <v>7869445.3785137795</v>
      </c>
      <c r="P85" s="710" t="s">
        <v>1405</v>
      </c>
      <c r="R85" s="608">
        <v>0</v>
      </c>
      <c r="S85" s="608"/>
      <c r="T85" s="608">
        <f t="shared" si="64"/>
        <v>7869445.3785137795</v>
      </c>
      <c r="U85" s="608"/>
      <c r="V85" s="608">
        <v>0</v>
      </c>
      <c r="W85" s="608"/>
      <c r="X85" s="608">
        <f t="shared" si="65"/>
        <v>7869445.3785137795</v>
      </c>
      <c r="Y85" s="608"/>
      <c r="Z85" s="609" t="s">
        <v>1406</v>
      </c>
      <c r="AA85" s="608"/>
      <c r="AB85" s="608">
        <v>0</v>
      </c>
      <c r="AC85" s="608"/>
      <c r="AD85" s="622">
        <v>1979906.8114839932</v>
      </c>
      <c r="AE85" s="608"/>
      <c r="AF85" s="608">
        <v>0</v>
      </c>
      <c r="AG85" s="608"/>
      <c r="AH85" s="609" t="s">
        <v>1407</v>
      </c>
      <c r="AI85" s="608"/>
      <c r="AJ85" s="607">
        <f t="shared" si="55"/>
        <v>0</v>
      </c>
      <c r="AK85" s="608"/>
      <c r="AL85" s="607">
        <f t="shared" si="56"/>
        <v>5889538.5670297863</v>
      </c>
      <c r="AM85" s="608"/>
      <c r="AN85" s="607">
        <f t="shared" si="57"/>
        <v>0</v>
      </c>
      <c r="AO85" s="608"/>
      <c r="AP85" s="608">
        <f t="shared" si="58"/>
        <v>5889538.5670297863</v>
      </c>
      <c r="AR85" s="608">
        <v>0</v>
      </c>
      <c r="AS85" s="608"/>
      <c r="AT85" s="798">
        <v>804660.59409574396</v>
      </c>
      <c r="AU85" s="608"/>
      <c r="AV85" s="608">
        <v>0</v>
      </c>
      <c r="AW85" s="608"/>
      <c r="AX85" s="607">
        <f t="shared" si="67"/>
        <v>0</v>
      </c>
      <c r="AY85" s="608"/>
      <c r="AZ85" s="607">
        <f t="shared" si="68"/>
        <v>5084877.9729340421</v>
      </c>
      <c r="BA85" s="608"/>
      <c r="BB85" s="607">
        <f t="shared" si="69"/>
        <v>0</v>
      </c>
      <c r="BC85" s="608"/>
      <c r="BD85" s="608">
        <f t="shared" si="62"/>
        <v>5084877.9729340421</v>
      </c>
      <c r="BF85" s="709">
        <f t="shared" si="63"/>
        <v>7060722.24234208</v>
      </c>
      <c r="BH85" s="592">
        <f t="shared" si="66"/>
        <v>443</v>
      </c>
    </row>
    <row r="86" spans="1:60" ht="15">
      <c r="A86" s="592">
        <f t="shared" si="54"/>
        <v>444</v>
      </c>
      <c r="B86" s="624" t="s">
        <v>1478</v>
      </c>
      <c r="F86" s="712" t="s">
        <v>1404</v>
      </c>
      <c r="H86" s="720"/>
      <c r="J86" s="622">
        <v>1257231.8788000001</v>
      </c>
      <c r="K86" s="608"/>
      <c r="L86" s="622">
        <v>755662.71551040001</v>
      </c>
      <c r="M86" s="608"/>
      <c r="N86" s="622">
        <v>501569.16328959999</v>
      </c>
      <c r="P86" s="710" t="s">
        <v>1405</v>
      </c>
      <c r="R86" s="608">
        <v>0</v>
      </c>
      <c r="S86" s="608"/>
      <c r="T86" s="608">
        <f t="shared" si="64"/>
        <v>501569.16328959999</v>
      </c>
      <c r="U86" s="608"/>
      <c r="V86" s="608">
        <v>0</v>
      </c>
      <c r="W86" s="608"/>
      <c r="X86" s="608">
        <f t="shared" si="65"/>
        <v>501569.16328959999</v>
      </c>
      <c r="Y86" s="608"/>
      <c r="Z86" s="609" t="s">
        <v>1406</v>
      </c>
      <c r="AA86" s="608"/>
      <c r="AB86" s="608">
        <v>0</v>
      </c>
      <c r="AC86" s="608"/>
      <c r="AD86" s="622">
        <v>126191.89219341848</v>
      </c>
      <c r="AE86" s="608"/>
      <c r="AF86" s="608">
        <v>0</v>
      </c>
      <c r="AG86" s="608"/>
      <c r="AH86" s="609" t="s">
        <v>1407</v>
      </c>
      <c r="AI86" s="608"/>
      <c r="AJ86" s="607">
        <f t="shared" si="55"/>
        <v>0</v>
      </c>
      <c r="AK86" s="608"/>
      <c r="AL86" s="607">
        <f t="shared" si="56"/>
        <v>375377.27109618153</v>
      </c>
      <c r="AM86" s="608"/>
      <c r="AN86" s="607">
        <f t="shared" si="57"/>
        <v>0</v>
      </c>
      <c r="AO86" s="608"/>
      <c r="AP86" s="608">
        <f t="shared" si="58"/>
        <v>375377.27109618153</v>
      </c>
      <c r="AR86" s="608">
        <v>0</v>
      </c>
      <c r="AS86" s="608"/>
      <c r="AT86" s="798">
        <v>51286.071825933068</v>
      </c>
      <c r="AU86" s="608"/>
      <c r="AV86" s="608">
        <v>0</v>
      </c>
      <c r="AW86" s="608"/>
      <c r="AX86" s="607">
        <f t="shared" si="67"/>
        <v>0</v>
      </c>
      <c r="AY86" s="608"/>
      <c r="AZ86" s="607">
        <f t="shared" si="68"/>
        <v>324091.19927024847</v>
      </c>
      <c r="BA86" s="608"/>
      <c r="BB86" s="607">
        <f t="shared" si="69"/>
        <v>0</v>
      </c>
      <c r="BC86" s="608"/>
      <c r="BD86" s="608">
        <f t="shared" si="62"/>
        <v>324091.19927024847</v>
      </c>
      <c r="BF86" s="709">
        <f t="shared" si="63"/>
        <v>450024.16014997754</v>
      </c>
      <c r="BH86" s="592">
        <f t="shared" si="66"/>
        <v>444</v>
      </c>
    </row>
    <row r="87" spans="1:60" ht="15">
      <c r="A87" s="592">
        <f t="shared" si="54"/>
        <v>445</v>
      </c>
      <c r="B87" s="624" t="s">
        <v>1479</v>
      </c>
      <c r="F87" s="712" t="s">
        <v>1404</v>
      </c>
      <c r="H87" s="720"/>
      <c r="J87" s="622">
        <v>1143941.5022</v>
      </c>
      <c r="K87" s="608"/>
      <c r="L87" s="622">
        <v>687601.58116902411</v>
      </c>
      <c r="M87" s="608"/>
      <c r="N87" s="622">
        <v>456339.92103097605</v>
      </c>
      <c r="P87" s="710" t="s">
        <v>1405</v>
      </c>
      <c r="R87" s="608">
        <v>0</v>
      </c>
      <c r="S87" s="608"/>
      <c r="T87" s="608">
        <f t="shared" si="64"/>
        <v>456339.92103097605</v>
      </c>
      <c r="U87" s="608"/>
      <c r="V87" s="608">
        <v>0</v>
      </c>
      <c r="W87" s="608"/>
      <c r="X87" s="608">
        <f t="shared" si="65"/>
        <v>456339.92103097605</v>
      </c>
      <c r="Y87" s="608"/>
      <c r="Z87" s="609" t="s">
        <v>1406</v>
      </c>
      <c r="AA87" s="608"/>
      <c r="AB87" s="608">
        <v>0</v>
      </c>
      <c r="AC87" s="608"/>
      <c r="AD87" s="622">
        <v>114812.47718780578</v>
      </c>
      <c r="AE87" s="608"/>
      <c r="AF87" s="608">
        <v>0</v>
      </c>
      <c r="AG87" s="608"/>
      <c r="AH87" s="609" t="s">
        <v>1407</v>
      </c>
      <c r="AI87" s="608"/>
      <c r="AJ87" s="607">
        <f t="shared" si="55"/>
        <v>0</v>
      </c>
      <c r="AK87" s="608"/>
      <c r="AL87" s="607">
        <f t="shared" si="56"/>
        <v>341527.4438431703</v>
      </c>
      <c r="AM87" s="608"/>
      <c r="AN87" s="607">
        <f t="shared" si="57"/>
        <v>0</v>
      </c>
      <c r="AO87" s="608"/>
      <c r="AP87" s="608">
        <f t="shared" si="58"/>
        <v>341527.4438431703</v>
      </c>
      <c r="AR87" s="608">
        <v>0</v>
      </c>
      <c r="AS87" s="608"/>
      <c r="AT87" s="798">
        <v>46661.325456170722</v>
      </c>
      <c r="AU87" s="608"/>
      <c r="AV87" s="608">
        <v>0</v>
      </c>
      <c r="AW87" s="608"/>
      <c r="AX87" s="607">
        <f t="shared" si="67"/>
        <v>0</v>
      </c>
      <c r="AY87" s="608"/>
      <c r="AZ87" s="607">
        <f t="shared" si="68"/>
        <v>294866.11838699959</v>
      </c>
      <c r="BA87" s="608"/>
      <c r="BB87" s="607">
        <f t="shared" si="69"/>
        <v>0</v>
      </c>
      <c r="BC87" s="608"/>
      <c r="BD87" s="608">
        <f t="shared" si="62"/>
        <v>294866.11838699959</v>
      </c>
      <c r="BF87" s="709">
        <f t="shared" si="63"/>
        <v>409443.01351775369</v>
      </c>
      <c r="BH87" s="592">
        <f t="shared" si="66"/>
        <v>445</v>
      </c>
    </row>
    <row r="88" spans="1:60" ht="15">
      <c r="A88" s="592">
        <f t="shared" si="54"/>
        <v>446</v>
      </c>
      <c r="B88" s="624" t="s">
        <v>1480</v>
      </c>
      <c r="F88" s="712" t="s">
        <v>1404</v>
      </c>
      <c r="H88" s="720"/>
      <c r="J88" s="622">
        <v>-474400.43319827609</v>
      </c>
      <c r="K88" s="608"/>
      <c r="L88" s="622">
        <v>-284579.21883587126</v>
      </c>
      <c r="M88" s="608"/>
      <c r="N88" s="622">
        <v>-189821.21436240477</v>
      </c>
      <c r="P88" s="710" t="s">
        <v>1405</v>
      </c>
      <c r="R88" s="608">
        <v>0</v>
      </c>
      <c r="S88" s="608"/>
      <c r="T88" s="608">
        <f t="shared" si="64"/>
        <v>-189821.21436240477</v>
      </c>
      <c r="U88" s="608"/>
      <c r="V88" s="608">
        <v>0</v>
      </c>
      <c r="W88" s="608"/>
      <c r="X88" s="608">
        <f t="shared" si="65"/>
        <v>-189821.21436240477</v>
      </c>
      <c r="Y88" s="608"/>
      <c r="Z88" s="609" t="s">
        <v>1406</v>
      </c>
      <c r="AA88" s="608"/>
      <c r="AB88" s="608">
        <v>0</v>
      </c>
      <c r="AC88" s="608"/>
      <c r="AD88" s="622">
        <v>-47757.916498972787</v>
      </c>
      <c r="AE88" s="608"/>
      <c r="AF88" s="608">
        <v>0</v>
      </c>
      <c r="AG88" s="608"/>
      <c r="AH88" s="609" t="s">
        <v>1407</v>
      </c>
      <c r="AI88" s="608"/>
      <c r="AJ88" s="607">
        <f t="shared" si="55"/>
        <v>0</v>
      </c>
      <c r="AK88" s="608"/>
      <c r="AL88" s="607">
        <f t="shared" si="56"/>
        <v>-142063.29786343197</v>
      </c>
      <c r="AM88" s="608"/>
      <c r="AN88" s="607">
        <f t="shared" si="57"/>
        <v>0</v>
      </c>
      <c r="AO88" s="608"/>
      <c r="AP88" s="608">
        <f t="shared" si="58"/>
        <v>-142063.29786343197</v>
      </c>
      <c r="AR88" s="608">
        <v>0</v>
      </c>
      <c r="AS88" s="608"/>
      <c r="AT88" s="798">
        <v>-19409.455657175538</v>
      </c>
      <c r="AU88" s="608"/>
      <c r="AV88" s="608">
        <v>0</v>
      </c>
      <c r="AW88" s="608"/>
      <c r="AX88" s="607">
        <f t="shared" si="67"/>
        <v>0</v>
      </c>
      <c r="AY88" s="608"/>
      <c r="AZ88" s="607">
        <f t="shared" si="68"/>
        <v>-122653.84220625644</v>
      </c>
      <c r="BA88" s="608"/>
      <c r="BB88" s="607">
        <f t="shared" si="69"/>
        <v>0</v>
      </c>
      <c r="BC88" s="608"/>
      <c r="BD88" s="608">
        <f t="shared" si="62"/>
        <v>-122653.84220625644</v>
      </c>
      <c r="BF88" s="709">
        <f t="shared" si="63"/>
        <v>-170313.76492890011</v>
      </c>
      <c r="BH88" s="592">
        <f t="shared" si="66"/>
        <v>446</v>
      </c>
    </row>
    <row r="89" spans="1:60" ht="15">
      <c r="A89" s="592">
        <f t="shared" si="54"/>
        <v>447</v>
      </c>
      <c r="B89" s="624" t="s">
        <v>1481</v>
      </c>
      <c r="F89" s="712" t="s">
        <v>1404</v>
      </c>
      <c r="H89" s="720"/>
      <c r="J89" s="622">
        <v>4916762.5998</v>
      </c>
      <c r="K89" s="608"/>
      <c r="L89" s="622">
        <v>2949422.0079276799</v>
      </c>
      <c r="M89" s="608"/>
      <c r="N89" s="622">
        <v>1967340.59187232</v>
      </c>
      <c r="P89" s="710" t="s">
        <v>1405</v>
      </c>
      <c r="R89" s="608">
        <v>0</v>
      </c>
      <c r="S89" s="608"/>
      <c r="T89" s="608">
        <f t="shared" si="64"/>
        <v>1967340.59187232</v>
      </c>
      <c r="U89" s="608"/>
      <c r="V89" s="608">
        <v>0</v>
      </c>
      <c r="W89" s="608"/>
      <c r="X89" s="608">
        <f t="shared" si="65"/>
        <v>1967340.59187232</v>
      </c>
      <c r="Y89" s="608"/>
      <c r="Z89" s="609" t="s">
        <v>1406</v>
      </c>
      <c r="AA89" s="608"/>
      <c r="AB89" s="608">
        <v>0</v>
      </c>
      <c r="AC89" s="608"/>
      <c r="AD89" s="622">
        <v>494971.48159793107</v>
      </c>
      <c r="AE89" s="608"/>
      <c r="AF89" s="608">
        <v>0</v>
      </c>
      <c r="AG89" s="608"/>
      <c r="AH89" s="609" t="s">
        <v>1407</v>
      </c>
      <c r="AI89" s="608"/>
      <c r="AJ89" s="607">
        <f t="shared" si="55"/>
        <v>0</v>
      </c>
      <c r="AK89" s="608"/>
      <c r="AL89" s="607">
        <f t="shared" si="56"/>
        <v>1472369.1102743889</v>
      </c>
      <c r="AM89" s="608"/>
      <c r="AN89" s="607">
        <f t="shared" si="57"/>
        <v>0</v>
      </c>
      <c r="AO89" s="608"/>
      <c r="AP89" s="608">
        <f t="shared" si="58"/>
        <v>1472369.1102743889</v>
      </c>
      <c r="AR89" s="608">
        <v>0</v>
      </c>
      <c r="AS89" s="608"/>
      <c r="AT89" s="798">
        <v>201163.0265287674</v>
      </c>
      <c r="AU89" s="608"/>
      <c r="AV89" s="608">
        <v>0</v>
      </c>
      <c r="AW89" s="608"/>
      <c r="AX89" s="607">
        <f t="shared" si="67"/>
        <v>0</v>
      </c>
      <c r="AY89" s="608"/>
      <c r="AZ89" s="607">
        <f t="shared" si="68"/>
        <v>1271206.0837456216</v>
      </c>
      <c r="BA89" s="608"/>
      <c r="BB89" s="607">
        <f t="shared" si="69"/>
        <v>0</v>
      </c>
      <c r="BC89" s="608"/>
      <c r="BD89" s="608">
        <f t="shared" si="62"/>
        <v>1271206.0837456216</v>
      </c>
      <c r="BF89" s="709">
        <f t="shared" si="63"/>
        <v>1765161.9405380185</v>
      </c>
      <c r="BH89" s="592">
        <f t="shared" si="66"/>
        <v>447</v>
      </c>
    </row>
    <row r="90" spans="1:60" ht="15">
      <c r="A90" s="592">
        <f t="shared" si="54"/>
        <v>448</v>
      </c>
      <c r="B90" s="624" t="s">
        <v>1482</v>
      </c>
      <c r="F90" s="712" t="s">
        <v>1404</v>
      </c>
      <c r="H90" s="720"/>
      <c r="J90" s="622">
        <v>290428.08638158668</v>
      </c>
      <c r="K90" s="608"/>
      <c r="L90" s="622">
        <v>174353.84748372421</v>
      </c>
      <c r="M90" s="608"/>
      <c r="N90" s="622">
        <v>116074.23889786248</v>
      </c>
      <c r="P90" s="710" t="s">
        <v>1405</v>
      </c>
      <c r="R90" s="608">
        <v>0</v>
      </c>
      <c r="S90" s="608"/>
      <c r="T90" s="608">
        <f t="shared" si="64"/>
        <v>116074.23889786248</v>
      </c>
      <c r="U90" s="608"/>
      <c r="V90" s="608">
        <v>0</v>
      </c>
      <c r="W90" s="608"/>
      <c r="X90" s="608">
        <f t="shared" si="65"/>
        <v>116074.23889786248</v>
      </c>
      <c r="Y90" s="608"/>
      <c r="Z90" s="609" t="s">
        <v>1406</v>
      </c>
      <c r="AA90" s="608"/>
      <c r="AB90" s="608">
        <v>0</v>
      </c>
      <c r="AC90" s="608"/>
      <c r="AD90" s="622">
        <v>29203.605232355163</v>
      </c>
      <c r="AE90" s="608"/>
      <c r="AF90" s="608">
        <v>0</v>
      </c>
      <c r="AG90" s="608"/>
      <c r="AH90" s="609" t="s">
        <v>1407</v>
      </c>
      <c r="AI90" s="608"/>
      <c r="AJ90" s="607">
        <f t="shared" si="55"/>
        <v>0</v>
      </c>
      <c r="AK90" s="608"/>
      <c r="AL90" s="607">
        <f t="shared" si="56"/>
        <v>86870.63366550731</v>
      </c>
      <c r="AM90" s="608"/>
      <c r="AN90" s="607">
        <f t="shared" si="57"/>
        <v>0</v>
      </c>
      <c r="AO90" s="608"/>
      <c r="AP90" s="608">
        <f t="shared" si="58"/>
        <v>86870.63366550731</v>
      </c>
      <c r="AR90" s="608">
        <v>0</v>
      </c>
      <c r="AS90" s="608"/>
      <c r="AT90" s="798">
        <v>11868.735538311199</v>
      </c>
      <c r="AU90" s="608"/>
      <c r="AV90" s="608">
        <v>0</v>
      </c>
      <c r="AW90" s="608"/>
      <c r="AX90" s="607">
        <f t="shared" si="67"/>
        <v>0</v>
      </c>
      <c r="AY90" s="608"/>
      <c r="AZ90" s="607">
        <f t="shared" si="68"/>
        <v>75001.898127196109</v>
      </c>
      <c r="BA90" s="608"/>
      <c r="BB90" s="607">
        <f t="shared" si="69"/>
        <v>0</v>
      </c>
      <c r="BC90" s="608"/>
      <c r="BD90" s="608">
        <f t="shared" si="62"/>
        <v>75001.898127196109</v>
      </c>
      <c r="BF90" s="709">
        <f t="shared" si="63"/>
        <v>104145.580905455</v>
      </c>
      <c r="BH90" s="592">
        <f t="shared" si="66"/>
        <v>448</v>
      </c>
    </row>
    <row r="91" spans="1:60" ht="15">
      <c r="A91" s="592">
        <f t="shared" si="54"/>
        <v>449</v>
      </c>
      <c r="B91" s="624" t="s">
        <v>1483</v>
      </c>
      <c r="F91" s="712" t="s">
        <v>1404</v>
      </c>
      <c r="H91" s="720"/>
      <c r="J91" s="622">
        <v>114943.94202037899</v>
      </c>
      <c r="K91" s="608"/>
      <c r="L91" s="622">
        <v>68951.470341309556</v>
      </c>
      <c r="M91" s="608"/>
      <c r="N91" s="622">
        <v>45992.471679069444</v>
      </c>
      <c r="P91" s="710" t="s">
        <v>1405</v>
      </c>
      <c r="R91" s="608">
        <v>0</v>
      </c>
      <c r="S91" s="608"/>
      <c r="T91" s="608">
        <f t="shared" si="64"/>
        <v>45992.471679069444</v>
      </c>
      <c r="U91" s="608"/>
      <c r="V91" s="608">
        <v>0</v>
      </c>
      <c r="W91" s="608"/>
      <c r="X91" s="608">
        <f t="shared" si="65"/>
        <v>45992.471679069444</v>
      </c>
      <c r="Y91" s="608"/>
      <c r="Z91" s="609" t="s">
        <v>1406</v>
      </c>
      <c r="AA91" s="608"/>
      <c r="AB91" s="608">
        <v>0</v>
      </c>
      <c r="AC91" s="608"/>
      <c r="AD91" s="622">
        <v>11571.4391007784</v>
      </c>
      <c r="AE91" s="608"/>
      <c r="AF91" s="608">
        <v>0</v>
      </c>
      <c r="AG91" s="608"/>
      <c r="AH91" s="609" t="s">
        <v>1407</v>
      </c>
      <c r="AI91" s="608"/>
      <c r="AJ91" s="607">
        <f t="shared" si="55"/>
        <v>0</v>
      </c>
      <c r="AK91" s="608"/>
      <c r="AL91" s="607">
        <f t="shared" si="56"/>
        <v>34421.032578291044</v>
      </c>
      <c r="AM91" s="608"/>
      <c r="AN91" s="607">
        <f t="shared" si="57"/>
        <v>0</v>
      </c>
      <c r="AO91" s="608"/>
      <c r="AP91" s="608">
        <f t="shared" si="58"/>
        <v>34421.032578291044</v>
      </c>
      <c r="AR91" s="608">
        <v>0</v>
      </c>
      <c r="AS91" s="608"/>
      <c r="AT91" s="798">
        <v>4702.7875288717078</v>
      </c>
      <c r="AU91" s="608"/>
      <c r="AV91" s="608">
        <v>0</v>
      </c>
      <c r="AW91" s="608"/>
      <c r="AX91" s="607">
        <f t="shared" si="67"/>
        <v>0</v>
      </c>
      <c r="AY91" s="608"/>
      <c r="AZ91" s="607">
        <f t="shared" si="68"/>
        <v>29718.245049419336</v>
      </c>
      <c r="BA91" s="608"/>
      <c r="BB91" s="607">
        <f t="shared" si="69"/>
        <v>0</v>
      </c>
      <c r="BC91" s="608"/>
      <c r="BD91" s="608">
        <f t="shared" si="62"/>
        <v>29718.245049419336</v>
      </c>
      <c r="BF91" s="709">
        <f t="shared" si="63"/>
        <v>41265.940882103707</v>
      </c>
      <c r="BH91" s="592">
        <f t="shared" si="66"/>
        <v>449</v>
      </c>
    </row>
    <row r="92" spans="1:60" ht="15">
      <c r="A92" s="592">
        <f t="shared" si="54"/>
        <v>450</v>
      </c>
      <c r="B92" s="624" t="s">
        <v>1484</v>
      </c>
      <c r="F92" s="712" t="s">
        <v>1404</v>
      </c>
      <c r="H92" s="720"/>
      <c r="J92" s="622">
        <v>831141.34682690329</v>
      </c>
      <c r="K92" s="608"/>
      <c r="L92" s="622">
        <v>498577.39556428313</v>
      </c>
      <c r="M92" s="608"/>
      <c r="N92" s="622">
        <v>332563.9512626201</v>
      </c>
      <c r="P92" s="710" t="s">
        <v>1405</v>
      </c>
      <c r="R92" s="608">
        <v>0</v>
      </c>
      <c r="S92" s="608"/>
      <c r="T92" s="608">
        <f t="shared" si="64"/>
        <v>332563.9512626201</v>
      </c>
      <c r="U92" s="608"/>
      <c r="V92" s="608">
        <v>0</v>
      </c>
      <c r="W92" s="608"/>
      <c r="X92" s="608">
        <f t="shared" si="65"/>
        <v>332563.9512626201</v>
      </c>
      <c r="Y92" s="608"/>
      <c r="Z92" s="609" t="s">
        <v>1406</v>
      </c>
      <c r="AA92" s="608"/>
      <c r="AB92" s="608">
        <v>0</v>
      </c>
      <c r="AC92" s="608"/>
      <c r="AD92" s="622">
        <v>83671.161141377161</v>
      </c>
      <c r="AE92" s="608"/>
      <c r="AF92" s="608">
        <v>0</v>
      </c>
      <c r="AG92" s="608"/>
      <c r="AH92" s="609" t="s">
        <v>1407</v>
      </c>
      <c r="AI92" s="608"/>
      <c r="AJ92" s="607">
        <f t="shared" si="55"/>
        <v>0</v>
      </c>
      <c r="AK92" s="608"/>
      <c r="AL92" s="607">
        <f t="shared" si="56"/>
        <v>248892.79012124293</v>
      </c>
      <c r="AM92" s="608"/>
      <c r="AN92" s="607">
        <f t="shared" si="57"/>
        <v>0</v>
      </c>
      <c r="AO92" s="608"/>
      <c r="AP92" s="608">
        <f t="shared" si="58"/>
        <v>248892.79012124293</v>
      </c>
      <c r="AR92" s="608">
        <v>0</v>
      </c>
      <c r="AS92" s="608"/>
      <c r="AT92" s="798">
        <v>34005.078341155851</v>
      </c>
      <c r="AU92" s="608"/>
      <c r="AV92" s="608">
        <v>0</v>
      </c>
      <c r="AW92" s="608"/>
      <c r="AX92" s="607">
        <f t="shared" si="67"/>
        <v>0</v>
      </c>
      <c r="AY92" s="608"/>
      <c r="AZ92" s="607">
        <f t="shared" si="68"/>
        <v>214887.71178008709</v>
      </c>
      <c r="BA92" s="608"/>
      <c r="BB92" s="607">
        <f t="shared" si="69"/>
        <v>0</v>
      </c>
      <c r="BC92" s="608"/>
      <c r="BD92" s="608">
        <f t="shared" si="62"/>
        <v>214887.71178008709</v>
      </c>
      <c r="BF92" s="709">
        <f t="shared" si="63"/>
        <v>298387.18927922955</v>
      </c>
      <c r="BH92" s="592">
        <f t="shared" si="66"/>
        <v>450</v>
      </c>
    </row>
    <row r="93" spans="1:60" ht="15">
      <c r="A93" s="592">
        <f t="shared" si="54"/>
        <v>451</v>
      </c>
      <c r="B93" s="624" t="s">
        <v>1485</v>
      </c>
      <c r="F93" s="712" t="s">
        <v>1404</v>
      </c>
      <c r="H93" s="720"/>
      <c r="J93" s="622">
        <v>8456.3577108052286</v>
      </c>
      <c r="K93" s="608"/>
      <c r="L93" s="622">
        <v>5072.7008124667409</v>
      </c>
      <c r="M93" s="608"/>
      <c r="N93" s="622">
        <v>3383.6568983384873</v>
      </c>
      <c r="P93" s="710" t="s">
        <v>1405</v>
      </c>
      <c r="R93" s="608">
        <v>0</v>
      </c>
      <c r="S93" s="608"/>
      <c r="T93" s="608">
        <f t="shared" si="64"/>
        <v>3383.6568983384873</v>
      </c>
      <c r="U93" s="608"/>
      <c r="V93" s="608">
        <v>0</v>
      </c>
      <c r="W93" s="608"/>
      <c r="X93" s="608">
        <f t="shared" si="65"/>
        <v>3383.6568983384873</v>
      </c>
      <c r="Y93" s="608"/>
      <c r="Z93" s="609" t="s">
        <v>1406</v>
      </c>
      <c r="AA93" s="608"/>
      <c r="AB93" s="608">
        <v>0</v>
      </c>
      <c r="AC93" s="608"/>
      <c r="AD93" s="622">
        <v>851.30844913627243</v>
      </c>
      <c r="AE93" s="608"/>
      <c r="AF93" s="608">
        <v>0</v>
      </c>
      <c r="AG93" s="608"/>
      <c r="AH93" s="609" t="s">
        <v>1407</v>
      </c>
      <c r="AI93" s="608"/>
      <c r="AJ93" s="607">
        <f t="shared" si="55"/>
        <v>0</v>
      </c>
      <c r="AK93" s="608"/>
      <c r="AL93" s="607">
        <f t="shared" si="56"/>
        <v>2532.3484492022149</v>
      </c>
      <c r="AM93" s="608"/>
      <c r="AN93" s="607">
        <f t="shared" si="57"/>
        <v>0</v>
      </c>
      <c r="AO93" s="608"/>
      <c r="AP93" s="608">
        <f t="shared" si="58"/>
        <v>2532.3484492022149</v>
      </c>
      <c r="AR93" s="608">
        <v>0</v>
      </c>
      <c r="AS93" s="608"/>
      <c r="AT93" s="798">
        <v>345.98313338155697</v>
      </c>
      <c r="AU93" s="608"/>
      <c r="AV93" s="608">
        <v>0</v>
      </c>
      <c r="AW93" s="608"/>
      <c r="AX93" s="607">
        <f t="shared" si="67"/>
        <v>0</v>
      </c>
      <c r="AY93" s="608"/>
      <c r="AZ93" s="607">
        <f t="shared" si="68"/>
        <v>2186.365315820658</v>
      </c>
      <c r="BA93" s="608"/>
      <c r="BB93" s="607">
        <f t="shared" si="69"/>
        <v>0</v>
      </c>
      <c r="BC93" s="608"/>
      <c r="BD93" s="608">
        <f t="shared" si="62"/>
        <v>2186.365315820658</v>
      </c>
      <c r="BF93" s="709">
        <f t="shared" si="63"/>
        <v>3035.9269774949285</v>
      </c>
      <c r="BH93" s="592">
        <f t="shared" si="66"/>
        <v>451</v>
      </c>
    </row>
    <row r="94" spans="1:60" ht="15">
      <c r="A94" s="592">
        <f t="shared" si="54"/>
        <v>452</v>
      </c>
      <c r="B94" s="624" t="s">
        <v>1486</v>
      </c>
      <c r="F94" s="712" t="s">
        <v>1404</v>
      </c>
      <c r="H94" s="720"/>
      <c r="J94" s="622">
        <v>-244.71339996627793</v>
      </c>
      <c r="K94" s="608"/>
      <c r="L94" s="622">
        <v>-146.77328667097626</v>
      </c>
      <c r="M94" s="608"/>
      <c r="N94" s="622">
        <v>-97.940113295301657</v>
      </c>
      <c r="P94" s="710" t="s">
        <v>1405</v>
      </c>
      <c r="R94" s="608">
        <v>0</v>
      </c>
      <c r="S94" s="608"/>
      <c r="T94" s="608">
        <f t="shared" si="64"/>
        <v>-97.940113295301657</v>
      </c>
      <c r="U94" s="608"/>
      <c r="V94" s="608">
        <v>0</v>
      </c>
      <c r="W94" s="608"/>
      <c r="X94" s="608">
        <f t="shared" si="65"/>
        <v>-97.940113295301657</v>
      </c>
      <c r="Y94" s="608"/>
      <c r="Z94" s="609" t="s">
        <v>1406</v>
      </c>
      <c r="AA94" s="608"/>
      <c r="AB94" s="608">
        <v>0</v>
      </c>
      <c r="AC94" s="608"/>
      <c r="AD94" s="622">
        <v>-24.641164415516148</v>
      </c>
      <c r="AE94" s="608"/>
      <c r="AF94" s="608">
        <v>0</v>
      </c>
      <c r="AG94" s="608"/>
      <c r="AH94" s="609" t="s">
        <v>1407</v>
      </c>
      <c r="AI94" s="608"/>
      <c r="AJ94" s="607">
        <f t="shared" si="55"/>
        <v>0</v>
      </c>
      <c r="AK94" s="608"/>
      <c r="AL94" s="607">
        <f t="shared" si="56"/>
        <v>-73.298948879785513</v>
      </c>
      <c r="AM94" s="608"/>
      <c r="AN94" s="607">
        <f t="shared" si="57"/>
        <v>0</v>
      </c>
      <c r="AO94" s="608"/>
      <c r="AP94" s="608">
        <f t="shared" si="58"/>
        <v>-73.298948879785513</v>
      </c>
      <c r="AR94" s="608">
        <v>0</v>
      </c>
      <c r="AS94" s="608"/>
      <c r="AT94" s="798">
        <v>-10.014498603062373</v>
      </c>
      <c r="AU94" s="608"/>
      <c r="AV94" s="608">
        <v>0</v>
      </c>
      <c r="AW94" s="608"/>
      <c r="AX94" s="607">
        <f t="shared" si="67"/>
        <v>0</v>
      </c>
      <c r="AY94" s="608"/>
      <c r="AZ94" s="607">
        <f t="shared" si="68"/>
        <v>-63.284450276723142</v>
      </c>
      <c r="BA94" s="608"/>
      <c r="BB94" s="607">
        <f t="shared" si="69"/>
        <v>0</v>
      </c>
      <c r="BC94" s="608"/>
      <c r="BD94" s="608">
        <f t="shared" si="62"/>
        <v>-63.284450276723142</v>
      </c>
      <c r="BF94" s="709">
        <f t="shared" si="63"/>
        <v>-87.87505384429538</v>
      </c>
      <c r="BH94" s="592">
        <f t="shared" si="66"/>
        <v>452</v>
      </c>
    </row>
    <row r="95" spans="1:60" ht="15">
      <c r="A95" s="592">
        <f t="shared" si="54"/>
        <v>453</v>
      </c>
      <c r="B95" s="624" t="s">
        <v>1487</v>
      </c>
      <c r="F95" s="712" t="s">
        <v>1404</v>
      </c>
      <c r="H95" s="720"/>
      <c r="J95" s="622">
        <v>82964.600265615823</v>
      </c>
      <c r="K95" s="608"/>
      <c r="L95" s="622">
        <v>49768.042533099309</v>
      </c>
      <c r="M95" s="608"/>
      <c r="N95" s="622">
        <v>33196.557732516521</v>
      </c>
      <c r="P95" s="710" t="s">
        <v>1405</v>
      </c>
      <c r="R95" s="608">
        <v>0</v>
      </c>
      <c r="S95" s="608"/>
      <c r="T95" s="608">
        <f t="shared" si="64"/>
        <v>33196.557732516521</v>
      </c>
      <c r="U95" s="608"/>
      <c r="V95" s="608">
        <v>0</v>
      </c>
      <c r="W95" s="608"/>
      <c r="X95" s="608">
        <f t="shared" si="65"/>
        <v>33196.557732516521</v>
      </c>
      <c r="Y95" s="608"/>
      <c r="Z95" s="609" t="s">
        <v>1406</v>
      </c>
      <c r="AA95" s="608"/>
      <c r="AB95" s="608">
        <v>0</v>
      </c>
      <c r="AC95" s="608"/>
      <c r="AD95" s="622">
        <v>8352.0613729507932</v>
      </c>
      <c r="AE95" s="608"/>
      <c r="AF95" s="608">
        <v>0</v>
      </c>
      <c r="AG95" s="608"/>
      <c r="AH95" s="609" t="s">
        <v>1407</v>
      </c>
      <c r="AI95" s="608"/>
      <c r="AJ95" s="607">
        <f t="shared" si="55"/>
        <v>0</v>
      </c>
      <c r="AK95" s="608"/>
      <c r="AL95" s="607">
        <f t="shared" si="56"/>
        <v>24844.496359565728</v>
      </c>
      <c r="AM95" s="608"/>
      <c r="AN95" s="607">
        <f t="shared" si="57"/>
        <v>0</v>
      </c>
      <c r="AO95" s="608"/>
      <c r="AP95" s="608">
        <f t="shared" si="58"/>
        <v>24844.496359565728</v>
      </c>
      <c r="AR95" s="608">
        <v>0</v>
      </c>
      <c r="AS95" s="608"/>
      <c r="AT95" s="798">
        <v>3394.3893860567359</v>
      </c>
      <c r="AU95" s="608"/>
      <c r="AV95" s="608">
        <v>0</v>
      </c>
      <c r="AW95" s="608"/>
      <c r="AX95" s="607">
        <f t="shared" si="67"/>
        <v>0</v>
      </c>
      <c r="AY95" s="608"/>
      <c r="AZ95" s="607">
        <f t="shared" si="68"/>
        <v>21450.106973508991</v>
      </c>
      <c r="BA95" s="608"/>
      <c r="BB95" s="607">
        <f t="shared" si="69"/>
        <v>0</v>
      </c>
      <c r="BC95" s="608"/>
      <c r="BD95" s="608">
        <f t="shared" si="62"/>
        <v>21450.106973508991</v>
      </c>
      <c r="BF95" s="709">
        <f t="shared" si="63"/>
        <v>29785.030872841449</v>
      </c>
      <c r="BH95" s="592">
        <f t="shared" si="66"/>
        <v>453</v>
      </c>
    </row>
    <row r="96" spans="1:60" ht="15">
      <c r="A96" s="592">
        <f t="shared" si="54"/>
        <v>454</v>
      </c>
      <c r="B96" s="624" t="s">
        <v>1488</v>
      </c>
      <c r="F96" s="712" t="s">
        <v>1404</v>
      </c>
      <c r="H96" s="720"/>
      <c r="J96" s="622">
        <v>-2.5537923876161601</v>
      </c>
      <c r="K96" s="608"/>
      <c r="L96" s="622">
        <v>-1.5613586211721953</v>
      </c>
      <c r="M96" s="608"/>
      <c r="N96" s="622">
        <v>-0.99243376644396486</v>
      </c>
      <c r="P96" s="710" t="s">
        <v>1405</v>
      </c>
      <c r="R96" s="608">
        <v>0</v>
      </c>
      <c r="S96" s="608"/>
      <c r="T96" s="608">
        <f t="shared" si="64"/>
        <v>-0.99243376644396486</v>
      </c>
      <c r="U96" s="608"/>
      <c r="V96" s="608">
        <v>0</v>
      </c>
      <c r="W96" s="608"/>
      <c r="X96" s="608">
        <f t="shared" si="65"/>
        <v>-0.99243376644396486</v>
      </c>
      <c r="Y96" s="608"/>
      <c r="Z96" s="609" t="s">
        <v>1406</v>
      </c>
      <c r="AA96" s="608"/>
      <c r="AB96" s="608">
        <v>0</v>
      </c>
      <c r="AC96" s="608"/>
      <c r="AD96" s="622">
        <v>-0.24969057914729637</v>
      </c>
      <c r="AE96" s="608"/>
      <c r="AF96" s="608">
        <v>0</v>
      </c>
      <c r="AG96" s="608"/>
      <c r="AH96" s="609" t="s">
        <v>1407</v>
      </c>
      <c r="AI96" s="608"/>
      <c r="AJ96" s="607">
        <f t="shared" si="55"/>
        <v>0</v>
      </c>
      <c r="AK96" s="608"/>
      <c r="AL96" s="607">
        <f t="shared" si="56"/>
        <v>-0.74274318729666855</v>
      </c>
      <c r="AM96" s="608"/>
      <c r="AN96" s="607">
        <f t="shared" si="57"/>
        <v>0</v>
      </c>
      <c r="AO96" s="608"/>
      <c r="AP96" s="608">
        <f t="shared" si="58"/>
        <v>-0.74274318729666855</v>
      </c>
      <c r="AR96" s="608">
        <v>0</v>
      </c>
      <c r="AS96" s="608"/>
      <c r="AT96" s="798">
        <v>-0.10147758904177001</v>
      </c>
      <c r="AU96" s="608"/>
      <c r="AV96" s="608">
        <v>0</v>
      </c>
      <c r="AW96" s="608"/>
      <c r="AX96" s="607">
        <f t="shared" si="67"/>
        <v>0</v>
      </c>
      <c r="AY96" s="608"/>
      <c r="AZ96" s="607">
        <f t="shared" si="68"/>
        <v>-0.64126559825489848</v>
      </c>
      <c r="BA96" s="608"/>
      <c r="BB96" s="607">
        <f t="shared" si="69"/>
        <v>0</v>
      </c>
      <c r="BC96" s="608"/>
      <c r="BD96" s="608">
        <f t="shared" si="62"/>
        <v>-0.64126559825489848</v>
      </c>
      <c r="BF96" s="709">
        <f t="shared" si="63"/>
        <v>-0.89044384092359297</v>
      </c>
      <c r="BH96" s="592">
        <f t="shared" si="66"/>
        <v>454</v>
      </c>
    </row>
    <row r="97" spans="1:60" ht="15">
      <c r="A97" s="592">
        <f t="shared" si="54"/>
        <v>455</v>
      </c>
      <c r="B97" s="624" t="s">
        <v>1489</v>
      </c>
      <c r="F97" s="712" t="s">
        <v>1404</v>
      </c>
      <c r="H97" s="720"/>
      <c r="J97" s="622">
        <v>50.62517850744976</v>
      </c>
      <c r="K97" s="608"/>
      <c r="L97" s="622">
        <v>30.560806869050776</v>
      </c>
      <c r="M97" s="608"/>
      <c r="N97" s="622">
        <v>20.064371638398988</v>
      </c>
      <c r="P97" s="710" t="s">
        <v>1405</v>
      </c>
      <c r="R97" s="608">
        <v>0</v>
      </c>
      <c r="S97" s="608"/>
      <c r="T97" s="608">
        <f t="shared" ref="T97" si="70">N97</f>
        <v>20.064371638398988</v>
      </c>
      <c r="U97" s="608"/>
      <c r="V97" s="608">
        <v>0</v>
      </c>
      <c r="W97" s="608"/>
      <c r="X97" s="608">
        <f t="shared" ref="X97" si="71">SUM(R97:V97)</f>
        <v>20.064371638398988</v>
      </c>
      <c r="Y97" s="608"/>
      <c r="Z97" s="609" t="s">
        <v>1406</v>
      </c>
      <c r="AA97" s="608"/>
      <c r="AB97" s="608">
        <v>0</v>
      </c>
      <c r="AC97" s="608"/>
      <c r="AD97" s="622">
        <v>5.0480795233011664</v>
      </c>
      <c r="AE97" s="608"/>
      <c r="AF97" s="608">
        <v>0</v>
      </c>
      <c r="AG97" s="608"/>
      <c r="AH97" s="609" t="s">
        <v>1407</v>
      </c>
      <c r="AI97" s="608"/>
      <c r="AJ97" s="607">
        <f t="shared" si="55"/>
        <v>0</v>
      </c>
      <c r="AK97" s="608"/>
      <c r="AL97" s="607">
        <f t="shared" si="56"/>
        <v>15.016292115097823</v>
      </c>
      <c r="AM97" s="608"/>
      <c r="AN97" s="607">
        <f t="shared" si="57"/>
        <v>0</v>
      </c>
      <c r="AO97" s="608"/>
      <c r="AP97" s="608">
        <f t="shared" si="58"/>
        <v>15.016292115097823</v>
      </c>
      <c r="AR97" s="608">
        <v>0</v>
      </c>
      <c r="AS97" s="608"/>
      <c r="AT97" s="798">
        <v>2.0516069972088764</v>
      </c>
      <c r="AU97" s="608"/>
      <c r="AV97" s="608">
        <v>0</v>
      </c>
      <c r="AW97" s="608"/>
      <c r="AX97" s="607">
        <f t="shared" si="67"/>
        <v>0</v>
      </c>
      <c r="AY97" s="608"/>
      <c r="AZ97" s="607">
        <f t="shared" si="68"/>
        <v>12.964685117888946</v>
      </c>
      <c r="BA97" s="608"/>
      <c r="BB97" s="607">
        <f t="shared" si="69"/>
        <v>0</v>
      </c>
      <c r="BC97" s="608"/>
      <c r="BD97" s="608">
        <f t="shared" si="62"/>
        <v>12.964685117888946</v>
      </c>
      <c r="BF97" s="709">
        <f t="shared" si="63"/>
        <v>18.002406560018198</v>
      </c>
      <c r="BH97" s="592">
        <f t="shared" si="66"/>
        <v>455</v>
      </c>
    </row>
    <row r="98" spans="1:60" ht="15">
      <c r="A98" s="592">
        <f t="shared" si="54"/>
        <v>456</v>
      </c>
      <c r="B98" s="623"/>
      <c r="F98" s="712"/>
      <c r="H98" s="720"/>
      <c r="J98" s="622"/>
      <c r="K98" s="608"/>
      <c r="L98" s="622"/>
      <c r="M98" s="608"/>
      <c r="N98" s="622"/>
      <c r="P98" s="711"/>
      <c r="R98" s="608">
        <v>0</v>
      </c>
      <c r="S98" s="608"/>
      <c r="T98" s="608">
        <f t="shared" ref="T98" si="72">N98</f>
        <v>0</v>
      </c>
      <c r="U98" s="608"/>
      <c r="V98" s="608">
        <v>0</v>
      </c>
      <c r="W98" s="608"/>
      <c r="X98" s="608">
        <f t="shared" ref="X98" si="73">SUM(R98:V98)</f>
        <v>0</v>
      </c>
      <c r="Y98" s="608"/>
      <c r="Z98" s="609"/>
      <c r="AA98" s="608"/>
      <c r="AB98" s="608">
        <v>0</v>
      </c>
      <c r="AC98" s="608"/>
      <c r="AD98" s="622"/>
      <c r="AE98" s="608"/>
      <c r="AF98" s="608">
        <v>0</v>
      </c>
      <c r="AG98" s="608"/>
      <c r="AH98" s="709"/>
      <c r="AI98" s="608"/>
      <c r="AJ98" s="607">
        <f t="shared" si="55"/>
        <v>0</v>
      </c>
      <c r="AK98" s="608"/>
      <c r="AL98" s="607">
        <f t="shared" si="56"/>
        <v>0</v>
      </c>
      <c r="AM98" s="608"/>
      <c r="AN98" s="607">
        <f t="shared" si="57"/>
        <v>0</v>
      </c>
      <c r="AO98" s="608"/>
      <c r="AP98" s="608">
        <f t="shared" si="58"/>
        <v>0</v>
      </c>
      <c r="AR98" s="608">
        <v>0</v>
      </c>
      <c r="AS98" s="608"/>
      <c r="AT98" s="622"/>
      <c r="AU98" s="608"/>
      <c r="AV98" s="608">
        <v>0</v>
      </c>
      <c r="AW98" s="608"/>
      <c r="AX98" s="607">
        <f t="shared" si="67"/>
        <v>0</v>
      </c>
      <c r="AY98" s="608"/>
      <c r="AZ98" s="607">
        <f t="shared" si="68"/>
        <v>0</v>
      </c>
      <c r="BA98" s="608"/>
      <c r="BB98" s="607">
        <f t="shared" si="69"/>
        <v>0</v>
      </c>
      <c r="BC98" s="608"/>
      <c r="BD98" s="608">
        <f t="shared" si="62"/>
        <v>0</v>
      </c>
      <c r="BF98" s="709">
        <f t="shared" si="63"/>
        <v>0</v>
      </c>
      <c r="BH98" s="592">
        <f t="shared" si="66"/>
        <v>456</v>
      </c>
    </row>
    <row r="99" spans="1:60" ht="15">
      <c r="A99" s="592">
        <f t="shared" si="54"/>
        <v>457</v>
      </c>
      <c r="B99" s="623"/>
      <c r="F99" s="712"/>
      <c r="H99" s="720"/>
      <c r="J99" s="622"/>
      <c r="K99" s="608"/>
      <c r="L99" s="622"/>
      <c r="M99" s="608"/>
      <c r="N99" s="622"/>
      <c r="P99" s="711"/>
      <c r="R99" s="608">
        <v>0</v>
      </c>
      <c r="S99" s="608"/>
      <c r="T99" s="608">
        <f t="shared" ref="T99" si="74">N99</f>
        <v>0</v>
      </c>
      <c r="U99" s="608"/>
      <c r="V99" s="608">
        <v>0</v>
      </c>
      <c r="W99" s="608"/>
      <c r="X99" s="608">
        <f t="shared" ref="X99:X104" si="75">SUM(R99:V99)</f>
        <v>0</v>
      </c>
      <c r="Y99" s="608"/>
      <c r="Z99" s="609"/>
      <c r="AA99" s="608"/>
      <c r="AB99" s="608">
        <v>0</v>
      </c>
      <c r="AC99" s="608"/>
      <c r="AD99" s="622"/>
      <c r="AE99" s="608"/>
      <c r="AF99" s="608">
        <v>0</v>
      </c>
      <c r="AG99" s="608"/>
      <c r="AH99" s="709"/>
      <c r="AI99" s="608"/>
      <c r="AJ99" s="607">
        <f t="shared" si="55"/>
        <v>0</v>
      </c>
      <c r="AK99" s="608"/>
      <c r="AL99" s="607">
        <f t="shared" si="56"/>
        <v>0</v>
      </c>
      <c r="AM99" s="608"/>
      <c r="AN99" s="607">
        <f t="shared" si="57"/>
        <v>0</v>
      </c>
      <c r="AO99" s="608"/>
      <c r="AP99" s="608">
        <f t="shared" si="58"/>
        <v>0</v>
      </c>
      <c r="AR99" s="608">
        <v>0</v>
      </c>
      <c r="AS99" s="608"/>
      <c r="AT99" s="622"/>
      <c r="AU99" s="608"/>
      <c r="AV99" s="608">
        <v>0</v>
      </c>
      <c r="AW99" s="608"/>
      <c r="AX99" s="607">
        <f t="shared" si="67"/>
        <v>0</v>
      </c>
      <c r="AY99" s="608"/>
      <c r="AZ99" s="607">
        <f t="shared" si="68"/>
        <v>0</v>
      </c>
      <c r="BA99" s="608"/>
      <c r="BB99" s="607">
        <f t="shared" si="69"/>
        <v>0</v>
      </c>
      <c r="BC99" s="608"/>
      <c r="BD99" s="608">
        <f t="shared" si="62"/>
        <v>0</v>
      </c>
      <c r="BF99" s="709">
        <f t="shared" si="63"/>
        <v>0</v>
      </c>
      <c r="BH99" s="592">
        <f t="shared" si="66"/>
        <v>457</v>
      </c>
    </row>
    <row r="100" spans="1:60" ht="15">
      <c r="A100" s="592"/>
      <c r="B100" s="597"/>
      <c r="F100" s="712"/>
      <c r="H100" s="709"/>
      <c r="J100" s="608"/>
      <c r="K100" s="608"/>
      <c r="L100" s="608"/>
      <c r="M100" s="608"/>
      <c r="N100" s="608"/>
      <c r="P100" s="711"/>
      <c r="R100" s="608"/>
      <c r="S100" s="608"/>
      <c r="T100" s="608"/>
      <c r="U100" s="608"/>
      <c r="V100" s="608"/>
      <c r="W100" s="608"/>
      <c r="X100" s="608"/>
      <c r="Y100" s="608"/>
      <c r="Z100" s="609"/>
      <c r="AA100" s="608"/>
      <c r="AB100" s="608"/>
      <c r="AC100" s="608"/>
      <c r="AD100" s="608"/>
      <c r="AE100" s="608"/>
      <c r="AF100" s="608"/>
      <c r="AG100" s="608"/>
      <c r="AH100" s="709"/>
      <c r="AI100" s="608"/>
      <c r="AJ100" s="608"/>
      <c r="AK100" s="608"/>
      <c r="AL100" s="608"/>
      <c r="AM100" s="608"/>
      <c r="AN100" s="608"/>
      <c r="AO100" s="608"/>
      <c r="AP100" s="608"/>
      <c r="AR100" s="608"/>
      <c r="AS100" s="608"/>
      <c r="AT100" s="608"/>
      <c r="AU100" s="608"/>
      <c r="AV100" s="608"/>
      <c r="AW100" s="608"/>
      <c r="AX100" s="608"/>
      <c r="AY100" s="608"/>
      <c r="AZ100" s="608"/>
      <c r="BA100" s="608"/>
      <c r="BB100" s="608"/>
      <c r="BC100" s="608"/>
      <c r="BD100" s="608"/>
      <c r="BF100" s="709"/>
      <c r="BH100" s="592"/>
    </row>
    <row r="101" spans="1:60" ht="15">
      <c r="A101" s="322" t="s">
        <v>100</v>
      </c>
      <c r="F101" s="712"/>
      <c r="H101" s="702"/>
      <c r="P101" s="711"/>
      <c r="X101" s="608"/>
      <c r="Z101" s="712"/>
      <c r="BH101" s="618" t="s">
        <v>100</v>
      </c>
    </row>
    <row r="102" spans="1:60" ht="15">
      <c r="A102" s="592">
        <v>500</v>
      </c>
      <c r="B102" s="590" t="s">
        <v>1490</v>
      </c>
      <c r="F102" s="712"/>
      <c r="H102" s="718">
        <f>ROUND(SUM(H103:H113),0)</f>
        <v>0</v>
      </c>
      <c r="J102" s="611">
        <f>ROUND(SUM(J103:J113),0)</f>
        <v>9730734</v>
      </c>
      <c r="K102" s="608"/>
      <c r="L102" s="611">
        <f>ROUND(SUM(L103:L113),0)</f>
        <v>5840030</v>
      </c>
      <c r="M102" s="608"/>
      <c r="N102" s="611">
        <f>ROUND(SUM(N103:N113),0)</f>
        <v>3890704</v>
      </c>
      <c r="O102" s="592"/>
      <c r="P102" s="711"/>
      <c r="Q102" s="592"/>
      <c r="R102" s="611">
        <f>ROUND(SUM(R103:R113),0)</f>
        <v>0</v>
      </c>
      <c r="S102" s="608"/>
      <c r="T102" s="611">
        <f>ROUND(SUM(T103:T113),0)</f>
        <v>0</v>
      </c>
      <c r="U102" s="608"/>
      <c r="V102" s="611">
        <f>ROUND(SUM(V103:V113),0)</f>
        <v>3890704</v>
      </c>
      <c r="W102" s="608"/>
      <c r="X102" s="611">
        <f>ROUND(SUM(X103:X113),0)</f>
        <v>3890704</v>
      </c>
      <c r="Y102" s="608"/>
      <c r="Z102" s="609"/>
      <c r="AA102" s="608"/>
      <c r="AB102" s="611">
        <f>SUM(AB103:AB113)</f>
        <v>0</v>
      </c>
      <c r="AC102" s="608"/>
      <c r="AD102" s="611">
        <f>SUM(AD103:AD113)</f>
        <v>0</v>
      </c>
      <c r="AE102" s="608"/>
      <c r="AF102" s="611">
        <f>SUM(AF103:AF113)</f>
        <v>-201654.6052043424</v>
      </c>
      <c r="AG102" s="608"/>
      <c r="AH102" s="709"/>
      <c r="AI102" s="608"/>
      <c r="AJ102" s="611">
        <f>SUM(AJ103:AJ113)</f>
        <v>0</v>
      </c>
      <c r="AK102" s="608"/>
      <c r="AL102" s="611">
        <f>SUM(AL103:AL113)</f>
        <v>0</v>
      </c>
      <c r="AM102" s="608"/>
      <c r="AN102" s="611">
        <f>SUM(AN103:AN113)</f>
        <v>4092358.741047631</v>
      </c>
      <c r="AO102" s="608"/>
      <c r="AP102" s="611">
        <f>SUM(AP103:AP113)</f>
        <v>4092358.741047631</v>
      </c>
      <c r="AR102" s="611">
        <f>SUM(AR103:AR113)</f>
        <v>0</v>
      </c>
      <c r="AS102" s="608"/>
      <c r="AT102" s="611">
        <f>SUM(AT103:AT113)</f>
        <v>0</v>
      </c>
      <c r="AU102" s="608"/>
      <c r="AV102" s="611">
        <f>SUM(AV103:AV113)</f>
        <v>559120.1093791672</v>
      </c>
      <c r="AW102" s="608"/>
      <c r="AX102" s="611">
        <f>SUM(AX103:AX113)</f>
        <v>0</v>
      </c>
      <c r="AY102" s="608"/>
      <c r="AZ102" s="611">
        <f>SUM(AZ103:AZ113)</f>
        <v>0</v>
      </c>
      <c r="BA102" s="608"/>
      <c r="BB102" s="611">
        <f>SUM(BB103:BB113)</f>
        <v>3533238.6316684629</v>
      </c>
      <c r="BC102" s="608"/>
      <c r="BD102" s="611">
        <f>SUM(BD103:BD113)</f>
        <v>3533238.6316684629</v>
      </c>
      <c r="BF102" s="718">
        <f>ROUND(SUM(BF103:BF113),0)</f>
        <v>4906158</v>
      </c>
      <c r="BH102" s="592">
        <f t="shared" ref="BH102:BH113" si="76">A102</f>
        <v>500</v>
      </c>
    </row>
    <row r="103" spans="1:60" ht="15">
      <c r="A103" s="592">
        <f t="shared" ref="A103:A107" si="77">A102+1</f>
        <v>501</v>
      </c>
      <c r="B103" s="637" t="s">
        <v>1491</v>
      </c>
      <c r="F103" s="712" t="s">
        <v>1420</v>
      </c>
      <c r="H103" s="720"/>
      <c r="J103" s="622">
        <v>5449227.7939999998</v>
      </c>
      <c r="K103" s="608"/>
      <c r="L103" s="622">
        <v>3269536.6763999998</v>
      </c>
      <c r="M103" s="608"/>
      <c r="N103" s="622">
        <v>2179691.1176</v>
      </c>
      <c r="P103" s="710" t="s">
        <v>1415</v>
      </c>
      <c r="R103" s="608">
        <v>0</v>
      </c>
      <c r="S103" s="608"/>
      <c r="T103" s="608">
        <v>0</v>
      </c>
      <c r="U103" s="608"/>
      <c r="V103" s="608">
        <f>+N103</f>
        <v>2179691.1176</v>
      </c>
      <c r="W103" s="608"/>
      <c r="X103" s="608">
        <f t="shared" si="75"/>
        <v>2179691.1176</v>
      </c>
      <c r="Y103" s="608"/>
      <c r="Z103" s="609" t="s">
        <v>1492</v>
      </c>
      <c r="AA103" s="608"/>
      <c r="AB103" s="608">
        <v>0</v>
      </c>
      <c r="AC103" s="608"/>
      <c r="AD103" s="608">
        <v>0</v>
      </c>
      <c r="AE103" s="608"/>
      <c r="AF103" s="622">
        <v>1585728</v>
      </c>
      <c r="AG103" s="608"/>
      <c r="AH103" s="609" t="s">
        <v>1416</v>
      </c>
      <c r="AI103" s="608"/>
      <c r="AJ103" s="607">
        <f t="shared" ref="AJ103:AJ113" si="78">+R103-AB103</f>
        <v>0</v>
      </c>
      <c r="AK103" s="608"/>
      <c r="AL103" s="607">
        <f t="shared" ref="AL103:AL113" si="79">+T103-AD103</f>
        <v>0</v>
      </c>
      <c r="AM103" s="608"/>
      <c r="AN103" s="607">
        <f t="shared" ref="AN103:AN113" si="80">+V103-AF103</f>
        <v>593963.1176</v>
      </c>
      <c r="AO103" s="608"/>
      <c r="AP103" s="608">
        <f t="shared" ref="AP103:AP113" si="81">SUM(AJ103:AN103)</f>
        <v>593963.1176</v>
      </c>
      <c r="AR103" s="608">
        <v>0</v>
      </c>
      <c r="AS103" s="608"/>
      <c r="AT103" s="608">
        <v>0</v>
      </c>
      <c r="AU103" s="608"/>
      <c r="AV103" s="798">
        <v>81150.389220770798</v>
      </c>
      <c r="AW103" s="608"/>
      <c r="AX103" s="607">
        <f t="shared" ref="AX103:AX113" si="82">+AJ103-AR103</f>
        <v>0</v>
      </c>
      <c r="AY103" s="608"/>
      <c r="AZ103" s="607">
        <f t="shared" ref="AZ103:AZ113" si="83">+AL103-AT103</f>
        <v>0</v>
      </c>
      <c r="BA103" s="608"/>
      <c r="BB103" s="607">
        <f t="shared" ref="BB103:BB113" si="84">+AN103-AV103</f>
        <v>512812.7283792292</v>
      </c>
      <c r="BC103" s="608"/>
      <c r="BD103" s="608">
        <f>SUM(AX103:BB103)</f>
        <v>512812.7283792292</v>
      </c>
      <c r="BF103" s="709">
        <f t="shared" ref="BF103:BF111" si="85">+BD103*$BF$9</f>
        <v>712077.70504944585</v>
      </c>
      <c r="BH103" s="592">
        <f t="shared" si="76"/>
        <v>501</v>
      </c>
    </row>
    <row r="104" spans="1:60" ht="15">
      <c r="A104" s="592">
        <f t="shared" si="77"/>
        <v>502</v>
      </c>
      <c r="B104" s="637" t="s">
        <v>1127</v>
      </c>
      <c r="F104" s="712" t="s">
        <v>1420</v>
      </c>
      <c r="H104" s="720"/>
      <c r="J104" s="622">
        <v>26635870</v>
      </c>
      <c r="K104" s="608"/>
      <c r="L104" s="622">
        <v>15981522</v>
      </c>
      <c r="M104" s="608"/>
      <c r="N104" s="622">
        <v>10654348</v>
      </c>
      <c r="P104" s="710" t="s">
        <v>1415</v>
      </c>
      <c r="R104" s="608">
        <v>0</v>
      </c>
      <c r="S104" s="608"/>
      <c r="T104" s="608">
        <v>0</v>
      </c>
      <c r="U104" s="608"/>
      <c r="V104" s="608">
        <f>+N104</f>
        <v>10654348</v>
      </c>
      <c r="W104" s="608"/>
      <c r="X104" s="608">
        <f t="shared" si="75"/>
        <v>10654348</v>
      </c>
      <c r="Y104" s="608"/>
      <c r="Z104" s="609" t="s">
        <v>1492</v>
      </c>
      <c r="AA104" s="608"/>
      <c r="AB104" s="608">
        <v>0</v>
      </c>
      <c r="AC104" s="608"/>
      <c r="AD104" s="608">
        <v>0</v>
      </c>
      <c r="AE104" s="608"/>
      <c r="AF104" s="622">
        <v>-2908523.982036205</v>
      </c>
      <c r="AG104" s="608"/>
      <c r="AH104" s="609" t="s">
        <v>1416</v>
      </c>
      <c r="AI104" s="608"/>
      <c r="AJ104" s="607">
        <f t="shared" si="78"/>
        <v>0</v>
      </c>
      <c r="AK104" s="608"/>
      <c r="AL104" s="607">
        <f t="shared" si="79"/>
        <v>0</v>
      </c>
      <c r="AM104" s="608"/>
      <c r="AN104" s="607">
        <f t="shared" si="80"/>
        <v>13562871.982036205</v>
      </c>
      <c r="AO104" s="608"/>
      <c r="AP104" s="608">
        <f t="shared" si="81"/>
        <v>13562871.982036205</v>
      </c>
      <c r="AR104" s="608">
        <v>0</v>
      </c>
      <c r="AS104" s="608"/>
      <c r="AT104" s="608">
        <v>0</v>
      </c>
      <c r="AU104" s="608"/>
      <c r="AV104" s="798">
        <v>1853032.8823729299</v>
      </c>
      <c r="AW104" s="608"/>
      <c r="AX104" s="607">
        <f t="shared" si="82"/>
        <v>0</v>
      </c>
      <c r="AY104" s="608"/>
      <c r="AZ104" s="607">
        <f t="shared" si="83"/>
        <v>0</v>
      </c>
      <c r="BA104" s="608"/>
      <c r="BB104" s="607">
        <f t="shared" si="84"/>
        <v>11709839.099663274</v>
      </c>
      <c r="BC104" s="608"/>
      <c r="BD104" s="608">
        <f t="shared" ref="BD104" si="86">SUM(AX104:BB104)</f>
        <v>11709839.099663274</v>
      </c>
      <c r="BF104" s="709">
        <f t="shared" si="85"/>
        <v>16259961.758242946</v>
      </c>
      <c r="BH104" s="592">
        <f t="shared" si="76"/>
        <v>502</v>
      </c>
    </row>
    <row r="105" spans="1:60" ht="15">
      <c r="A105" s="592" t="s">
        <v>1493</v>
      </c>
      <c r="B105" s="637" t="s">
        <v>1494</v>
      </c>
      <c r="F105" s="712" t="s">
        <v>1420</v>
      </c>
      <c r="H105" s="720"/>
      <c r="J105" s="622">
        <v>-26601023.383000001</v>
      </c>
      <c r="K105" s="608"/>
      <c r="L105" s="622">
        <v>-15960614.0298</v>
      </c>
      <c r="M105" s="608"/>
      <c r="N105" s="622">
        <v>-10640409.3532</v>
      </c>
      <c r="P105" s="710" t="s">
        <v>1415</v>
      </c>
      <c r="R105" s="608">
        <v>0</v>
      </c>
      <c r="S105" s="608"/>
      <c r="T105" s="608">
        <v>0</v>
      </c>
      <c r="U105" s="608"/>
      <c r="V105" s="608">
        <f>+N105</f>
        <v>-10640409.3532</v>
      </c>
      <c r="W105" s="608"/>
      <c r="X105" s="608">
        <f t="shared" ref="X105" si="87">SUM(R105:V105)</f>
        <v>-10640409.3532</v>
      </c>
      <c r="Y105" s="608"/>
      <c r="Z105" s="609" t="s">
        <v>1492</v>
      </c>
      <c r="AA105" s="608"/>
      <c r="AB105" s="608">
        <v>0</v>
      </c>
      <c r="AC105" s="608"/>
      <c r="AD105" s="608">
        <v>0</v>
      </c>
      <c r="AE105" s="608"/>
      <c r="AF105" s="622">
        <v>-200343.29518555105</v>
      </c>
      <c r="AG105" s="608"/>
      <c r="AH105" s="609" t="s">
        <v>1416</v>
      </c>
      <c r="AI105" s="608"/>
      <c r="AJ105" s="607">
        <f t="shared" ref="AJ105" si="88">+R105-AB105</f>
        <v>0</v>
      </c>
      <c r="AK105" s="608"/>
      <c r="AL105" s="607">
        <f t="shared" ref="AL105" si="89">+T105-AD105</f>
        <v>0</v>
      </c>
      <c r="AM105" s="608"/>
      <c r="AN105" s="607">
        <f t="shared" ref="AN105" si="90">+V105-AF105</f>
        <v>-10440066.058014449</v>
      </c>
      <c r="AO105" s="608"/>
      <c r="AP105" s="608">
        <f t="shared" ref="AP105" si="91">SUM(AJ105:AN105)</f>
        <v>-10440066.058014449</v>
      </c>
      <c r="AR105" s="608">
        <v>0</v>
      </c>
      <c r="AS105" s="608"/>
      <c r="AT105" s="608">
        <v>0</v>
      </c>
      <c r="AU105" s="608"/>
      <c r="AV105" s="798">
        <v>-1426378.2571471201</v>
      </c>
      <c r="AW105" s="608"/>
      <c r="AX105" s="607">
        <f t="shared" ref="AX105:AX106" si="92">+AJ105-AR105</f>
        <v>0</v>
      </c>
      <c r="AY105" s="608"/>
      <c r="AZ105" s="607">
        <f t="shared" ref="AZ105:AZ106" si="93">+AL105-AT105</f>
        <v>0</v>
      </c>
      <c r="BA105" s="608"/>
      <c r="BB105" s="607">
        <f t="shared" ref="BB105:BB106" si="94">+AN105-AV105</f>
        <v>-9013687.8008673284</v>
      </c>
      <c r="BC105" s="608"/>
      <c r="BD105" s="608">
        <f t="shared" ref="BD105:BD106" si="95">SUM(AX105:BB105)</f>
        <v>-9013687.8008673284</v>
      </c>
      <c r="BF105" s="709">
        <f t="shared" ref="BF105:BF106" si="96">+BD105*$BF$9</f>
        <v>-12516159.93144246</v>
      </c>
      <c r="BH105" s="592" t="s">
        <v>1493</v>
      </c>
    </row>
    <row r="106" spans="1:60" ht="15">
      <c r="A106" s="592">
        <f>A104+1</f>
        <v>503</v>
      </c>
      <c r="B106" s="624" t="s">
        <v>1495</v>
      </c>
      <c r="F106" s="712" t="s">
        <v>1404</v>
      </c>
      <c r="H106" s="720"/>
      <c r="J106" s="622">
        <v>-47739682.848362915</v>
      </c>
      <c r="K106" s="608"/>
      <c r="L106" s="622">
        <v>-28643809.713524446</v>
      </c>
      <c r="M106" s="608"/>
      <c r="N106" s="622">
        <v>-19095873.134838477</v>
      </c>
      <c r="P106" s="710" t="s">
        <v>1405</v>
      </c>
      <c r="R106" s="608">
        <v>0</v>
      </c>
      <c r="S106" s="608"/>
      <c r="T106" s="608">
        <v>0</v>
      </c>
      <c r="U106" s="608"/>
      <c r="V106" s="608">
        <f>N106</f>
        <v>-19095873.134838477</v>
      </c>
      <c r="W106" s="608"/>
      <c r="X106" s="608">
        <f>SUM(R106:V106)</f>
        <v>-19095873.134838477</v>
      </c>
      <c r="Y106" s="608"/>
      <c r="Z106" s="609" t="s">
        <v>1492</v>
      </c>
      <c r="AA106" s="608"/>
      <c r="AB106" s="608">
        <v>0</v>
      </c>
      <c r="AC106" s="608"/>
      <c r="AD106" s="608">
        <v>0</v>
      </c>
      <c r="AE106" s="608"/>
      <c r="AF106" s="622">
        <v>-14869651.013005976</v>
      </c>
      <c r="AG106" s="608"/>
      <c r="AH106" s="609" t="s">
        <v>1407</v>
      </c>
      <c r="AI106" s="608"/>
      <c r="AJ106" s="607">
        <f t="shared" si="78"/>
        <v>0</v>
      </c>
      <c r="AK106" s="608"/>
      <c r="AL106" s="607">
        <f t="shared" si="79"/>
        <v>0</v>
      </c>
      <c r="AM106" s="608"/>
      <c r="AN106" s="607">
        <f t="shared" si="80"/>
        <v>-4226222.1218325011</v>
      </c>
      <c r="AO106" s="608"/>
      <c r="AP106" s="608">
        <f t="shared" si="81"/>
        <v>-4226222.1218325011</v>
      </c>
      <c r="AR106" s="608">
        <v>0</v>
      </c>
      <c r="AS106" s="608"/>
      <c r="AT106" s="608">
        <v>0</v>
      </c>
      <c r="AU106" s="608"/>
      <c r="AV106" s="798">
        <v>-577409.31053098012</v>
      </c>
      <c r="AW106" s="608"/>
      <c r="AX106" s="607">
        <f t="shared" si="92"/>
        <v>0</v>
      </c>
      <c r="AY106" s="608"/>
      <c r="AZ106" s="607">
        <f t="shared" si="93"/>
        <v>0</v>
      </c>
      <c r="BA106" s="608"/>
      <c r="BB106" s="607">
        <f t="shared" si="94"/>
        <v>-3648812.811301521</v>
      </c>
      <c r="BC106" s="608"/>
      <c r="BD106" s="608">
        <f t="shared" si="95"/>
        <v>-3648812.811301521</v>
      </c>
      <c r="BF106" s="709">
        <f t="shared" si="96"/>
        <v>-5066641.5029097823</v>
      </c>
      <c r="BH106" s="592">
        <f t="shared" si="76"/>
        <v>503</v>
      </c>
    </row>
    <row r="107" spans="1:60" ht="15">
      <c r="A107" s="592">
        <f t="shared" si="77"/>
        <v>504</v>
      </c>
      <c r="B107" s="624" t="s">
        <v>1496</v>
      </c>
      <c r="F107" s="712" t="s">
        <v>1404</v>
      </c>
      <c r="H107" s="720"/>
      <c r="J107" s="622">
        <v>-103799.5006187651</v>
      </c>
      <c r="K107" s="608"/>
      <c r="L107" s="622">
        <v>-62279.567696489263</v>
      </c>
      <c r="M107" s="608"/>
      <c r="N107" s="622">
        <v>-41519.932922275839</v>
      </c>
      <c r="P107" s="710" t="s">
        <v>1405</v>
      </c>
      <c r="R107" s="608">
        <v>0</v>
      </c>
      <c r="S107" s="608"/>
      <c r="T107" s="608">
        <v>0</v>
      </c>
      <c r="U107" s="608"/>
      <c r="V107" s="608">
        <f>N107</f>
        <v>-41519.932922275839</v>
      </c>
      <c r="W107" s="608"/>
      <c r="X107" s="608">
        <f>SUM(R107:V107)</f>
        <v>-41519.932922275839</v>
      </c>
      <c r="Y107" s="608"/>
      <c r="Z107" s="609" t="s">
        <v>1492</v>
      </c>
      <c r="AA107" s="608"/>
      <c r="AB107" s="608">
        <v>0</v>
      </c>
      <c r="AC107" s="608"/>
      <c r="AD107" s="608">
        <v>0</v>
      </c>
      <c r="AE107" s="608"/>
      <c r="AF107" s="622">
        <v>-32330.907745260389</v>
      </c>
      <c r="AG107" s="608"/>
      <c r="AH107" s="609" t="s">
        <v>1407</v>
      </c>
      <c r="AI107" s="608"/>
      <c r="AJ107" s="607">
        <f t="shared" si="78"/>
        <v>0</v>
      </c>
      <c r="AK107" s="608"/>
      <c r="AL107" s="607">
        <f t="shared" si="79"/>
        <v>0</v>
      </c>
      <c r="AM107" s="608"/>
      <c r="AN107" s="607">
        <f t="shared" si="80"/>
        <v>-9189.02517701545</v>
      </c>
      <c r="AO107" s="608"/>
      <c r="AP107" s="608">
        <f t="shared" si="81"/>
        <v>-9189.02517701545</v>
      </c>
      <c r="AR107" s="608">
        <v>0</v>
      </c>
      <c r="AS107" s="608"/>
      <c r="AT107" s="608">
        <v>0</v>
      </c>
      <c r="AU107" s="608"/>
      <c r="AV107" s="798">
        <v>-1255.4542896604037</v>
      </c>
      <c r="AW107" s="608"/>
      <c r="AX107" s="607">
        <f t="shared" si="82"/>
        <v>0</v>
      </c>
      <c r="AY107" s="608"/>
      <c r="AZ107" s="607">
        <f t="shared" si="83"/>
        <v>0</v>
      </c>
      <c r="BA107" s="608"/>
      <c r="BB107" s="607">
        <f t="shared" si="84"/>
        <v>-7933.5708873550466</v>
      </c>
      <c r="BC107" s="608"/>
      <c r="BD107" s="608">
        <f t="shared" ref="BD107:BD113" si="97">SUM(AX107:BB107)</f>
        <v>-7933.5708873550466</v>
      </c>
      <c r="BF107" s="709">
        <f t="shared" si="85"/>
        <v>-11016.339177402711</v>
      </c>
      <c r="BH107" s="592">
        <f t="shared" si="76"/>
        <v>504</v>
      </c>
    </row>
    <row r="108" spans="1:60" ht="15">
      <c r="A108" s="592">
        <f>+A107+1</f>
        <v>505</v>
      </c>
      <c r="B108" s="624" t="s">
        <v>1497</v>
      </c>
      <c r="F108" s="712" t="s">
        <v>1404</v>
      </c>
      <c r="H108" s="720"/>
      <c r="J108" s="622">
        <v>53593752.500699803</v>
      </c>
      <c r="K108" s="608"/>
      <c r="L108" s="622">
        <v>32156251.730074722</v>
      </c>
      <c r="M108" s="608"/>
      <c r="N108" s="622">
        <v>21437500.770625081</v>
      </c>
      <c r="P108" s="710" t="s">
        <v>1405</v>
      </c>
      <c r="R108" s="608">
        <v>0</v>
      </c>
      <c r="S108" s="608"/>
      <c r="T108" s="608">
        <v>0</v>
      </c>
      <c r="U108" s="608"/>
      <c r="V108" s="608">
        <f>N108</f>
        <v>21437500.770625081</v>
      </c>
      <c r="W108" s="608"/>
      <c r="X108" s="608">
        <f>SUM(R108:V108)</f>
        <v>21437500.770625081</v>
      </c>
      <c r="Y108" s="608"/>
      <c r="Z108" s="609" t="s">
        <v>1492</v>
      </c>
      <c r="AA108" s="608"/>
      <c r="AB108" s="608">
        <v>0</v>
      </c>
      <c r="AC108" s="608"/>
      <c r="AD108" s="608">
        <v>0</v>
      </c>
      <c r="AE108" s="608"/>
      <c r="AF108" s="622">
        <v>16693039.003735397</v>
      </c>
      <c r="AG108" s="608"/>
      <c r="AH108" s="609" t="s">
        <v>1407</v>
      </c>
      <c r="AI108" s="608"/>
      <c r="AJ108" s="607">
        <f t="shared" si="78"/>
        <v>0</v>
      </c>
      <c r="AK108" s="608"/>
      <c r="AL108" s="607">
        <f t="shared" si="79"/>
        <v>0</v>
      </c>
      <c r="AM108" s="608"/>
      <c r="AN108" s="607">
        <f t="shared" si="80"/>
        <v>4744461.7668896839</v>
      </c>
      <c r="AO108" s="608"/>
      <c r="AP108" s="608">
        <f t="shared" si="81"/>
        <v>4744461.7668896839</v>
      </c>
      <c r="AR108" s="608">
        <v>0</v>
      </c>
      <c r="AS108" s="608"/>
      <c r="AT108" s="608">
        <v>0</v>
      </c>
      <c r="AU108" s="608"/>
      <c r="AV108" s="798">
        <v>648214.01210983109</v>
      </c>
      <c r="AW108" s="608"/>
      <c r="AX108" s="607">
        <f t="shared" si="82"/>
        <v>0</v>
      </c>
      <c r="AY108" s="608"/>
      <c r="AZ108" s="607">
        <f t="shared" si="83"/>
        <v>0</v>
      </c>
      <c r="BA108" s="608"/>
      <c r="BB108" s="607">
        <f t="shared" si="84"/>
        <v>4096247.7547798529</v>
      </c>
      <c r="BC108" s="608"/>
      <c r="BD108" s="608">
        <f t="shared" si="97"/>
        <v>4096247.7547798529</v>
      </c>
      <c r="BF108" s="709">
        <f t="shared" si="85"/>
        <v>5687937.407007088</v>
      </c>
      <c r="BH108" s="592">
        <f t="shared" si="76"/>
        <v>505</v>
      </c>
    </row>
    <row r="109" spans="1:60" ht="15">
      <c r="A109" s="592">
        <f>+A108+1</f>
        <v>506</v>
      </c>
      <c r="B109" s="624" t="s">
        <v>1498</v>
      </c>
      <c r="F109" s="712" t="s">
        <v>1404</v>
      </c>
      <c r="H109" s="720"/>
      <c r="J109" s="622">
        <v>4213331.3249256369</v>
      </c>
      <c r="K109" s="608"/>
      <c r="L109" s="622">
        <v>2531567.1823000652</v>
      </c>
      <c r="M109" s="608"/>
      <c r="N109" s="622">
        <v>1681764.1426255719</v>
      </c>
      <c r="P109" s="710" t="s">
        <v>1405</v>
      </c>
      <c r="R109" s="608">
        <v>0</v>
      </c>
      <c r="S109" s="608"/>
      <c r="T109" s="608">
        <v>0</v>
      </c>
      <c r="U109" s="608"/>
      <c r="V109" s="608">
        <f>N109</f>
        <v>1681764.1426255719</v>
      </c>
      <c r="W109" s="608"/>
      <c r="X109" s="608">
        <f>SUM(R109:V109)</f>
        <v>1681764.1426255719</v>
      </c>
      <c r="Y109" s="608"/>
      <c r="Z109" s="609" t="s">
        <v>1492</v>
      </c>
      <c r="AA109" s="608"/>
      <c r="AB109" s="608">
        <v>0</v>
      </c>
      <c r="AC109" s="608"/>
      <c r="AD109" s="608">
        <v>0</v>
      </c>
      <c r="AE109" s="608"/>
      <c r="AF109" s="622">
        <v>1309562.8416909771</v>
      </c>
      <c r="AG109" s="608"/>
      <c r="AH109" s="609" t="s">
        <v>1407</v>
      </c>
      <c r="AI109" s="608"/>
      <c r="AJ109" s="607">
        <f t="shared" si="78"/>
        <v>0</v>
      </c>
      <c r="AK109" s="608"/>
      <c r="AL109" s="607">
        <f t="shared" si="79"/>
        <v>0</v>
      </c>
      <c r="AM109" s="608"/>
      <c r="AN109" s="607">
        <f t="shared" si="80"/>
        <v>372201.30093459482</v>
      </c>
      <c r="AO109" s="608"/>
      <c r="AP109" s="608">
        <f t="shared" si="81"/>
        <v>372201.30093459482</v>
      </c>
      <c r="AR109" s="608">
        <v>0</v>
      </c>
      <c r="AS109" s="608"/>
      <c r="AT109" s="608">
        <v>0</v>
      </c>
      <c r="AU109" s="608"/>
      <c r="AV109" s="798">
        <v>50852.153615198913</v>
      </c>
      <c r="AW109" s="608"/>
      <c r="AX109" s="607">
        <f t="shared" si="82"/>
        <v>0</v>
      </c>
      <c r="AY109" s="608"/>
      <c r="AZ109" s="607">
        <f t="shared" si="83"/>
        <v>0</v>
      </c>
      <c r="BA109" s="608"/>
      <c r="BB109" s="607">
        <f t="shared" si="84"/>
        <v>321349.14731939591</v>
      </c>
      <c r="BC109" s="608"/>
      <c r="BD109" s="608">
        <f t="shared" si="97"/>
        <v>321349.14731939591</v>
      </c>
      <c r="BF109" s="709">
        <f t="shared" si="85"/>
        <v>446216.62193527567</v>
      </c>
      <c r="BH109" s="592">
        <f t="shared" si="76"/>
        <v>506</v>
      </c>
    </row>
    <row r="110" spans="1:60" ht="15">
      <c r="A110" s="592">
        <f t="shared" ref="A110:A112" si="98">+A109+1</f>
        <v>507</v>
      </c>
      <c r="B110" s="624" t="s">
        <v>1499</v>
      </c>
      <c r="F110" s="712" t="s">
        <v>1404</v>
      </c>
      <c r="H110" s="720"/>
      <c r="J110" s="622">
        <v>9122.9710945983843</v>
      </c>
      <c r="K110" s="608"/>
      <c r="L110" s="622">
        <v>5504.3275068897183</v>
      </c>
      <c r="M110" s="608"/>
      <c r="N110" s="622">
        <v>3618.643587708666</v>
      </c>
      <c r="P110" s="710" t="s">
        <v>1405</v>
      </c>
      <c r="R110" s="608">
        <v>0</v>
      </c>
      <c r="S110" s="608"/>
      <c r="T110" s="608">
        <v>0</v>
      </c>
      <c r="U110" s="608"/>
      <c r="V110" s="608">
        <f t="shared" ref="V110:V111" si="99">N110</f>
        <v>3618.643587708666</v>
      </c>
      <c r="W110" s="608"/>
      <c r="X110" s="608">
        <f t="shared" ref="X110:X111" si="100">SUM(R110:V110)</f>
        <v>3618.643587708666</v>
      </c>
      <c r="Y110" s="608"/>
      <c r="Z110" s="609" t="s">
        <v>1492</v>
      </c>
      <c r="AA110" s="608"/>
      <c r="AB110" s="608">
        <v>0</v>
      </c>
      <c r="AC110" s="608"/>
      <c r="AD110" s="608">
        <v>0</v>
      </c>
      <c r="AE110" s="608"/>
      <c r="AF110" s="622">
        <v>2817.7798893894301</v>
      </c>
      <c r="AG110" s="608"/>
      <c r="AH110" s="609" t="s">
        <v>1407</v>
      </c>
      <c r="AI110" s="608"/>
      <c r="AJ110" s="607">
        <f t="shared" si="78"/>
        <v>0</v>
      </c>
      <c r="AK110" s="608"/>
      <c r="AL110" s="607">
        <f t="shared" si="79"/>
        <v>0</v>
      </c>
      <c r="AM110" s="608"/>
      <c r="AN110" s="607">
        <f t="shared" si="80"/>
        <v>800.86369831923594</v>
      </c>
      <c r="AO110" s="608"/>
      <c r="AP110" s="608">
        <f t="shared" si="81"/>
        <v>800.86369831923594</v>
      </c>
      <c r="AR110" s="608">
        <v>0</v>
      </c>
      <c r="AS110" s="608"/>
      <c r="AT110" s="608">
        <v>0</v>
      </c>
      <c r="AU110" s="608"/>
      <c r="AV110" s="798">
        <v>109.41832741987818</v>
      </c>
      <c r="AW110" s="608"/>
      <c r="AX110" s="607">
        <f t="shared" si="82"/>
        <v>0</v>
      </c>
      <c r="AY110" s="608"/>
      <c r="AZ110" s="607">
        <f t="shared" si="83"/>
        <v>0</v>
      </c>
      <c r="BA110" s="608"/>
      <c r="BB110" s="607">
        <f t="shared" si="84"/>
        <v>691.44537089935773</v>
      </c>
      <c r="BC110" s="608"/>
      <c r="BD110" s="608">
        <f t="shared" si="97"/>
        <v>691.44537089935773</v>
      </c>
      <c r="BF110" s="709">
        <f t="shared" si="85"/>
        <v>960.12209843779704</v>
      </c>
      <c r="BH110" s="592">
        <f t="shared" si="76"/>
        <v>507</v>
      </c>
    </row>
    <row r="111" spans="1:60" ht="15">
      <c r="A111" s="592">
        <f t="shared" si="98"/>
        <v>508</v>
      </c>
      <c r="B111" s="624" t="s">
        <v>1500</v>
      </c>
      <c r="F111" s="712" t="s">
        <v>1404</v>
      </c>
      <c r="H111" s="720"/>
      <c r="J111" s="622">
        <v>-5726065.1655639941</v>
      </c>
      <c r="K111" s="608"/>
      <c r="L111" s="622">
        <v>-3437649.0479296735</v>
      </c>
      <c r="M111" s="608"/>
      <c r="N111" s="622">
        <v>-2288416.1176343206</v>
      </c>
      <c r="P111" s="710" t="s">
        <v>1405</v>
      </c>
      <c r="R111" s="608">
        <v>0</v>
      </c>
      <c r="S111" s="608"/>
      <c r="T111" s="608">
        <v>0</v>
      </c>
      <c r="U111" s="608"/>
      <c r="V111" s="608">
        <f t="shared" si="99"/>
        <v>-2288416.1176343206</v>
      </c>
      <c r="W111" s="608"/>
      <c r="X111" s="608">
        <f t="shared" si="100"/>
        <v>-2288416.1176343206</v>
      </c>
      <c r="Y111" s="608"/>
      <c r="Z111" s="609" t="s">
        <v>1492</v>
      </c>
      <c r="AA111" s="608"/>
      <c r="AB111" s="608">
        <v>0</v>
      </c>
      <c r="AC111" s="608"/>
      <c r="AD111" s="608">
        <v>0</v>
      </c>
      <c r="AE111" s="608"/>
      <c r="AF111" s="622">
        <v>-1781953.0325471135</v>
      </c>
      <c r="AG111" s="608"/>
      <c r="AH111" s="609" t="s">
        <v>1407</v>
      </c>
      <c r="AI111" s="608"/>
      <c r="AJ111" s="607">
        <f t="shared" si="78"/>
        <v>0</v>
      </c>
      <c r="AK111" s="608"/>
      <c r="AL111" s="607">
        <f t="shared" si="79"/>
        <v>0</v>
      </c>
      <c r="AM111" s="608"/>
      <c r="AN111" s="607">
        <f t="shared" si="80"/>
        <v>-506463.08508720715</v>
      </c>
      <c r="AO111" s="608"/>
      <c r="AP111" s="608">
        <f t="shared" si="81"/>
        <v>-506463.08508720715</v>
      </c>
      <c r="AR111" s="608">
        <v>0</v>
      </c>
      <c r="AS111" s="608"/>
      <c r="AT111" s="608">
        <v>0</v>
      </c>
      <c r="AU111" s="608"/>
      <c r="AV111" s="798">
        <v>-69195.724299222638</v>
      </c>
      <c r="AW111" s="608"/>
      <c r="AX111" s="607">
        <f t="shared" si="82"/>
        <v>0</v>
      </c>
      <c r="AY111" s="608"/>
      <c r="AZ111" s="607">
        <f t="shared" si="83"/>
        <v>0</v>
      </c>
      <c r="BA111" s="608"/>
      <c r="BB111" s="607">
        <f t="shared" si="84"/>
        <v>-437267.36078798451</v>
      </c>
      <c r="BC111" s="608"/>
      <c r="BD111" s="608">
        <f t="shared" si="97"/>
        <v>-437267.36078798451</v>
      </c>
      <c r="BF111" s="709">
        <f t="shared" si="85"/>
        <v>-607177.47733569646</v>
      </c>
      <c r="BH111" s="592">
        <f t="shared" si="76"/>
        <v>508</v>
      </c>
    </row>
    <row r="112" spans="1:60" ht="15">
      <c r="A112" s="592">
        <f t="shared" si="98"/>
        <v>509</v>
      </c>
      <c r="B112" s="624"/>
      <c r="F112" s="712"/>
      <c r="H112" s="720"/>
      <c r="J112" s="622"/>
      <c r="K112" s="608"/>
      <c r="L112" s="622"/>
      <c r="M112" s="608"/>
      <c r="N112" s="622"/>
      <c r="R112" s="608">
        <v>0</v>
      </c>
      <c r="S112" s="608"/>
      <c r="T112" s="608">
        <v>0</v>
      </c>
      <c r="U112" s="608"/>
      <c r="V112" s="608">
        <f t="shared" ref="V112:V113" si="101">N112</f>
        <v>0</v>
      </c>
      <c r="W112" s="608"/>
      <c r="X112" s="608">
        <f t="shared" ref="X112:X113" si="102">SUM(R112:V112)</f>
        <v>0</v>
      </c>
      <c r="Y112" s="608"/>
      <c r="Z112" s="709"/>
      <c r="AA112" s="608"/>
      <c r="AB112" s="608">
        <v>0</v>
      </c>
      <c r="AC112" s="608"/>
      <c r="AD112" s="608">
        <v>0</v>
      </c>
      <c r="AE112" s="608"/>
      <c r="AF112" s="622"/>
      <c r="AG112" s="608"/>
      <c r="AH112" s="709"/>
      <c r="AI112" s="608"/>
      <c r="AJ112" s="607">
        <f t="shared" si="78"/>
        <v>0</v>
      </c>
      <c r="AK112" s="608"/>
      <c r="AL112" s="607">
        <f t="shared" si="79"/>
        <v>0</v>
      </c>
      <c r="AM112" s="608"/>
      <c r="AN112" s="607">
        <f t="shared" si="80"/>
        <v>0</v>
      </c>
      <c r="AO112" s="608"/>
      <c r="AP112" s="608">
        <f t="shared" si="81"/>
        <v>0</v>
      </c>
      <c r="AR112" s="608">
        <v>0</v>
      </c>
      <c r="AS112" s="608"/>
      <c r="AT112" s="608">
        <v>0</v>
      </c>
      <c r="AU112" s="608"/>
      <c r="AV112" s="622"/>
      <c r="AW112" s="608"/>
      <c r="AX112" s="607">
        <f t="shared" si="82"/>
        <v>0</v>
      </c>
      <c r="AY112" s="608"/>
      <c r="AZ112" s="607">
        <f t="shared" si="83"/>
        <v>0</v>
      </c>
      <c r="BA112" s="608"/>
      <c r="BB112" s="607">
        <f t="shared" si="84"/>
        <v>0</v>
      </c>
      <c r="BC112" s="608"/>
      <c r="BD112" s="608">
        <f t="shared" si="97"/>
        <v>0</v>
      </c>
      <c r="BF112" s="709"/>
      <c r="BH112" s="592">
        <f t="shared" si="76"/>
        <v>509</v>
      </c>
    </row>
    <row r="113" spans="1:60" ht="15">
      <c r="A113" s="592">
        <f>+A110+1</f>
        <v>508</v>
      </c>
      <c r="B113" s="624"/>
      <c r="F113" s="712"/>
      <c r="H113" s="720"/>
      <c r="J113" s="622"/>
      <c r="K113" s="608"/>
      <c r="L113" s="622"/>
      <c r="M113" s="608"/>
      <c r="N113" s="622"/>
      <c r="R113" s="608">
        <v>0</v>
      </c>
      <c r="S113" s="608"/>
      <c r="T113" s="608">
        <v>0</v>
      </c>
      <c r="U113" s="608"/>
      <c r="V113" s="608">
        <f t="shared" si="101"/>
        <v>0</v>
      </c>
      <c r="W113" s="608"/>
      <c r="X113" s="608">
        <f t="shared" si="102"/>
        <v>0</v>
      </c>
      <c r="Y113" s="608"/>
      <c r="Z113" s="709"/>
      <c r="AA113" s="608"/>
      <c r="AB113" s="608">
        <v>0</v>
      </c>
      <c r="AC113" s="608"/>
      <c r="AD113" s="608">
        <v>0</v>
      </c>
      <c r="AE113" s="608"/>
      <c r="AF113" s="622"/>
      <c r="AG113" s="608"/>
      <c r="AH113" s="709"/>
      <c r="AI113" s="608"/>
      <c r="AJ113" s="607">
        <f t="shared" si="78"/>
        <v>0</v>
      </c>
      <c r="AK113" s="608"/>
      <c r="AL113" s="607">
        <f t="shared" si="79"/>
        <v>0</v>
      </c>
      <c r="AM113" s="608"/>
      <c r="AN113" s="607">
        <f t="shared" si="80"/>
        <v>0</v>
      </c>
      <c r="AO113" s="608"/>
      <c r="AP113" s="608">
        <f t="shared" si="81"/>
        <v>0</v>
      </c>
      <c r="AR113" s="608">
        <v>0</v>
      </c>
      <c r="AS113" s="608"/>
      <c r="AT113" s="608">
        <v>0</v>
      </c>
      <c r="AU113" s="608"/>
      <c r="AV113" s="622"/>
      <c r="AW113" s="608"/>
      <c r="AX113" s="607">
        <f t="shared" si="82"/>
        <v>0</v>
      </c>
      <c r="AY113" s="608"/>
      <c r="AZ113" s="607">
        <f t="shared" si="83"/>
        <v>0</v>
      </c>
      <c r="BA113" s="608"/>
      <c r="BB113" s="607">
        <f t="shared" si="84"/>
        <v>0</v>
      </c>
      <c r="BC113" s="608"/>
      <c r="BD113" s="608">
        <f t="shared" si="97"/>
        <v>0</v>
      </c>
      <c r="BF113" s="709"/>
      <c r="BH113" s="592">
        <f t="shared" si="76"/>
        <v>508</v>
      </c>
    </row>
    <row r="114" spans="1:60" ht="15">
      <c r="A114" s="592"/>
      <c r="B114" s="597"/>
      <c r="F114" s="712"/>
      <c r="H114" s="709"/>
      <c r="J114" s="608"/>
      <c r="K114" s="608"/>
      <c r="L114" s="608"/>
      <c r="M114" s="608"/>
      <c r="N114" s="608"/>
      <c r="R114" s="608"/>
      <c r="S114" s="608"/>
      <c r="T114" s="608"/>
      <c r="U114" s="608"/>
      <c r="V114" s="608"/>
      <c r="W114" s="608"/>
      <c r="X114" s="608"/>
      <c r="Y114" s="608"/>
      <c r="Z114" s="709"/>
      <c r="AA114" s="608"/>
      <c r="AB114" s="608"/>
      <c r="AC114" s="608"/>
      <c r="AD114" s="608"/>
      <c r="AE114" s="608"/>
      <c r="AF114" s="608"/>
      <c r="AG114" s="608"/>
      <c r="AH114" s="709"/>
      <c r="AI114" s="608"/>
      <c r="AJ114" s="608"/>
      <c r="AK114" s="608"/>
      <c r="AL114" s="608"/>
      <c r="AM114" s="608"/>
      <c r="AN114" s="608"/>
      <c r="AO114" s="608"/>
      <c r="AP114" s="608"/>
      <c r="AR114" s="608"/>
      <c r="AS114" s="608"/>
      <c r="AT114" s="608"/>
      <c r="AU114" s="608"/>
      <c r="AV114" s="608"/>
      <c r="AW114" s="608"/>
      <c r="AX114" s="608"/>
      <c r="AY114" s="608"/>
      <c r="AZ114" s="608"/>
      <c r="BA114" s="608"/>
      <c r="BB114" s="608"/>
      <c r="BC114" s="608"/>
      <c r="BD114" s="608"/>
      <c r="BF114" s="709"/>
      <c r="BH114" s="592"/>
    </row>
    <row r="115" spans="1:60" ht="15">
      <c r="A115" s="322" t="s">
        <v>100</v>
      </c>
      <c r="F115" s="712"/>
      <c r="H115" s="702"/>
      <c r="BH115" s="618" t="s">
        <v>100</v>
      </c>
    </row>
    <row r="116" spans="1:60" ht="15">
      <c r="A116" s="592">
        <v>600</v>
      </c>
      <c r="B116" s="590" t="s">
        <v>1501</v>
      </c>
      <c r="F116" s="712"/>
      <c r="H116" s="718">
        <f>ROUND(SUM(H117:H121),0)</f>
        <v>0</v>
      </c>
      <c r="J116" s="611">
        <f>ROUND(SUM(J117:J121),0)</f>
        <v>336430551</v>
      </c>
      <c r="K116" s="608"/>
      <c r="L116" s="611">
        <f>ROUND(SUM(L117:L121),0)</f>
        <v>201858330</v>
      </c>
      <c r="M116" s="608"/>
      <c r="N116" s="611">
        <f>ROUND(SUM(N117:N121),0)</f>
        <v>134572220</v>
      </c>
      <c r="O116" s="592"/>
      <c r="P116" s="592"/>
      <c r="Q116" s="592"/>
      <c r="R116" s="611">
        <f>ROUND(SUM(R117:R121),0)</f>
        <v>134572220</v>
      </c>
      <c r="S116" s="608"/>
      <c r="T116" s="611">
        <f>ROUND(SUM(T117:T121),0)</f>
        <v>0</v>
      </c>
      <c r="U116" s="608"/>
      <c r="V116" s="611">
        <f>ROUND(SUM(V117:V121),0)</f>
        <v>0</v>
      </c>
      <c r="W116" s="608"/>
      <c r="X116" s="611">
        <f>ROUND(SUM(X117:X121),0)</f>
        <v>134572220</v>
      </c>
      <c r="Y116" s="608"/>
      <c r="Z116" s="709"/>
      <c r="AA116" s="608"/>
      <c r="AB116" s="611">
        <f>SUM(AB117:AB121)</f>
        <v>6619455.2183556501</v>
      </c>
      <c r="AC116" s="608"/>
      <c r="AD116" s="611">
        <f>SUM(AD117:AD121)</f>
        <v>0</v>
      </c>
      <c r="AE116" s="608"/>
      <c r="AF116" s="611">
        <f>SUM(AF117:AF121)</f>
        <v>0</v>
      </c>
      <c r="AG116" s="608"/>
      <c r="AH116" s="709"/>
      <c r="AI116" s="608"/>
      <c r="AJ116" s="611">
        <f>SUM(AJ117:AJ121)</f>
        <v>127952764.98767835</v>
      </c>
      <c r="AK116" s="608"/>
      <c r="AL116" s="611">
        <f>SUM(AL117:AL121)</f>
        <v>0</v>
      </c>
      <c r="AM116" s="608"/>
      <c r="AN116" s="611">
        <f>SUM(AN117:AN121)</f>
        <v>0</v>
      </c>
      <c r="AO116" s="608"/>
      <c r="AP116" s="611">
        <f>SUM(AP117:AP121)</f>
        <v>127952764.98767835</v>
      </c>
      <c r="AR116" s="611">
        <f>SUM(AR117:AR121)</f>
        <v>2209671.1178206801</v>
      </c>
      <c r="AS116" s="608"/>
      <c r="AT116" s="611">
        <f>SUM(AT117:AT121)</f>
        <v>0</v>
      </c>
      <c r="AU116" s="608"/>
      <c r="AV116" s="611">
        <f>SUM(AV117:AV121)</f>
        <v>0</v>
      </c>
      <c r="AW116" s="608"/>
      <c r="AX116" s="611">
        <f>SUM(AX117:AX121)</f>
        <v>125743093.86985767</v>
      </c>
      <c r="AY116" s="608"/>
      <c r="AZ116" s="611">
        <f>SUM(AZ117:AZ121)</f>
        <v>0</v>
      </c>
      <c r="BA116" s="608"/>
      <c r="BB116" s="611">
        <f>SUM(BB117:BB121)</f>
        <v>0</v>
      </c>
      <c r="BC116" s="608"/>
      <c r="BD116" s="611">
        <f>SUM(BD117:BD121)</f>
        <v>125743093.86985767</v>
      </c>
      <c r="BF116" s="718">
        <f>ROUND(SUM(BF117:BF121),0)</f>
        <v>174603415</v>
      </c>
      <c r="BH116" s="592">
        <f t="shared" ref="BH116:BH121" si="103">A116</f>
        <v>600</v>
      </c>
    </row>
    <row r="117" spans="1:60" ht="15">
      <c r="A117" s="592">
        <f t="shared" ref="A117:A120" si="104">A116+1</f>
        <v>601</v>
      </c>
      <c r="B117" s="637" t="s">
        <v>1502</v>
      </c>
      <c r="F117" s="712" t="s">
        <v>1420</v>
      </c>
      <c r="H117" s="720"/>
      <c r="J117" s="622">
        <v>336430550.515086</v>
      </c>
      <c r="K117" s="608"/>
      <c r="L117" s="622">
        <v>201858330.30905101</v>
      </c>
      <c r="M117" s="608"/>
      <c r="N117" s="622">
        <v>134572220.206034</v>
      </c>
      <c r="P117" s="710" t="s">
        <v>1415</v>
      </c>
      <c r="R117" s="608">
        <f>+N117</f>
        <v>134572220.206034</v>
      </c>
      <c r="S117" s="608"/>
      <c r="T117" s="608">
        <v>0</v>
      </c>
      <c r="U117" s="608"/>
      <c r="V117" s="608">
        <v>0</v>
      </c>
      <c r="W117" s="608"/>
      <c r="X117" s="608">
        <f>SUM(R117:V117)</f>
        <v>134572220.206034</v>
      </c>
      <c r="Y117" s="608"/>
      <c r="Z117" s="609" t="s">
        <v>1406</v>
      </c>
      <c r="AA117" s="608"/>
      <c r="AB117" s="622">
        <v>6619455.2183556501</v>
      </c>
      <c r="AC117" s="608"/>
      <c r="AD117" s="608">
        <v>0</v>
      </c>
      <c r="AE117" s="608"/>
      <c r="AF117" s="608">
        <v>0</v>
      </c>
      <c r="AG117" s="608"/>
      <c r="AH117" s="609" t="s">
        <v>1416</v>
      </c>
      <c r="AI117" s="608"/>
      <c r="AJ117" s="607">
        <f t="shared" ref="AJ117:AJ122" si="105">+R117-AB117</f>
        <v>127952764.98767835</v>
      </c>
      <c r="AK117" s="608"/>
      <c r="AL117" s="607">
        <f t="shared" ref="AL117:AL122" si="106">+T117-AD117</f>
        <v>0</v>
      </c>
      <c r="AM117" s="608"/>
      <c r="AN117" s="607">
        <f t="shared" ref="AN117:AN122" si="107">+V117-AF117</f>
        <v>0</v>
      </c>
      <c r="AO117" s="608"/>
      <c r="AP117" s="608">
        <f t="shared" ref="AP117:AP122" si="108">SUM(AJ117:AN117)</f>
        <v>127952764.98767835</v>
      </c>
      <c r="AR117" s="798">
        <v>2209671.1178206801</v>
      </c>
      <c r="AS117" s="608"/>
      <c r="AT117" s="608">
        <v>0</v>
      </c>
      <c r="AU117" s="608"/>
      <c r="AV117" s="608">
        <v>0</v>
      </c>
      <c r="AW117" s="608"/>
      <c r="AX117" s="607">
        <f>+AJ117-AR117</f>
        <v>125743093.86985767</v>
      </c>
      <c r="AY117" s="608"/>
      <c r="AZ117" s="607">
        <f t="shared" ref="AZ117:AZ122" si="109">+AL117-AT117</f>
        <v>0</v>
      </c>
      <c r="BA117" s="608"/>
      <c r="BB117" s="607">
        <f t="shared" ref="BB117:BB122" si="110">+AN117-AV117</f>
        <v>0</v>
      </c>
      <c r="BC117" s="608"/>
      <c r="BD117" s="608">
        <f>SUM(AX117:BB117)</f>
        <v>125743093.86985767</v>
      </c>
      <c r="BF117" s="709">
        <f t="shared" ref="BF117:BF121" si="111">+BD117*$BF$9</f>
        <v>174603415.15246201</v>
      </c>
      <c r="BH117" s="592">
        <f t="shared" si="103"/>
        <v>601</v>
      </c>
    </row>
    <row r="118" spans="1:60" ht="15">
      <c r="A118" s="592">
        <f t="shared" si="104"/>
        <v>602</v>
      </c>
      <c r="B118" s="637"/>
      <c r="F118" s="712" t="s">
        <v>1420</v>
      </c>
      <c r="H118" s="720"/>
      <c r="J118" s="622"/>
      <c r="K118" s="608"/>
      <c r="L118" s="622"/>
      <c r="M118" s="608"/>
      <c r="N118" s="622"/>
      <c r="P118" s="710" t="s">
        <v>1415</v>
      </c>
      <c r="R118" s="608">
        <f>N118</f>
        <v>0</v>
      </c>
      <c r="S118" s="608"/>
      <c r="T118" s="608">
        <v>0</v>
      </c>
      <c r="U118" s="608"/>
      <c r="V118" s="608">
        <v>0</v>
      </c>
      <c r="W118" s="608"/>
      <c r="X118" s="608">
        <f t="shared" ref="X118:X121" si="112">SUM(R118:V118)</f>
        <v>0</v>
      </c>
      <c r="Y118" s="608"/>
      <c r="Z118" s="609" t="s">
        <v>1406</v>
      </c>
      <c r="AA118" s="608"/>
      <c r="AB118" s="622"/>
      <c r="AC118" s="608"/>
      <c r="AD118" s="608">
        <v>0</v>
      </c>
      <c r="AE118" s="608"/>
      <c r="AF118" s="608">
        <v>0</v>
      </c>
      <c r="AG118" s="608"/>
      <c r="AH118" s="609" t="s">
        <v>1416</v>
      </c>
      <c r="AI118" s="608"/>
      <c r="AJ118" s="607">
        <f t="shared" si="105"/>
        <v>0</v>
      </c>
      <c r="AK118" s="608"/>
      <c r="AL118" s="607">
        <f t="shared" si="106"/>
        <v>0</v>
      </c>
      <c r="AM118" s="608"/>
      <c r="AN118" s="607">
        <f t="shared" si="107"/>
        <v>0</v>
      </c>
      <c r="AO118" s="608"/>
      <c r="AP118" s="608">
        <f t="shared" si="108"/>
        <v>0</v>
      </c>
      <c r="AR118" s="622"/>
      <c r="AS118" s="608"/>
      <c r="AT118" s="608">
        <v>0</v>
      </c>
      <c r="AU118" s="608"/>
      <c r="AV118" s="608">
        <v>0</v>
      </c>
      <c r="AW118" s="608"/>
      <c r="AX118" s="607">
        <f t="shared" ref="AX118:AX122" si="113">+AJ118-AR118</f>
        <v>0</v>
      </c>
      <c r="AY118" s="608"/>
      <c r="AZ118" s="607">
        <f t="shared" si="109"/>
        <v>0</v>
      </c>
      <c r="BA118" s="608"/>
      <c r="BB118" s="607">
        <f t="shared" si="110"/>
        <v>0</v>
      </c>
      <c r="BC118" s="608"/>
      <c r="BD118" s="608">
        <f t="shared" ref="BD118:BD121" si="114">SUM(AX118:BB118)</f>
        <v>0</v>
      </c>
      <c r="BF118" s="709">
        <f t="shared" si="111"/>
        <v>0</v>
      </c>
      <c r="BH118" s="592">
        <f t="shared" si="103"/>
        <v>602</v>
      </c>
    </row>
    <row r="119" spans="1:60" ht="15">
      <c r="A119" s="592">
        <f t="shared" si="104"/>
        <v>603</v>
      </c>
      <c r="B119" s="623"/>
      <c r="F119" s="712"/>
      <c r="H119" s="720"/>
      <c r="J119" s="622"/>
      <c r="K119" s="608"/>
      <c r="L119" s="622"/>
      <c r="M119" s="608"/>
      <c r="N119" s="622"/>
      <c r="R119" s="608">
        <v>0</v>
      </c>
      <c r="S119" s="608"/>
      <c r="T119" s="608">
        <v>0</v>
      </c>
      <c r="U119" s="608"/>
      <c r="V119" s="608">
        <v>0</v>
      </c>
      <c r="W119" s="608"/>
      <c r="X119" s="608">
        <f t="shared" si="112"/>
        <v>0</v>
      </c>
      <c r="Y119" s="608"/>
      <c r="Z119" s="709"/>
      <c r="AA119" s="608"/>
      <c r="AB119" s="622"/>
      <c r="AC119" s="608"/>
      <c r="AD119" s="608">
        <v>0</v>
      </c>
      <c r="AE119" s="608"/>
      <c r="AF119" s="608">
        <v>0</v>
      </c>
      <c r="AG119" s="608"/>
      <c r="AH119" s="709"/>
      <c r="AI119" s="608"/>
      <c r="AJ119" s="607">
        <f t="shared" si="105"/>
        <v>0</v>
      </c>
      <c r="AK119" s="608"/>
      <c r="AL119" s="607">
        <f t="shared" si="106"/>
        <v>0</v>
      </c>
      <c r="AM119" s="608"/>
      <c r="AN119" s="607">
        <f t="shared" si="107"/>
        <v>0</v>
      </c>
      <c r="AO119" s="608"/>
      <c r="AP119" s="608">
        <f t="shared" si="108"/>
        <v>0</v>
      </c>
      <c r="AR119" s="622"/>
      <c r="AS119" s="608"/>
      <c r="AT119" s="608">
        <v>0</v>
      </c>
      <c r="AU119" s="608"/>
      <c r="AV119" s="608">
        <v>0</v>
      </c>
      <c r="AW119" s="608"/>
      <c r="AX119" s="607">
        <f t="shared" si="113"/>
        <v>0</v>
      </c>
      <c r="AY119" s="608"/>
      <c r="AZ119" s="607">
        <f t="shared" si="109"/>
        <v>0</v>
      </c>
      <c r="BA119" s="608"/>
      <c r="BB119" s="607">
        <f t="shared" si="110"/>
        <v>0</v>
      </c>
      <c r="BC119" s="608"/>
      <c r="BD119" s="608">
        <f t="shared" si="114"/>
        <v>0</v>
      </c>
      <c r="BF119" s="709">
        <f t="shared" si="111"/>
        <v>0</v>
      </c>
      <c r="BH119" s="592">
        <f t="shared" si="103"/>
        <v>603</v>
      </c>
    </row>
    <row r="120" spans="1:60" ht="15">
      <c r="A120" s="592">
        <f t="shared" si="104"/>
        <v>604</v>
      </c>
      <c r="B120" s="623"/>
      <c r="H120" s="720"/>
      <c r="J120" s="622"/>
      <c r="K120" s="608"/>
      <c r="L120" s="622"/>
      <c r="M120" s="608"/>
      <c r="N120" s="622"/>
      <c r="R120" s="608">
        <v>0</v>
      </c>
      <c r="S120" s="608"/>
      <c r="T120" s="608">
        <v>0</v>
      </c>
      <c r="U120" s="608"/>
      <c r="V120" s="608">
        <v>0</v>
      </c>
      <c r="W120" s="608"/>
      <c r="X120" s="608">
        <f t="shared" si="112"/>
        <v>0</v>
      </c>
      <c r="Y120" s="608"/>
      <c r="Z120" s="709"/>
      <c r="AA120" s="608"/>
      <c r="AB120" s="622"/>
      <c r="AC120" s="608"/>
      <c r="AD120" s="608">
        <v>0</v>
      </c>
      <c r="AE120" s="608"/>
      <c r="AF120" s="608">
        <v>0</v>
      </c>
      <c r="AG120" s="608"/>
      <c r="AH120" s="709"/>
      <c r="AI120" s="608"/>
      <c r="AJ120" s="607">
        <f t="shared" si="105"/>
        <v>0</v>
      </c>
      <c r="AK120" s="608"/>
      <c r="AL120" s="607">
        <f t="shared" si="106"/>
        <v>0</v>
      </c>
      <c r="AM120" s="608"/>
      <c r="AN120" s="607">
        <f t="shared" si="107"/>
        <v>0</v>
      </c>
      <c r="AO120" s="608"/>
      <c r="AP120" s="608">
        <f t="shared" si="108"/>
        <v>0</v>
      </c>
      <c r="AR120" s="622"/>
      <c r="AS120" s="608"/>
      <c r="AT120" s="608">
        <v>0</v>
      </c>
      <c r="AU120" s="608"/>
      <c r="AV120" s="608">
        <v>0</v>
      </c>
      <c r="AW120" s="608"/>
      <c r="AX120" s="607">
        <f t="shared" si="113"/>
        <v>0</v>
      </c>
      <c r="AY120" s="608"/>
      <c r="AZ120" s="607">
        <f t="shared" si="109"/>
        <v>0</v>
      </c>
      <c r="BA120" s="608"/>
      <c r="BB120" s="607">
        <f t="shared" si="110"/>
        <v>0</v>
      </c>
      <c r="BC120" s="608"/>
      <c r="BD120" s="608">
        <f t="shared" si="114"/>
        <v>0</v>
      </c>
      <c r="BF120" s="709">
        <f t="shared" si="111"/>
        <v>0</v>
      </c>
      <c r="BH120" s="592">
        <f t="shared" si="103"/>
        <v>604</v>
      </c>
    </row>
    <row r="121" spans="1:60" ht="15">
      <c r="A121" s="592">
        <f>+A120+1</f>
        <v>605</v>
      </c>
      <c r="B121" s="623"/>
      <c r="H121" s="720"/>
      <c r="J121" s="622"/>
      <c r="K121" s="608"/>
      <c r="L121" s="622"/>
      <c r="M121" s="608"/>
      <c r="N121" s="622"/>
      <c r="R121" s="608">
        <v>0</v>
      </c>
      <c r="S121" s="608"/>
      <c r="T121" s="608">
        <v>0</v>
      </c>
      <c r="U121" s="608"/>
      <c r="V121" s="608">
        <v>0</v>
      </c>
      <c r="W121" s="608"/>
      <c r="X121" s="608">
        <f t="shared" si="112"/>
        <v>0</v>
      </c>
      <c r="Y121" s="608"/>
      <c r="Z121" s="709"/>
      <c r="AA121" s="608"/>
      <c r="AB121" s="622"/>
      <c r="AC121" s="608"/>
      <c r="AD121" s="608">
        <v>0</v>
      </c>
      <c r="AE121" s="608"/>
      <c r="AF121" s="608">
        <v>0</v>
      </c>
      <c r="AG121" s="608"/>
      <c r="AH121" s="709"/>
      <c r="AI121" s="608"/>
      <c r="AJ121" s="607">
        <f t="shared" si="105"/>
        <v>0</v>
      </c>
      <c r="AK121" s="608"/>
      <c r="AL121" s="607">
        <f t="shared" si="106"/>
        <v>0</v>
      </c>
      <c r="AM121" s="608"/>
      <c r="AN121" s="607">
        <f t="shared" si="107"/>
        <v>0</v>
      </c>
      <c r="AO121" s="608"/>
      <c r="AP121" s="608">
        <f t="shared" si="108"/>
        <v>0</v>
      </c>
      <c r="AR121" s="622"/>
      <c r="AS121" s="608"/>
      <c r="AT121" s="608">
        <v>0</v>
      </c>
      <c r="AU121" s="608"/>
      <c r="AV121" s="608">
        <v>0</v>
      </c>
      <c r="AW121" s="608"/>
      <c r="AX121" s="607">
        <f t="shared" si="113"/>
        <v>0</v>
      </c>
      <c r="AY121" s="608"/>
      <c r="AZ121" s="607">
        <f t="shared" si="109"/>
        <v>0</v>
      </c>
      <c r="BA121" s="608"/>
      <c r="BB121" s="607">
        <f t="shared" si="110"/>
        <v>0</v>
      </c>
      <c r="BC121" s="608"/>
      <c r="BD121" s="608">
        <f t="shared" si="114"/>
        <v>0</v>
      </c>
      <c r="BF121" s="709">
        <f t="shared" si="111"/>
        <v>0</v>
      </c>
      <c r="BH121" s="592">
        <f t="shared" si="103"/>
        <v>605</v>
      </c>
    </row>
    <row r="122" spans="1:60" ht="15">
      <c r="A122" s="592"/>
      <c r="B122" s="597"/>
      <c r="H122" s="709"/>
      <c r="J122" s="608"/>
      <c r="K122" s="608"/>
      <c r="L122" s="608"/>
      <c r="M122" s="608"/>
      <c r="N122" s="608"/>
      <c r="R122" s="608"/>
      <c r="S122" s="608"/>
      <c r="T122" s="608"/>
      <c r="U122" s="608"/>
      <c r="V122" s="608"/>
      <c r="W122" s="608"/>
      <c r="X122" s="608"/>
      <c r="Y122" s="608"/>
      <c r="Z122" s="709"/>
      <c r="AA122" s="608"/>
      <c r="AB122" s="608"/>
      <c r="AC122" s="608"/>
      <c r="AD122" s="608"/>
      <c r="AE122" s="608"/>
      <c r="AF122" s="608"/>
      <c r="AG122" s="608"/>
      <c r="AH122" s="709"/>
      <c r="AI122" s="608"/>
      <c r="AJ122" s="608">
        <f t="shared" si="105"/>
        <v>0</v>
      </c>
      <c r="AK122" s="608"/>
      <c r="AL122" s="608">
        <f t="shared" si="106"/>
        <v>0</v>
      </c>
      <c r="AM122" s="608"/>
      <c r="AN122" s="608">
        <f t="shared" si="107"/>
        <v>0</v>
      </c>
      <c r="AO122" s="608"/>
      <c r="AP122" s="608">
        <f t="shared" si="108"/>
        <v>0</v>
      </c>
      <c r="AR122" s="608"/>
      <c r="AS122" s="608"/>
      <c r="AT122" s="608"/>
      <c r="AU122" s="608"/>
      <c r="AV122" s="608"/>
      <c r="AW122" s="608"/>
      <c r="AX122" s="608">
        <f t="shared" si="113"/>
        <v>0</v>
      </c>
      <c r="AY122" s="608"/>
      <c r="AZ122" s="608">
        <f t="shared" si="109"/>
        <v>0</v>
      </c>
      <c r="BA122" s="608"/>
      <c r="BB122" s="608">
        <f t="shared" si="110"/>
        <v>0</v>
      </c>
      <c r="BC122" s="608"/>
      <c r="BD122" s="608"/>
      <c r="BF122" s="709"/>
      <c r="BH122" s="592"/>
    </row>
    <row r="123" spans="1:60" ht="15">
      <c r="A123" s="322" t="s">
        <v>100</v>
      </c>
      <c r="H123" s="702"/>
      <c r="BH123" s="618" t="s">
        <v>100</v>
      </c>
    </row>
    <row r="124" spans="1:60" ht="15">
      <c r="A124" s="592">
        <v>700</v>
      </c>
      <c r="B124" s="613" t="s">
        <v>1421</v>
      </c>
      <c r="H124" s="718">
        <f>SUM(H125:H129)</f>
        <v>0</v>
      </c>
      <c r="J124" s="611">
        <f>SUM(J125:J129)</f>
        <v>-22361973.694661092</v>
      </c>
      <c r="K124" s="608"/>
      <c r="L124" s="611">
        <f>SUM(L125:L129)</f>
        <v>-13417682.378914446</v>
      </c>
      <c r="M124" s="608"/>
      <c r="N124" s="611">
        <f>SUM(N125:N129)</f>
        <v>-8944291.3157466538</v>
      </c>
      <c r="O124" s="592"/>
      <c r="P124" s="592"/>
      <c r="Q124" s="592"/>
      <c r="R124" s="611">
        <f>SUM(R125:R129)</f>
        <v>0</v>
      </c>
      <c r="S124" s="608"/>
      <c r="T124" s="611">
        <f>SUM(T125:T129)</f>
        <v>-8944291.3157466538</v>
      </c>
      <c r="U124" s="608"/>
      <c r="V124" s="611">
        <f>SUM(V125:V129)</f>
        <v>0</v>
      </c>
      <c r="W124" s="608"/>
      <c r="X124" s="611">
        <f>SUM(X125:X129)</f>
        <v>-8944291.3157466538</v>
      </c>
      <c r="Y124" s="608"/>
      <c r="Z124" s="709"/>
      <c r="AA124" s="608"/>
      <c r="AB124" s="611">
        <f>SUM(AB125:AB129)</f>
        <v>0</v>
      </c>
      <c r="AC124" s="608"/>
      <c r="AD124" s="611">
        <f>SUM(AD125:AD129)</f>
        <v>-2137746.3489086498</v>
      </c>
      <c r="AE124" s="608"/>
      <c r="AF124" s="611">
        <f>SUM(AF125:AF129)</f>
        <v>0</v>
      </c>
      <c r="AG124" s="608"/>
      <c r="AH124" s="709"/>
      <c r="AI124" s="608"/>
      <c r="AJ124" s="611">
        <f>SUM(AJ125:AJ129)</f>
        <v>0</v>
      </c>
      <c r="AK124" s="608"/>
      <c r="AL124" s="611">
        <f>SUM(AL125:AL129)</f>
        <v>-6806544.9668380041</v>
      </c>
      <c r="AM124" s="608"/>
      <c r="AN124" s="611">
        <f>SUM(AN125:AN129)</f>
        <v>0</v>
      </c>
      <c r="AO124" s="608"/>
      <c r="AP124" s="611">
        <f>SUM(AP125:AP129)</f>
        <v>-6806544.9668380041</v>
      </c>
      <c r="AR124" s="611">
        <f>SUM(AR125:AR129)</f>
        <v>0</v>
      </c>
      <c r="AS124" s="608"/>
      <c r="AT124" s="611">
        <f>SUM(AT125:AT129)</f>
        <v>-929946.9651860015</v>
      </c>
      <c r="AU124" s="608"/>
      <c r="AV124" s="611">
        <f>SUM(AV125:AV129)</f>
        <v>0</v>
      </c>
      <c r="AW124" s="608"/>
      <c r="AX124" s="611">
        <f>SUM(AX125:AX129)</f>
        <v>0</v>
      </c>
      <c r="AY124" s="608"/>
      <c r="AZ124" s="611">
        <f>SUM(AZ125:AZ129)</f>
        <v>-5876598.0016520023</v>
      </c>
      <c r="BA124" s="608"/>
      <c r="BB124" s="611">
        <f>SUM(BB125:BB129)</f>
        <v>0</v>
      </c>
      <c r="BC124" s="608"/>
      <c r="BD124" s="611">
        <f>SUM(BD125:BD129)</f>
        <v>-5876598.0016520023</v>
      </c>
      <c r="BF124" s="718">
        <f>SUM(BF125:BF129)</f>
        <v>-12419797.87346584</v>
      </c>
      <c r="BH124" s="592">
        <f t="shared" ref="BH124:BH129" si="115">A124</f>
        <v>700</v>
      </c>
    </row>
    <row r="125" spans="1:60" ht="15">
      <c r="A125" s="592">
        <f t="shared" ref="A125:A128" si="116">A124+1</f>
        <v>701</v>
      </c>
      <c r="B125" s="624" t="s">
        <v>1503</v>
      </c>
      <c r="H125" s="720"/>
      <c r="J125" s="622">
        <v>-29456149.263061095</v>
      </c>
      <c r="K125" s="608"/>
      <c r="L125" s="622">
        <v>-17673689.602903582</v>
      </c>
      <c r="M125" s="608"/>
      <c r="N125" s="622">
        <v>-11782459.660157517</v>
      </c>
      <c r="R125" s="608">
        <v>0</v>
      </c>
      <c r="S125" s="608"/>
      <c r="T125" s="608">
        <f>N125</f>
        <v>-11782459.660157517</v>
      </c>
      <c r="U125" s="608"/>
      <c r="V125" s="608">
        <v>0</v>
      </c>
      <c r="W125" s="608"/>
      <c r="X125" s="608">
        <f>SUM(R125:V125)</f>
        <v>-11782459.660157517</v>
      </c>
      <c r="Y125" s="608"/>
      <c r="Z125" s="709"/>
      <c r="AA125" s="608"/>
      <c r="AB125" s="622"/>
      <c r="AC125" s="608"/>
      <c r="AD125" s="622">
        <v>-2816087.8520717705</v>
      </c>
      <c r="AE125" s="608"/>
      <c r="AF125" s="622"/>
      <c r="AG125" s="608"/>
      <c r="AH125" s="709"/>
      <c r="AI125" s="608"/>
      <c r="AJ125" s="607">
        <f t="shared" ref="AJ125:AJ129" si="117">+R125-AB125</f>
        <v>0</v>
      </c>
      <c r="AK125" s="608"/>
      <c r="AL125" s="607">
        <f t="shared" ref="AL125:AL129" si="118">+T125-AD125</f>
        <v>-8966371.8080857471</v>
      </c>
      <c r="AM125" s="608"/>
      <c r="AN125" s="607">
        <f t="shared" ref="AN125:AN129" si="119">+V125-AF125</f>
        <v>0</v>
      </c>
      <c r="AO125" s="608"/>
      <c r="AP125" s="608">
        <f t="shared" ref="AP125:AP129" si="120">SUM(AJ125:AN125)</f>
        <v>-8966371.8080857471</v>
      </c>
      <c r="AR125" s="622"/>
      <c r="AS125" s="608"/>
      <c r="AT125" s="798">
        <v>-1225034.1828759292</v>
      </c>
      <c r="AU125" s="608"/>
      <c r="AV125" s="622"/>
      <c r="AW125" s="608"/>
      <c r="AX125" s="607">
        <f>+AJ125-AR125</f>
        <v>0</v>
      </c>
      <c r="AY125" s="608"/>
      <c r="AZ125" s="607">
        <f>+AL125-AT125</f>
        <v>-7741337.6252098177</v>
      </c>
      <c r="BA125" s="608"/>
      <c r="BB125" s="607">
        <f>+AN125-AV125</f>
        <v>0</v>
      </c>
      <c r="BC125" s="608"/>
      <c r="BD125" s="608">
        <f>SUM(AX125:BB125)</f>
        <v>-7741337.6252098177</v>
      </c>
      <c r="BF125" s="709">
        <f>+N125*$BF$9</f>
        <v>-16360800.678953011</v>
      </c>
      <c r="BH125" s="592">
        <f t="shared" si="115"/>
        <v>701</v>
      </c>
    </row>
    <row r="126" spans="1:60" ht="15">
      <c r="A126" s="592">
        <f t="shared" si="116"/>
        <v>702</v>
      </c>
      <c r="B126" s="624" t="s">
        <v>1504</v>
      </c>
      <c r="H126" s="720"/>
      <c r="J126" s="622">
        <v>3240926.9879999999</v>
      </c>
      <c r="K126" s="608"/>
      <c r="L126" s="622">
        <v>1944556.164138</v>
      </c>
      <c r="M126" s="608"/>
      <c r="N126" s="622">
        <v>1296370.8238620001</v>
      </c>
      <c r="R126" s="608">
        <v>0</v>
      </c>
      <c r="S126" s="608"/>
      <c r="T126" s="608">
        <f t="shared" ref="T126:T129" si="121">N126</f>
        <v>1296370.8238620001</v>
      </c>
      <c r="U126" s="608"/>
      <c r="V126" s="608">
        <v>0</v>
      </c>
      <c r="W126" s="608"/>
      <c r="X126" s="608">
        <f t="shared" ref="X126:X129" si="122">SUM(R126:V126)</f>
        <v>1296370.8238620001</v>
      </c>
      <c r="Y126" s="608"/>
      <c r="Z126" s="709"/>
      <c r="AA126" s="608"/>
      <c r="AB126" s="622"/>
      <c r="AC126" s="608"/>
      <c r="AD126" s="622">
        <v>309841.42820390069</v>
      </c>
      <c r="AE126" s="608"/>
      <c r="AF126" s="622"/>
      <c r="AG126" s="608"/>
      <c r="AH126" s="709"/>
      <c r="AI126" s="608"/>
      <c r="AJ126" s="607">
        <f t="shared" si="117"/>
        <v>0</v>
      </c>
      <c r="AK126" s="608"/>
      <c r="AL126" s="607">
        <f t="shared" si="118"/>
        <v>986529.39565809944</v>
      </c>
      <c r="AM126" s="608"/>
      <c r="AN126" s="607">
        <f t="shared" si="119"/>
        <v>0</v>
      </c>
      <c r="AO126" s="608"/>
      <c r="AP126" s="608">
        <f t="shared" si="120"/>
        <v>986529.39565809944</v>
      </c>
      <c r="AR126" s="622"/>
      <c r="AS126" s="608"/>
      <c r="AT126" s="798">
        <v>134784.97857999452</v>
      </c>
      <c r="AU126" s="608"/>
      <c r="AV126" s="622"/>
      <c r="AW126" s="608"/>
      <c r="AX126" s="607">
        <f>+AJ126-AR126</f>
        <v>0</v>
      </c>
      <c r="AY126" s="608"/>
      <c r="AZ126" s="607">
        <f>+AL126-AT126</f>
        <v>851744.41707810492</v>
      </c>
      <c r="BA126" s="608"/>
      <c r="BB126" s="607">
        <f>+AN126-AV126</f>
        <v>0</v>
      </c>
      <c r="BC126" s="608"/>
      <c r="BD126" s="608">
        <f t="shared" ref="BD126:BD129" si="123">SUM(AX126:BB126)</f>
        <v>851744.41707810492</v>
      </c>
      <c r="BF126" s="709">
        <f>+N126*$BF$9</f>
        <v>1800105.0092228993</v>
      </c>
      <c r="BH126" s="592">
        <f t="shared" si="115"/>
        <v>702</v>
      </c>
    </row>
    <row r="127" spans="1:60" ht="15">
      <c r="A127" s="592">
        <f t="shared" si="116"/>
        <v>703</v>
      </c>
      <c r="B127" s="624" t="s">
        <v>1505</v>
      </c>
      <c r="H127" s="720"/>
      <c r="J127" s="622">
        <v>3853248.5804000003</v>
      </c>
      <c r="K127" s="608"/>
      <c r="L127" s="622">
        <v>2311451.0598511361</v>
      </c>
      <c r="M127" s="608"/>
      <c r="N127" s="622">
        <v>1541797.520548864</v>
      </c>
      <c r="R127" s="608">
        <v>0</v>
      </c>
      <c r="S127" s="608"/>
      <c r="T127" s="608">
        <f t="shared" si="121"/>
        <v>1541797.520548864</v>
      </c>
      <c r="U127" s="608"/>
      <c r="V127" s="608">
        <v>0</v>
      </c>
      <c r="W127" s="608"/>
      <c r="X127" s="608">
        <f t="shared" si="122"/>
        <v>1541797.520548864</v>
      </c>
      <c r="Y127" s="608"/>
      <c r="Z127" s="709"/>
      <c r="AA127" s="608"/>
      <c r="AB127" s="622"/>
      <c r="AC127" s="608"/>
      <c r="AD127" s="622">
        <v>368500.07495922007</v>
      </c>
      <c r="AE127" s="608"/>
      <c r="AF127" s="622"/>
      <c r="AG127" s="608"/>
      <c r="AH127" s="709"/>
      <c r="AI127" s="608"/>
      <c r="AJ127" s="607">
        <f t="shared" si="117"/>
        <v>0</v>
      </c>
      <c r="AK127" s="608"/>
      <c r="AL127" s="607">
        <f t="shared" si="118"/>
        <v>1173297.4455896439</v>
      </c>
      <c r="AM127" s="608"/>
      <c r="AN127" s="607">
        <f t="shared" si="119"/>
        <v>0</v>
      </c>
      <c r="AO127" s="608"/>
      <c r="AP127" s="608">
        <f t="shared" si="120"/>
        <v>1173297.4455896439</v>
      </c>
      <c r="AR127" s="622"/>
      <c r="AS127" s="608"/>
      <c r="AT127" s="798">
        <v>160302.23910993309</v>
      </c>
      <c r="AU127" s="608"/>
      <c r="AV127" s="622"/>
      <c r="AW127" s="608"/>
      <c r="AX127" s="607">
        <f>+AJ127-AR127</f>
        <v>0</v>
      </c>
      <c r="AY127" s="608"/>
      <c r="AZ127" s="607">
        <f>+AL127-AT127</f>
        <v>1012995.2064797108</v>
      </c>
      <c r="BA127" s="608"/>
      <c r="BB127" s="607">
        <f>+AN127-AV127</f>
        <v>0</v>
      </c>
      <c r="BC127" s="608"/>
      <c r="BD127" s="608">
        <f t="shared" si="123"/>
        <v>1012995.2064797108</v>
      </c>
      <c r="BF127" s="709">
        <f>+N127*$BF$9</f>
        <v>2140897.7962642731</v>
      </c>
      <c r="BH127" s="592">
        <f t="shared" si="115"/>
        <v>703</v>
      </c>
    </row>
    <row r="128" spans="1:60" ht="15">
      <c r="A128" s="592">
        <f t="shared" si="116"/>
        <v>704</v>
      </c>
      <c r="B128" s="624"/>
      <c r="H128" s="720"/>
      <c r="J128" s="622"/>
      <c r="K128" s="608"/>
      <c r="L128" s="622"/>
      <c r="M128" s="608"/>
      <c r="N128" s="622"/>
      <c r="R128" s="608">
        <v>0</v>
      </c>
      <c r="S128" s="608"/>
      <c r="T128" s="608">
        <f t="shared" si="121"/>
        <v>0</v>
      </c>
      <c r="U128" s="608"/>
      <c r="V128" s="608">
        <v>0</v>
      </c>
      <c r="W128" s="608"/>
      <c r="X128" s="608">
        <f t="shared" si="122"/>
        <v>0</v>
      </c>
      <c r="Y128" s="608"/>
      <c r="Z128" s="709"/>
      <c r="AA128" s="608"/>
      <c r="AB128" s="622"/>
      <c r="AC128" s="608"/>
      <c r="AD128" s="622"/>
      <c r="AE128" s="608"/>
      <c r="AF128" s="622"/>
      <c r="AG128" s="608"/>
      <c r="AH128" s="709"/>
      <c r="AI128" s="608"/>
      <c r="AJ128" s="607">
        <f t="shared" si="117"/>
        <v>0</v>
      </c>
      <c r="AK128" s="608"/>
      <c r="AL128" s="607">
        <f t="shared" si="118"/>
        <v>0</v>
      </c>
      <c r="AM128" s="608"/>
      <c r="AN128" s="607">
        <f t="shared" si="119"/>
        <v>0</v>
      </c>
      <c r="AO128" s="608"/>
      <c r="AP128" s="608">
        <f t="shared" si="120"/>
        <v>0</v>
      </c>
      <c r="AR128" s="622"/>
      <c r="AS128" s="608"/>
      <c r="AT128" s="622"/>
      <c r="AU128" s="608"/>
      <c r="AV128" s="622"/>
      <c r="AW128" s="608"/>
      <c r="AX128" s="607">
        <f>+AJ128-AR128</f>
        <v>0</v>
      </c>
      <c r="AY128" s="608"/>
      <c r="AZ128" s="607">
        <f>+AL128-AT128</f>
        <v>0</v>
      </c>
      <c r="BA128" s="608"/>
      <c r="BB128" s="607">
        <f>+AN128-AV128</f>
        <v>0</v>
      </c>
      <c r="BC128" s="608"/>
      <c r="BD128" s="608">
        <f t="shared" si="123"/>
        <v>0</v>
      </c>
      <c r="BF128" s="709">
        <f>+N128*$BF$9</f>
        <v>0</v>
      </c>
      <c r="BH128" s="592">
        <f t="shared" si="115"/>
        <v>704</v>
      </c>
    </row>
    <row r="129" spans="1:60" ht="15">
      <c r="A129" s="592">
        <f>+A128+1</f>
        <v>705</v>
      </c>
      <c r="B129" s="624"/>
      <c r="H129" s="720"/>
      <c r="J129" s="622"/>
      <c r="K129" s="608"/>
      <c r="L129" s="622"/>
      <c r="M129" s="608"/>
      <c r="N129" s="622"/>
      <c r="R129" s="608">
        <v>0</v>
      </c>
      <c r="S129" s="608"/>
      <c r="T129" s="608">
        <f t="shared" si="121"/>
        <v>0</v>
      </c>
      <c r="U129" s="608"/>
      <c r="V129" s="608">
        <v>0</v>
      </c>
      <c r="W129" s="608"/>
      <c r="X129" s="608">
        <f t="shared" si="122"/>
        <v>0</v>
      </c>
      <c r="Y129" s="608"/>
      <c r="Z129" s="709"/>
      <c r="AA129" s="608"/>
      <c r="AB129" s="622"/>
      <c r="AC129" s="608"/>
      <c r="AD129" s="622"/>
      <c r="AE129" s="608"/>
      <c r="AF129" s="622"/>
      <c r="AG129" s="608"/>
      <c r="AH129" s="709"/>
      <c r="AI129" s="608"/>
      <c r="AJ129" s="607">
        <f t="shared" si="117"/>
        <v>0</v>
      </c>
      <c r="AK129" s="608"/>
      <c r="AL129" s="607">
        <f t="shared" si="118"/>
        <v>0</v>
      </c>
      <c r="AM129" s="608"/>
      <c r="AN129" s="607">
        <f t="shared" si="119"/>
        <v>0</v>
      </c>
      <c r="AO129" s="608"/>
      <c r="AP129" s="608">
        <f t="shared" si="120"/>
        <v>0</v>
      </c>
      <c r="AR129" s="622"/>
      <c r="AS129" s="608"/>
      <c r="AT129" s="622"/>
      <c r="AU129" s="608"/>
      <c r="AV129" s="622"/>
      <c r="AW129" s="608"/>
      <c r="AX129" s="607">
        <f>+AJ129-AR129</f>
        <v>0</v>
      </c>
      <c r="AY129" s="608"/>
      <c r="AZ129" s="607">
        <f>+AL129-AT129</f>
        <v>0</v>
      </c>
      <c r="BA129" s="608"/>
      <c r="BB129" s="607">
        <f>+AN129-AV129</f>
        <v>0</v>
      </c>
      <c r="BC129" s="608"/>
      <c r="BD129" s="608">
        <f t="shared" si="123"/>
        <v>0</v>
      </c>
      <c r="BF129" s="709">
        <f>+N129*$BF$9</f>
        <v>0</v>
      </c>
      <c r="BH129" s="592">
        <f t="shared" si="115"/>
        <v>705</v>
      </c>
    </row>
    <row r="133" spans="1:60">
      <c r="A133" s="782" t="s">
        <v>111</v>
      </c>
      <c r="B133" s="837" t="s">
        <v>1506</v>
      </c>
      <c r="C133" s="837"/>
      <c r="D133" s="837"/>
      <c r="E133" s="837"/>
      <c r="F133" s="837"/>
      <c r="G133" s="837"/>
      <c r="H133" s="837"/>
      <c r="I133" s="837"/>
      <c r="J133" s="837"/>
      <c r="K133" s="837"/>
      <c r="L133" s="837"/>
    </row>
    <row r="134" spans="1:60">
      <c r="A134" s="783" t="s">
        <v>1403</v>
      </c>
      <c r="B134" s="836" t="s">
        <v>1507</v>
      </c>
      <c r="C134" s="836"/>
      <c r="D134" s="836"/>
    </row>
    <row r="135" spans="1:60">
      <c r="A135" s="783" t="s">
        <v>1408</v>
      </c>
      <c r="B135" s="836" t="s">
        <v>1508</v>
      </c>
      <c r="C135" s="836"/>
      <c r="D135" s="836"/>
    </row>
    <row r="136" spans="1:60">
      <c r="A136" s="783" t="s">
        <v>1410</v>
      </c>
      <c r="B136" s="836" t="s">
        <v>1509</v>
      </c>
      <c r="C136" s="836"/>
      <c r="D136" s="836"/>
    </row>
    <row r="137" spans="1:60">
      <c r="A137" s="783" t="s">
        <v>1413</v>
      </c>
      <c r="B137" s="836" t="s">
        <v>1510</v>
      </c>
      <c r="C137" s="836"/>
      <c r="D137" s="836"/>
    </row>
    <row r="138" spans="1:60">
      <c r="A138" s="783" t="s">
        <v>1419</v>
      </c>
      <c r="B138" s="836" t="s">
        <v>1511</v>
      </c>
      <c r="C138" s="836"/>
      <c r="D138" s="836"/>
    </row>
    <row r="139" spans="1:60">
      <c r="A139" s="783" t="s">
        <v>1381</v>
      </c>
      <c r="B139" s="836" t="s">
        <v>1512</v>
      </c>
      <c r="C139" s="836"/>
      <c r="D139" s="836"/>
    </row>
    <row r="140" spans="1:60">
      <c r="A140" s="783" t="s">
        <v>1513</v>
      </c>
      <c r="B140" s="836" t="s">
        <v>1514</v>
      </c>
      <c r="C140" s="836"/>
      <c r="D140" s="836"/>
    </row>
    <row r="141" spans="1:60">
      <c r="A141" s="783" t="s">
        <v>1515</v>
      </c>
      <c r="B141" s="836" t="s">
        <v>1516</v>
      </c>
      <c r="C141" s="836"/>
      <c r="D141" s="836"/>
    </row>
    <row r="142" spans="1:60">
      <c r="A142" s="783" t="s">
        <v>1517</v>
      </c>
      <c r="B142" s="702" t="s">
        <v>1518</v>
      </c>
      <c r="C142" s="702"/>
      <c r="D142" s="702"/>
    </row>
  </sheetData>
  <mergeCells count="18">
    <mergeCell ref="B138:D138"/>
    <mergeCell ref="B139:D139"/>
    <mergeCell ref="B140:D140"/>
    <mergeCell ref="B141:D141"/>
    <mergeCell ref="B133:L133"/>
    <mergeCell ref="B134:D134"/>
    <mergeCell ref="B135:D135"/>
    <mergeCell ref="B136:D136"/>
    <mergeCell ref="B137:D137"/>
    <mergeCell ref="AX4:BB4"/>
    <mergeCell ref="AX7:BD7"/>
    <mergeCell ref="R7:X7"/>
    <mergeCell ref="AJ7:AP7"/>
    <mergeCell ref="J4:N4"/>
    <mergeCell ref="R4:V4"/>
    <mergeCell ref="AJ4:AN4"/>
    <mergeCell ref="AB6:AF6"/>
    <mergeCell ref="AR6:AV6"/>
  </mergeCells>
  <phoneticPr fontId="113" type="noConversion"/>
  <pageMargins left="0.7" right="0.7" top="0.75" bottom="0.75" header="0.3" footer="0.3"/>
  <pageSetup scale="32" fitToWidth="0" orientation="portrait" r:id="rId1"/>
  <headerFooter>
    <oddHeader>&amp;C&amp;"-,Bold"Pacific Gas and Electric Company
Formula Rate Model
Schedule 17-RegAssets-2</oddHeader>
  </headerFooter>
  <colBreaks count="3" manualBreakCount="3">
    <brk id="17" max="1048575" man="1"/>
    <brk id="34" max="1048575" man="1"/>
    <brk id="49" max="1048575" man="1"/>
  </colBreaks>
  <customProperties>
    <customPr name="_pios_id" r:id="rId2"/>
    <customPr name="EpmWorksheetKeyString_GUID" r:id="rId3"/>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892E-67A1-4EEA-95B4-269B8AE72B1F}">
  <sheetPr>
    <pageSetUpPr fitToPage="1"/>
  </sheetPr>
  <dimension ref="A1:BJ139"/>
  <sheetViews>
    <sheetView zoomScale="55" zoomScaleNormal="55" zoomScaleSheetLayoutView="40" zoomScalePageLayoutView="55" workbookViewId="0">
      <selection activeCell="B14" sqref="B14"/>
    </sheetView>
  </sheetViews>
  <sheetFormatPr defaultColWidth="9.140625" defaultRowHeight="15"/>
  <cols>
    <col min="1" max="1" width="6.7109375" style="702" bestFit="1" customWidth="1"/>
    <col min="2" max="2" width="50.42578125" style="702" customWidth="1"/>
    <col min="3" max="3" width="31" style="702" customWidth="1"/>
    <col min="4" max="4" width="26.28515625" style="702" customWidth="1"/>
    <col min="5" max="5" width="0.85546875" style="702" customWidth="1"/>
    <col min="6" max="6" width="17.42578125" style="712" bestFit="1" customWidth="1"/>
    <col min="7" max="7" width="1.140625" style="702" customWidth="1"/>
    <col min="8" max="8" width="15.140625" style="702" bestFit="1" customWidth="1"/>
    <col min="9" max="9" width="1.7109375" style="702" customWidth="1"/>
    <col min="10" max="10" width="15.140625" style="702" bestFit="1" customWidth="1"/>
    <col min="11" max="11" width="1.7109375" style="702" customWidth="1"/>
    <col min="12" max="12" width="15.85546875" style="702" bestFit="1" customWidth="1"/>
    <col min="13" max="13" width="1.7109375" style="702" customWidth="1"/>
    <col min="14" max="14" width="17.42578125" style="702" bestFit="1" customWidth="1"/>
    <col min="15" max="15" width="1.42578125" style="702" customWidth="1"/>
    <col min="16" max="16" width="9.140625" style="8"/>
    <col min="17" max="17" width="1.7109375" style="702" customWidth="1"/>
    <col min="18" max="18" width="22.140625" style="702" customWidth="1"/>
    <col min="19" max="19" width="1.7109375" style="702" customWidth="1"/>
    <col min="20" max="20" width="20.28515625" style="702" customWidth="1"/>
    <col min="21" max="21" width="1.7109375" style="702" customWidth="1"/>
    <col min="22" max="22" width="17.7109375" style="702" customWidth="1"/>
    <col min="23" max="23" width="1.7109375" style="702" customWidth="1"/>
    <col min="24" max="24" width="19" style="702" customWidth="1"/>
    <col min="25" max="25" width="1.7109375" style="702" customWidth="1"/>
    <col min="26" max="26" width="19.85546875" style="702" customWidth="1"/>
    <col min="27" max="27" width="1.7109375" style="702" customWidth="1"/>
    <col min="28" max="28" width="24.5703125" style="702" bestFit="1" customWidth="1"/>
    <col min="29" max="29" width="1.7109375" style="702" customWidth="1"/>
    <col min="30" max="30" width="18.140625" style="702" customWidth="1"/>
    <col min="31" max="31" width="1.7109375" style="702" customWidth="1"/>
    <col min="32" max="32" width="19.140625" style="702" customWidth="1"/>
    <col min="33" max="33" width="1.7109375" style="702" customWidth="1"/>
    <col min="34" max="34" width="18.85546875" style="702" customWidth="1"/>
    <col min="35" max="35" width="1.7109375" style="702" customWidth="1"/>
    <col min="36" max="36" width="21.85546875" style="702" bestFit="1" customWidth="1"/>
    <col min="37" max="37" width="1.7109375" style="702" customWidth="1"/>
    <col min="38" max="38" width="26.28515625" style="702" customWidth="1"/>
    <col min="39" max="39" width="1.7109375" style="702" customWidth="1"/>
    <col min="40" max="40" width="26.5703125" style="702" customWidth="1"/>
    <col min="41" max="41" width="1.7109375" style="702" customWidth="1"/>
    <col min="42" max="42" width="25.5703125" style="702" customWidth="1"/>
    <col min="43" max="43" width="1.7109375" style="702" customWidth="1"/>
    <col min="44" max="44" width="21.85546875" style="702" customWidth="1"/>
    <col min="45" max="45" width="1.7109375" style="702" customWidth="1"/>
    <col min="46" max="46" width="18.85546875" style="702" customWidth="1"/>
    <col min="47" max="47" width="1.7109375" style="702" customWidth="1"/>
    <col min="48" max="48" width="19.140625" style="702" customWidth="1"/>
    <col min="49" max="49" width="1.7109375" style="702" customWidth="1"/>
    <col min="50" max="50" width="20.5703125" style="702" customWidth="1"/>
    <col min="51" max="51" width="1.7109375" style="702" customWidth="1"/>
    <col min="52" max="52" width="22.42578125" style="702" customWidth="1"/>
    <col min="53" max="53" width="1.7109375" style="702" customWidth="1"/>
    <col min="54" max="54" width="23.140625" style="702" customWidth="1"/>
    <col min="55" max="55" width="1.7109375" style="702" customWidth="1"/>
    <col min="56" max="56" width="22.5703125" style="702" customWidth="1"/>
    <col min="57" max="57" width="1.7109375" style="702" customWidth="1"/>
    <col min="58" max="58" width="25.42578125" style="702" customWidth="1"/>
    <col min="59" max="59" width="2.140625" style="702" customWidth="1"/>
    <col min="60" max="60" width="17.7109375" style="702" customWidth="1"/>
    <col min="61" max="61" width="22.7109375" style="702" bestFit="1" customWidth="1"/>
    <col min="62" max="62" width="4.7109375" style="702" bestFit="1" customWidth="1"/>
    <col min="63" max="16384" width="9.140625" style="702"/>
  </cols>
  <sheetData>
    <row r="1" spans="1:62">
      <c r="B1" s="86" t="s">
        <v>1338</v>
      </c>
      <c r="C1" s="86"/>
      <c r="D1" s="86"/>
      <c r="E1" s="86"/>
      <c r="F1" s="71"/>
      <c r="G1" s="86"/>
      <c r="H1" s="86"/>
      <c r="I1" s="86"/>
      <c r="J1" s="86"/>
      <c r="K1" s="86"/>
      <c r="L1" s="86"/>
      <c r="M1" s="86"/>
      <c r="N1" s="86"/>
      <c r="O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126" t="str">
        <f>CONCATENATE("Prior Year: ",'1-BaseTRR'!$G$2)</f>
        <v>Prior Year: 2021</v>
      </c>
    </row>
    <row r="2" spans="1:62">
      <c r="A2" s="86"/>
      <c r="B2" s="620" t="s">
        <v>131</v>
      </c>
      <c r="C2" s="620"/>
      <c r="D2" s="86"/>
      <c r="E2" s="86"/>
      <c r="F2" s="71"/>
      <c r="G2" s="86"/>
      <c r="H2" s="86"/>
      <c r="I2" s="86"/>
      <c r="J2" s="86"/>
      <c r="K2" s="86"/>
      <c r="L2" s="86"/>
      <c r="M2" s="86"/>
      <c r="N2" s="86"/>
      <c r="O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row>
    <row r="3" spans="1:62">
      <c r="A3" s="71"/>
      <c r="B3" s="71"/>
      <c r="C3" s="71"/>
      <c r="D3" s="71"/>
      <c r="E3" s="71"/>
      <c r="F3" s="71"/>
      <c r="G3" s="71"/>
      <c r="H3" s="71"/>
      <c r="I3" s="71"/>
      <c r="J3" s="71"/>
      <c r="K3" s="71"/>
      <c r="L3" s="71"/>
      <c r="M3" s="71"/>
      <c r="N3" s="71"/>
      <c r="O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row>
    <row r="4" spans="1:62">
      <c r="J4" s="838" t="s">
        <v>1339</v>
      </c>
      <c r="K4" s="838"/>
      <c r="L4" s="838"/>
      <c r="M4" s="838"/>
      <c r="N4" s="838"/>
      <c r="O4" s="712"/>
      <c r="Q4" s="712"/>
      <c r="R4" s="708" t="s">
        <v>1340</v>
      </c>
      <c r="T4" s="838" t="s">
        <v>1341</v>
      </c>
      <c r="U4" s="838"/>
      <c r="V4" s="838"/>
      <c r="W4" s="838"/>
      <c r="X4" s="838"/>
      <c r="AB4" s="713" t="s">
        <v>1342</v>
      </c>
      <c r="AJ4" s="708" t="s">
        <v>1343</v>
      </c>
      <c r="AK4" s="712"/>
      <c r="AL4" s="838" t="s">
        <v>1341</v>
      </c>
      <c r="AM4" s="838"/>
      <c r="AN4" s="838"/>
      <c r="AO4" s="838"/>
      <c r="AP4" s="838"/>
      <c r="AQ4" s="712"/>
      <c r="AR4" s="712"/>
      <c r="AZ4" s="838" t="s">
        <v>1341</v>
      </c>
      <c r="BA4" s="838"/>
      <c r="BB4" s="838"/>
      <c r="BC4" s="838"/>
      <c r="BD4" s="838"/>
      <c r="BE4" s="712"/>
      <c r="BF4" s="712"/>
      <c r="BG4" s="712"/>
      <c r="BH4" s="712"/>
    </row>
    <row r="5" spans="1:62">
      <c r="A5" s="700"/>
      <c r="B5" s="700"/>
      <c r="C5" s="700"/>
      <c r="D5" s="700"/>
      <c r="E5" s="700"/>
      <c r="F5" s="703"/>
      <c r="G5" s="700"/>
      <c r="H5" s="591" t="s">
        <v>1344</v>
      </c>
      <c r="I5" s="700"/>
      <c r="J5" s="591" t="s">
        <v>371</v>
      </c>
      <c r="K5" s="591"/>
      <c r="L5" s="591" t="s">
        <v>372</v>
      </c>
      <c r="M5" s="591"/>
      <c r="N5" s="591" t="s">
        <v>373</v>
      </c>
      <c r="O5" s="591"/>
      <c r="Q5" s="591"/>
      <c r="R5" s="591" t="s">
        <v>374</v>
      </c>
      <c r="S5" s="591"/>
      <c r="T5" s="591" t="s">
        <v>375</v>
      </c>
      <c r="U5" s="591"/>
      <c r="V5" s="591" t="s">
        <v>376</v>
      </c>
      <c r="W5" s="591"/>
      <c r="X5" s="591" t="s">
        <v>377</v>
      </c>
      <c r="Y5" s="591"/>
      <c r="Z5" s="591" t="s">
        <v>378</v>
      </c>
      <c r="AA5" s="591"/>
      <c r="AB5" s="591" t="s">
        <v>409</v>
      </c>
      <c r="AC5" s="592"/>
      <c r="AD5" s="592" t="s">
        <v>525</v>
      </c>
      <c r="AE5" s="592"/>
      <c r="AF5" s="592" t="s">
        <v>526</v>
      </c>
      <c r="AG5" s="592"/>
      <c r="AH5" s="592" t="s">
        <v>527</v>
      </c>
      <c r="AI5" s="592"/>
      <c r="AJ5" s="714" t="s">
        <v>528</v>
      </c>
      <c r="AK5" s="592"/>
      <c r="AL5" s="592" t="s">
        <v>529</v>
      </c>
      <c r="AM5" s="592"/>
      <c r="AN5" s="592" t="s">
        <v>1345</v>
      </c>
      <c r="AO5" s="592"/>
      <c r="AP5" s="592" t="s">
        <v>1346</v>
      </c>
      <c r="AQ5" s="592"/>
      <c r="AR5" s="592" t="s">
        <v>1347</v>
      </c>
      <c r="AS5" s="592"/>
      <c r="AT5" s="592" t="s">
        <v>1348</v>
      </c>
      <c r="AU5" s="592"/>
      <c r="AV5" s="592" t="s">
        <v>1349</v>
      </c>
      <c r="AW5" s="592"/>
      <c r="AX5" s="592" t="s">
        <v>1350</v>
      </c>
      <c r="AY5" s="592"/>
      <c r="AZ5" s="591" t="s">
        <v>1351</v>
      </c>
      <c r="BA5" s="591"/>
      <c r="BB5" s="591" t="s">
        <v>1352</v>
      </c>
      <c r="BC5" s="591"/>
      <c r="BD5" s="591" t="s">
        <v>1353</v>
      </c>
      <c r="BE5" s="591"/>
      <c r="BF5" s="591" t="s">
        <v>1354</v>
      </c>
      <c r="BG5" s="592"/>
      <c r="BH5" s="591">
        <v>25</v>
      </c>
      <c r="BI5" s="700"/>
      <c r="BJ5" s="700"/>
    </row>
    <row r="6" spans="1:62" ht="28.5" customHeight="1">
      <c r="A6" s="700"/>
      <c r="B6" s="700"/>
      <c r="C6" s="700"/>
      <c r="D6" s="700"/>
      <c r="E6" s="700"/>
      <c r="F6" s="703"/>
      <c r="G6" s="700"/>
      <c r="H6" s="592"/>
      <c r="I6" s="700"/>
      <c r="J6" s="592"/>
      <c r="K6" s="592"/>
      <c r="L6" s="592"/>
      <c r="M6" s="592"/>
      <c r="N6" s="592" t="s">
        <v>1356</v>
      </c>
      <c r="O6" s="592"/>
      <c r="P6" s="702"/>
      <c r="Q6" s="592"/>
      <c r="R6" s="592"/>
      <c r="S6" s="592"/>
      <c r="T6" s="591"/>
      <c r="U6" s="591"/>
      <c r="V6" s="591"/>
      <c r="W6" s="591"/>
      <c r="X6" s="591"/>
      <c r="Y6" s="591"/>
      <c r="Z6" s="591" t="s">
        <v>1357</v>
      </c>
      <c r="AA6" s="592"/>
      <c r="AB6" s="592"/>
      <c r="AC6" s="592"/>
      <c r="AD6" s="839" t="s">
        <v>1519</v>
      </c>
      <c r="AE6" s="839"/>
      <c r="AF6" s="839"/>
      <c r="AG6" s="839"/>
      <c r="AH6" s="839"/>
      <c r="AI6" s="592"/>
      <c r="AJ6" s="592"/>
      <c r="AK6" s="592"/>
      <c r="AL6" s="592" t="s">
        <v>1359</v>
      </c>
      <c r="AM6" s="592"/>
      <c r="AN6" s="592" t="s">
        <v>1360</v>
      </c>
      <c r="AO6" s="592"/>
      <c r="AP6" s="592" t="s">
        <v>1361</v>
      </c>
      <c r="AQ6" s="592"/>
      <c r="AR6" s="592" t="s">
        <v>1362</v>
      </c>
      <c r="AS6" s="592"/>
      <c r="AT6" s="839" t="s">
        <v>1520</v>
      </c>
      <c r="AU6" s="839"/>
      <c r="AV6" s="839"/>
      <c r="AW6" s="839"/>
      <c r="AX6" s="839"/>
      <c r="AY6" s="592"/>
      <c r="AZ6" s="592" t="s">
        <v>1364</v>
      </c>
      <c r="BA6" s="592"/>
      <c r="BB6" s="592" t="s">
        <v>1365</v>
      </c>
      <c r="BC6" s="592"/>
      <c r="BD6" s="592" t="s">
        <v>1366</v>
      </c>
      <c r="BE6" s="592"/>
      <c r="BF6" s="592" t="s">
        <v>1367</v>
      </c>
      <c r="BG6" s="592"/>
      <c r="BH6" s="706" t="s">
        <v>1368</v>
      </c>
      <c r="BI6" s="700"/>
      <c r="BJ6" s="700"/>
    </row>
    <row r="7" spans="1:62" ht="30">
      <c r="B7" s="593"/>
      <c r="C7" s="593"/>
      <c r="D7" s="593"/>
      <c r="E7" s="593"/>
      <c r="F7" s="595" t="s">
        <v>1369</v>
      </c>
      <c r="G7" s="593"/>
      <c r="H7" s="594" t="s">
        <v>1370</v>
      </c>
      <c r="I7" s="593"/>
      <c r="J7" s="594" t="s">
        <v>1371</v>
      </c>
      <c r="K7" s="593"/>
      <c r="L7" s="594" t="s">
        <v>1372</v>
      </c>
      <c r="M7" s="593"/>
      <c r="N7" s="706" t="s">
        <v>1521</v>
      </c>
      <c r="O7" s="595"/>
      <c r="Q7" s="595"/>
      <c r="R7" s="595" t="s">
        <v>647</v>
      </c>
      <c r="S7" s="593"/>
      <c r="T7" s="834" t="s">
        <v>1522</v>
      </c>
      <c r="U7" s="834"/>
      <c r="V7" s="834"/>
      <c r="W7" s="834"/>
      <c r="X7" s="834"/>
      <c r="Y7" s="834"/>
      <c r="Z7" s="834"/>
      <c r="AA7" s="594"/>
      <c r="AB7" s="594"/>
      <c r="AC7" s="594"/>
      <c r="AD7" s="594" t="s">
        <v>449</v>
      </c>
      <c r="AE7" s="594"/>
      <c r="AF7" s="594" t="s">
        <v>449</v>
      </c>
      <c r="AG7" s="594"/>
      <c r="AH7" s="594" t="s">
        <v>449</v>
      </c>
      <c r="AI7" s="594"/>
      <c r="AJ7" s="594" t="s">
        <v>647</v>
      </c>
      <c r="AK7" s="594"/>
      <c r="AL7" s="834" t="s">
        <v>1523</v>
      </c>
      <c r="AM7" s="834"/>
      <c r="AN7" s="834"/>
      <c r="AO7" s="834"/>
      <c r="AP7" s="834"/>
      <c r="AQ7" s="834"/>
      <c r="AR7" s="834"/>
      <c r="AS7" s="594"/>
      <c r="AT7" s="594" t="s">
        <v>449</v>
      </c>
      <c r="AU7" s="594"/>
      <c r="AV7" s="594" t="s">
        <v>449</v>
      </c>
      <c r="AW7" s="594"/>
      <c r="AX7" s="594" t="s">
        <v>449</v>
      </c>
      <c r="AY7" s="594"/>
      <c r="AZ7" s="834" t="s">
        <v>1524</v>
      </c>
      <c r="BA7" s="834"/>
      <c r="BB7" s="834"/>
      <c r="BC7" s="834"/>
      <c r="BD7" s="834"/>
      <c r="BE7" s="834"/>
      <c r="BF7" s="834"/>
      <c r="BG7" s="594"/>
      <c r="BH7" s="706" t="s">
        <v>1373</v>
      </c>
      <c r="BI7" s="593"/>
    </row>
    <row r="8" spans="1:62" ht="26.25">
      <c r="B8" s="593"/>
      <c r="C8" s="593"/>
      <c r="D8" s="593"/>
      <c r="E8" s="593"/>
      <c r="F8" s="595" t="s">
        <v>1377</v>
      </c>
      <c r="G8" s="593"/>
      <c r="H8" s="594" t="s">
        <v>1378</v>
      </c>
      <c r="I8" s="593"/>
      <c r="J8" s="594" t="s">
        <v>1525</v>
      </c>
      <c r="K8" s="593"/>
      <c r="L8" s="594" t="s">
        <v>1380</v>
      </c>
      <c r="M8" s="593"/>
      <c r="N8" s="721" t="s">
        <v>1526</v>
      </c>
      <c r="O8" s="595"/>
      <c r="Q8" s="595"/>
      <c r="R8" s="595" t="s">
        <v>1382</v>
      </c>
      <c r="S8" s="593"/>
      <c r="T8" s="594" t="s">
        <v>1383</v>
      </c>
      <c r="U8" s="594"/>
      <c r="V8" s="594" t="s">
        <v>1383</v>
      </c>
      <c r="W8" s="594"/>
      <c r="X8" s="594" t="s">
        <v>1383</v>
      </c>
      <c r="Y8" s="594"/>
      <c r="Z8" s="594"/>
      <c r="AA8" s="594"/>
      <c r="AB8" s="594" t="s">
        <v>449</v>
      </c>
      <c r="AC8" s="594"/>
      <c r="AD8" s="594" t="s">
        <v>1384</v>
      </c>
      <c r="AE8" s="594"/>
      <c r="AF8" s="594" t="s">
        <v>1384</v>
      </c>
      <c r="AG8" s="594"/>
      <c r="AH8" s="594" t="s">
        <v>1384</v>
      </c>
      <c r="AI8" s="594"/>
      <c r="AJ8" s="594" t="s">
        <v>1385</v>
      </c>
      <c r="AK8" s="594"/>
      <c r="AL8" s="594" t="s">
        <v>1386</v>
      </c>
      <c r="AM8" s="594"/>
      <c r="AN8" s="594" t="s">
        <v>1386</v>
      </c>
      <c r="AO8" s="594"/>
      <c r="AP8" s="594" t="s">
        <v>1386</v>
      </c>
      <c r="AQ8" s="594"/>
      <c r="AR8" s="594"/>
      <c r="AS8" s="594"/>
      <c r="AT8" s="594" t="s">
        <v>1384</v>
      </c>
      <c r="AU8" s="594"/>
      <c r="AV8" s="594" t="s">
        <v>1384</v>
      </c>
      <c r="AW8" s="594"/>
      <c r="AX8" s="594" t="s">
        <v>1384</v>
      </c>
      <c r="AY8" s="594"/>
      <c r="AZ8" s="594" t="s">
        <v>1386</v>
      </c>
      <c r="BA8" s="594"/>
      <c r="BB8" s="594" t="s">
        <v>1386</v>
      </c>
      <c r="BC8" s="594"/>
      <c r="BD8" s="594" t="s">
        <v>1386</v>
      </c>
      <c r="BE8" s="594"/>
      <c r="BF8" s="594"/>
      <c r="BG8" s="594"/>
      <c r="BH8" s="716" t="s">
        <v>1387</v>
      </c>
      <c r="BI8" s="593"/>
    </row>
    <row r="9" spans="1:62">
      <c r="A9" s="592"/>
      <c r="B9" s="700"/>
      <c r="C9" s="700"/>
      <c r="D9" s="700"/>
      <c r="E9" s="700"/>
      <c r="F9" s="595" t="s">
        <v>1388</v>
      </c>
      <c r="G9" s="700"/>
      <c r="H9" s="594" t="s">
        <v>1389</v>
      </c>
      <c r="I9" s="700"/>
      <c r="J9" s="722" t="s">
        <v>1391</v>
      </c>
      <c r="K9" s="700"/>
      <c r="L9" s="722" t="s">
        <v>1527</v>
      </c>
      <c r="M9" s="700"/>
      <c r="N9" s="703" t="s">
        <v>448</v>
      </c>
      <c r="O9" s="703"/>
      <c r="Q9" s="703"/>
      <c r="R9" s="703" t="s">
        <v>1388</v>
      </c>
      <c r="S9" s="700"/>
      <c r="T9" s="594" t="s">
        <v>1392</v>
      </c>
      <c r="U9" s="594"/>
      <c r="V9" s="592" t="s">
        <v>1393</v>
      </c>
      <c r="W9" s="592"/>
      <c r="X9" s="598" t="s">
        <v>1393</v>
      </c>
      <c r="Y9" s="598"/>
      <c r="Z9" s="598" t="s">
        <v>1383</v>
      </c>
      <c r="AA9" s="598"/>
      <c r="AB9" s="598" t="s">
        <v>1394</v>
      </c>
      <c r="AC9" s="598"/>
      <c r="AD9" s="594" t="s">
        <v>1392</v>
      </c>
      <c r="AE9" s="594"/>
      <c r="AF9" s="592" t="s">
        <v>1393</v>
      </c>
      <c r="AG9" s="592"/>
      <c r="AH9" s="598" t="s">
        <v>1393</v>
      </c>
      <c r="AI9" s="598"/>
      <c r="AJ9" s="598" t="s">
        <v>1395</v>
      </c>
      <c r="AK9" s="598"/>
      <c r="AL9" s="594" t="s">
        <v>1392</v>
      </c>
      <c r="AM9" s="594"/>
      <c r="AN9" s="592" t="s">
        <v>1393</v>
      </c>
      <c r="AO9" s="592"/>
      <c r="AP9" s="598" t="s">
        <v>1393</v>
      </c>
      <c r="AQ9" s="598"/>
      <c r="AR9" s="598" t="s">
        <v>1386</v>
      </c>
      <c r="AS9" s="598"/>
      <c r="AT9" s="594" t="s">
        <v>1392</v>
      </c>
      <c r="AU9" s="594"/>
      <c r="AV9" s="592" t="s">
        <v>1393</v>
      </c>
      <c r="AW9" s="592"/>
      <c r="AX9" s="598" t="s">
        <v>1393</v>
      </c>
      <c r="AY9" s="598"/>
      <c r="AZ9" s="594" t="s">
        <v>1392</v>
      </c>
      <c r="BA9" s="594"/>
      <c r="BB9" s="592" t="s">
        <v>1393</v>
      </c>
      <c r="BC9" s="592"/>
      <c r="BD9" s="598" t="s">
        <v>1393</v>
      </c>
      <c r="BE9" s="598"/>
      <c r="BF9" s="598" t="s">
        <v>1386</v>
      </c>
      <c r="BG9" s="598"/>
      <c r="BH9" s="717">
        <f>1/(1-(0.21+0.0884-(0.21*0.0884)))</f>
        <v>1.3885726029071155</v>
      </c>
      <c r="BI9" s="592"/>
      <c r="BJ9" s="592"/>
    </row>
    <row r="10" spans="1:62" ht="15.75" thickBot="1">
      <c r="A10" s="322" t="s">
        <v>100</v>
      </c>
      <c r="B10" s="704" t="s">
        <v>1101</v>
      </c>
      <c r="C10" s="704"/>
      <c r="D10" s="704"/>
      <c r="E10" s="704"/>
      <c r="F10" s="604" t="s">
        <v>1079</v>
      </c>
      <c r="G10" s="704"/>
      <c r="H10" s="705">
        <v>43100</v>
      </c>
      <c r="I10" s="704"/>
      <c r="J10" s="705">
        <v>43100</v>
      </c>
      <c r="K10" s="704"/>
      <c r="L10" s="705">
        <v>43100</v>
      </c>
      <c r="M10" s="704"/>
      <c r="N10" s="705">
        <v>43100</v>
      </c>
      <c r="O10" s="705"/>
      <c r="Q10" s="705"/>
      <c r="R10" s="705" t="s">
        <v>1396</v>
      </c>
      <c r="S10" s="704"/>
      <c r="T10" s="601" t="s">
        <v>1397</v>
      </c>
      <c r="U10" s="601"/>
      <c r="V10" s="602" t="s">
        <v>1397</v>
      </c>
      <c r="W10" s="602"/>
      <c r="X10" s="603" t="s">
        <v>1398</v>
      </c>
      <c r="Y10" s="603"/>
      <c r="Z10" s="603" t="s">
        <v>1399</v>
      </c>
      <c r="AA10" s="603"/>
      <c r="AB10" s="603" t="s">
        <v>1400</v>
      </c>
      <c r="AC10" s="603"/>
      <c r="AD10" s="601" t="s">
        <v>1397</v>
      </c>
      <c r="AE10" s="601"/>
      <c r="AF10" s="602" t="s">
        <v>1397</v>
      </c>
      <c r="AG10" s="602"/>
      <c r="AH10" s="603" t="s">
        <v>1398</v>
      </c>
      <c r="AI10" s="603"/>
      <c r="AJ10" s="603" t="s">
        <v>1401</v>
      </c>
      <c r="AK10" s="603"/>
      <c r="AL10" s="601" t="s">
        <v>1397</v>
      </c>
      <c r="AM10" s="601"/>
      <c r="AN10" s="602" t="s">
        <v>1397</v>
      </c>
      <c r="AO10" s="602"/>
      <c r="AP10" s="603" t="s">
        <v>1398</v>
      </c>
      <c r="AQ10" s="603"/>
      <c r="AR10" s="603" t="s">
        <v>1399</v>
      </c>
      <c r="AS10" s="603"/>
      <c r="AT10" s="601" t="s">
        <v>1397</v>
      </c>
      <c r="AU10" s="601"/>
      <c r="AV10" s="602" t="s">
        <v>1397</v>
      </c>
      <c r="AW10" s="602"/>
      <c r="AX10" s="603" t="s">
        <v>1398</v>
      </c>
      <c r="AY10" s="603"/>
      <c r="AZ10" s="601" t="s">
        <v>1397</v>
      </c>
      <c r="BA10" s="601"/>
      <c r="BB10" s="602" t="s">
        <v>1397</v>
      </c>
      <c r="BC10" s="602"/>
      <c r="BD10" s="603" t="s">
        <v>1398</v>
      </c>
      <c r="BE10" s="603"/>
      <c r="BF10" s="603" t="s">
        <v>1399</v>
      </c>
      <c r="BG10" s="603"/>
      <c r="BH10" s="705"/>
      <c r="BI10" s="604" t="s">
        <v>594</v>
      </c>
      <c r="BJ10" s="723" t="s">
        <v>100</v>
      </c>
    </row>
    <row r="11" spans="1:62">
      <c r="A11" s="592"/>
      <c r="B11" s="700"/>
      <c r="C11" s="700"/>
      <c r="D11" s="700"/>
      <c r="E11" s="700"/>
      <c r="F11" s="703"/>
      <c r="G11" s="700"/>
      <c r="H11" s="700"/>
      <c r="I11" s="700"/>
      <c r="J11" s="700"/>
      <c r="K11" s="700"/>
      <c r="L11" s="700"/>
      <c r="M11" s="700"/>
      <c r="N11" s="700"/>
      <c r="O11" s="700"/>
      <c r="Q11" s="700"/>
      <c r="R11" s="700"/>
      <c r="S11" s="700"/>
      <c r="T11" s="594"/>
      <c r="U11" s="594"/>
      <c r="V11" s="605"/>
      <c r="W11" s="605"/>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6"/>
      <c r="BD11" s="606"/>
      <c r="BE11" s="606"/>
      <c r="BF11" s="606"/>
      <c r="BG11" s="606"/>
      <c r="BI11" s="592"/>
      <c r="BJ11" s="592"/>
    </row>
    <row r="12" spans="1:62">
      <c r="A12" s="592">
        <v>100</v>
      </c>
      <c r="B12" s="700" t="s">
        <v>1402</v>
      </c>
      <c r="C12" s="700"/>
      <c r="D12" s="700" t="s">
        <v>1403</v>
      </c>
      <c r="E12" s="700"/>
      <c r="F12" s="703" t="s">
        <v>1404</v>
      </c>
      <c r="G12" s="700"/>
      <c r="H12" s="607">
        <f>+H26</f>
        <v>0</v>
      </c>
      <c r="I12" s="700"/>
      <c r="J12" s="607">
        <f>+J26</f>
        <v>0</v>
      </c>
      <c r="K12" s="700"/>
      <c r="L12" s="607">
        <f>+L26</f>
        <v>0</v>
      </c>
      <c r="M12" s="700"/>
      <c r="N12" s="607">
        <f>+N26</f>
        <v>0</v>
      </c>
      <c r="O12" s="607"/>
      <c r="Q12" s="700"/>
      <c r="R12" s="703" t="s">
        <v>1405</v>
      </c>
      <c r="S12" s="700"/>
      <c r="T12" s="607">
        <f>T26</f>
        <v>0</v>
      </c>
      <c r="U12" s="607"/>
      <c r="V12" s="607">
        <f>V26</f>
        <v>0</v>
      </c>
      <c r="W12" s="607"/>
      <c r="X12" s="607">
        <f>X26</f>
        <v>0</v>
      </c>
      <c r="Y12" s="607"/>
      <c r="Z12" s="607">
        <f>SUM(T12:X12)</f>
        <v>0</v>
      </c>
      <c r="AA12" s="607"/>
      <c r="AB12" s="609" t="s">
        <v>1406</v>
      </c>
      <c r="AC12" s="607"/>
      <c r="AD12" s="607">
        <f>AD26</f>
        <v>0</v>
      </c>
      <c r="AE12" s="607"/>
      <c r="AF12" s="607">
        <f>AF26</f>
        <v>0</v>
      </c>
      <c r="AG12" s="607"/>
      <c r="AH12" s="607">
        <f>AH26</f>
        <v>0</v>
      </c>
      <c r="AI12" s="607"/>
      <c r="AJ12" s="703" t="s">
        <v>1407</v>
      </c>
      <c r="AK12" s="607"/>
      <c r="AL12" s="607">
        <f>AL26</f>
        <v>0</v>
      </c>
      <c r="AM12" s="607"/>
      <c r="AN12" s="607">
        <f>AN26</f>
        <v>0</v>
      </c>
      <c r="AO12" s="607"/>
      <c r="AP12" s="607">
        <f>AP26</f>
        <v>0</v>
      </c>
      <c r="AQ12" s="607"/>
      <c r="AR12" s="607">
        <f>SUM(AL12:AP12)</f>
        <v>0</v>
      </c>
      <c r="AS12" s="607"/>
      <c r="AT12" s="607">
        <f>AT26</f>
        <v>0</v>
      </c>
      <c r="AU12" s="607"/>
      <c r="AV12" s="607">
        <f>AV26</f>
        <v>0</v>
      </c>
      <c r="AW12" s="607"/>
      <c r="AX12" s="607">
        <f>AX26</f>
        <v>0</v>
      </c>
      <c r="AY12" s="607"/>
      <c r="AZ12" s="607">
        <f>AZ26</f>
        <v>0</v>
      </c>
      <c r="BA12" s="607"/>
      <c r="BB12" s="607">
        <f>BB26</f>
        <v>0</v>
      </c>
      <c r="BC12" s="607"/>
      <c r="BD12" s="607">
        <f>BD26</f>
        <v>0</v>
      </c>
      <c r="BE12" s="607"/>
      <c r="BF12" s="607">
        <f>SUM(AZ12:BD12)</f>
        <v>0</v>
      </c>
      <c r="BG12" s="607"/>
      <c r="BH12" s="607">
        <f>+BH26</f>
        <v>0</v>
      </c>
      <c r="BI12" s="592"/>
      <c r="BJ12" s="592">
        <f t="shared" ref="BJ12:BJ17" si="0">A12</f>
        <v>100</v>
      </c>
    </row>
    <row r="13" spans="1:62">
      <c r="A13" s="592">
        <f>+A12+1</f>
        <v>101</v>
      </c>
      <c r="B13" s="700" t="s">
        <v>791</v>
      </c>
      <c r="C13" s="700"/>
      <c r="D13" s="700" t="s">
        <v>1408</v>
      </c>
      <c r="E13" s="700"/>
      <c r="F13" s="703" t="s">
        <v>1404</v>
      </c>
      <c r="G13" s="700"/>
      <c r="H13" s="607">
        <f>+H34</f>
        <v>0</v>
      </c>
      <c r="I13" s="700"/>
      <c r="J13" s="607">
        <f>+J34</f>
        <v>0</v>
      </c>
      <c r="K13" s="700"/>
      <c r="L13" s="607">
        <f>+L34</f>
        <v>0</v>
      </c>
      <c r="M13" s="700"/>
      <c r="N13" s="607">
        <f>+N34</f>
        <v>0</v>
      </c>
      <c r="O13" s="607"/>
      <c r="Q13" s="700"/>
      <c r="R13" s="703" t="s">
        <v>1405</v>
      </c>
      <c r="S13" s="700"/>
      <c r="T13" s="607">
        <f>T34</f>
        <v>0</v>
      </c>
      <c r="U13" s="607"/>
      <c r="V13" s="607">
        <f>V34</f>
        <v>0</v>
      </c>
      <c r="W13" s="607"/>
      <c r="X13" s="607">
        <f>X34</f>
        <v>0</v>
      </c>
      <c r="Y13" s="607"/>
      <c r="Z13" s="607">
        <f t="shared" ref="Z13:Z16" si="1">SUM(T13:X13)</f>
        <v>0</v>
      </c>
      <c r="AA13" s="607"/>
      <c r="AB13" s="609" t="s">
        <v>1406</v>
      </c>
      <c r="AC13" s="607"/>
      <c r="AD13" s="607">
        <f>AD34</f>
        <v>0</v>
      </c>
      <c r="AE13" s="607"/>
      <c r="AF13" s="607">
        <f>AF34</f>
        <v>0</v>
      </c>
      <c r="AG13" s="607"/>
      <c r="AH13" s="607">
        <f>AH34</f>
        <v>0</v>
      </c>
      <c r="AI13" s="607"/>
      <c r="AJ13" s="703" t="s">
        <v>1407</v>
      </c>
      <c r="AK13" s="607"/>
      <c r="AL13" s="607">
        <f>AL34</f>
        <v>0</v>
      </c>
      <c r="AM13" s="607"/>
      <c r="AN13" s="607">
        <f>AN34</f>
        <v>0</v>
      </c>
      <c r="AO13" s="607"/>
      <c r="AP13" s="607">
        <f>AP34</f>
        <v>0</v>
      </c>
      <c r="AQ13" s="607"/>
      <c r="AR13" s="607">
        <f t="shared" ref="AR13:AR16" si="2">SUM(AL13:AP13)</f>
        <v>0</v>
      </c>
      <c r="AS13" s="607"/>
      <c r="AT13" s="607">
        <f>AT34</f>
        <v>0</v>
      </c>
      <c r="AU13" s="607"/>
      <c r="AV13" s="607">
        <f>AV34</f>
        <v>0</v>
      </c>
      <c r="AW13" s="607"/>
      <c r="AX13" s="607">
        <f>AX34</f>
        <v>0</v>
      </c>
      <c r="AY13" s="607"/>
      <c r="AZ13" s="607">
        <f>AZ34</f>
        <v>0</v>
      </c>
      <c r="BA13" s="607"/>
      <c r="BB13" s="607">
        <f>BB34</f>
        <v>0</v>
      </c>
      <c r="BC13" s="607"/>
      <c r="BD13" s="607">
        <f>BD34</f>
        <v>0</v>
      </c>
      <c r="BE13" s="607"/>
      <c r="BF13" s="607">
        <f t="shared" ref="BF13:BF16" si="3">SUM(AZ13:BD13)</f>
        <v>0</v>
      </c>
      <c r="BG13" s="607"/>
      <c r="BH13" s="607">
        <f>+BH34</f>
        <v>0</v>
      </c>
      <c r="BI13" s="592"/>
      <c r="BJ13" s="592">
        <f t="shared" si="0"/>
        <v>101</v>
      </c>
    </row>
    <row r="14" spans="1:62">
      <c r="A14" s="592">
        <f t="shared" ref="A14:A15" si="4">+A13+1</f>
        <v>102</v>
      </c>
      <c r="B14" s="700" t="s">
        <v>1409</v>
      </c>
      <c r="C14" s="700"/>
      <c r="D14" s="700" t="s">
        <v>1410</v>
      </c>
      <c r="E14" s="700"/>
      <c r="F14" s="703" t="s">
        <v>1404</v>
      </c>
      <c r="G14" s="700"/>
      <c r="H14" s="607">
        <f>+H42</f>
        <v>0</v>
      </c>
      <c r="I14" s="700"/>
      <c r="J14" s="607">
        <f>+J42</f>
        <v>0</v>
      </c>
      <c r="K14" s="700"/>
      <c r="L14" s="607">
        <f>+L42</f>
        <v>0</v>
      </c>
      <c r="M14" s="700"/>
      <c r="N14" s="607">
        <f>+N42</f>
        <v>0</v>
      </c>
      <c r="O14" s="607"/>
      <c r="Q14" s="700"/>
      <c r="R14" s="703" t="s">
        <v>1405</v>
      </c>
      <c r="S14" s="700"/>
      <c r="T14" s="607">
        <f>T42</f>
        <v>0</v>
      </c>
      <c r="U14" s="607"/>
      <c r="V14" s="607">
        <f>V42</f>
        <v>0</v>
      </c>
      <c r="W14" s="607"/>
      <c r="X14" s="607">
        <f>X42</f>
        <v>0</v>
      </c>
      <c r="Y14" s="607"/>
      <c r="Z14" s="607">
        <f t="shared" si="1"/>
        <v>0</v>
      </c>
      <c r="AA14" s="607"/>
      <c r="AB14" s="609" t="s">
        <v>1411</v>
      </c>
      <c r="AC14" s="607"/>
      <c r="AD14" s="607">
        <f>AD42</f>
        <v>0</v>
      </c>
      <c r="AE14" s="607"/>
      <c r="AF14" s="607">
        <f>AF42</f>
        <v>0</v>
      </c>
      <c r="AG14" s="607"/>
      <c r="AH14" s="607">
        <f>AH42</f>
        <v>0</v>
      </c>
      <c r="AI14" s="607"/>
      <c r="AJ14" s="703" t="s">
        <v>1407</v>
      </c>
      <c r="AK14" s="607"/>
      <c r="AL14" s="607">
        <f>AL42</f>
        <v>0</v>
      </c>
      <c r="AM14" s="607"/>
      <c r="AN14" s="607">
        <f>AN42</f>
        <v>0</v>
      </c>
      <c r="AO14" s="607"/>
      <c r="AP14" s="607">
        <f>AP42</f>
        <v>0</v>
      </c>
      <c r="AQ14" s="607"/>
      <c r="AR14" s="607">
        <f t="shared" si="2"/>
        <v>0</v>
      </c>
      <c r="AS14" s="607"/>
      <c r="AT14" s="607">
        <f>AT42</f>
        <v>0</v>
      </c>
      <c r="AU14" s="607"/>
      <c r="AV14" s="607">
        <f>AV42</f>
        <v>0</v>
      </c>
      <c r="AW14" s="607"/>
      <c r="AX14" s="607">
        <f>AX42</f>
        <v>0</v>
      </c>
      <c r="AY14" s="607"/>
      <c r="AZ14" s="607">
        <f>AZ42</f>
        <v>0</v>
      </c>
      <c r="BA14" s="607"/>
      <c r="BB14" s="607">
        <f>BB42</f>
        <v>0</v>
      </c>
      <c r="BC14" s="607"/>
      <c r="BD14" s="607">
        <f>BD42</f>
        <v>0</v>
      </c>
      <c r="BE14" s="607"/>
      <c r="BF14" s="607">
        <f t="shared" si="3"/>
        <v>0</v>
      </c>
      <c r="BG14" s="607"/>
      <c r="BH14" s="607">
        <f>+BH42</f>
        <v>0</v>
      </c>
      <c r="BI14" s="592"/>
      <c r="BJ14" s="592">
        <f t="shared" si="0"/>
        <v>102</v>
      </c>
    </row>
    <row r="15" spans="1:62">
      <c r="A15" s="592">
        <f t="shared" si="4"/>
        <v>103</v>
      </c>
      <c r="B15" s="700" t="s">
        <v>1412</v>
      </c>
      <c r="C15" s="700"/>
      <c r="D15" s="700" t="s">
        <v>1413</v>
      </c>
      <c r="E15" s="700"/>
      <c r="F15" s="703" t="s">
        <v>1414</v>
      </c>
      <c r="G15" s="700"/>
      <c r="H15" s="607">
        <f>+H102</f>
        <v>0</v>
      </c>
      <c r="I15" s="700"/>
      <c r="J15" s="607">
        <f>+J102</f>
        <v>0</v>
      </c>
      <c r="K15" s="700"/>
      <c r="L15" s="607">
        <f>+L102</f>
        <v>0</v>
      </c>
      <c r="M15" s="700"/>
      <c r="N15" s="607">
        <f>+N102</f>
        <v>0</v>
      </c>
      <c r="O15" s="607"/>
      <c r="Q15" s="700"/>
      <c r="R15" s="703" t="s">
        <v>1415</v>
      </c>
      <c r="S15" s="700"/>
      <c r="T15" s="607">
        <f>T102</f>
        <v>0</v>
      </c>
      <c r="U15" s="607"/>
      <c r="V15" s="607">
        <f>V102</f>
        <v>0</v>
      </c>
      <c r="W15" s="607"/>
      <c r="X15" s="607">
        <f>X102</f>
        <v>0</v>
      </c>
      <c r="Y15" s="607"/>
      <c r="Z15" s="607">
        <f>SUM(T15:X15)</f>
        <v>0</v>
      </c>
      <c r="AA15" s="607"/>
      <c r="AB15" s="609" t="s">
        <v>1528</v>
      </c>
      <c r="AC15" s="607"/>
      <c r="AD15" s="607">
        <f>AD102</f>
        <v>0</v>
      </c>
      <c r="AE15" s="607"/>
      <c r="AF15" s="607">
        <f>AF102</f>
        <v>0</v>
      </c>
      <c r="AG15" s="607"/>
      <c r="AH15" s="607">
        <f>AH102</f>
        <v>0</v>
      </c>
      <c r="AI15" s="607"/>
      <c r="AJ15" s="703" t="s">
        <v>1416</v>
      </c>
      <c r="AK15" s="607"/>
      <c r="AL15" s="607">
        <f>AL102</f>
        <v>0</v>
      </c>
      <c r="AM15" s="607"/>
      <c r="AN15" s="607">
        <f>AN102</f>
        <v>0</v>
      </c>
      <c r="AO15" s="607"/>
      <c r="AP15" s="607">
        <f>AP102</f>
        <v>0</v>
      </c>
      <c r="AQ15" s="607"/>
      <c r="AR15" s="607">
        <f t="shared" si="2"/>
        <v>0</v>
      </c>
      <c r="AS15" s="607"/>
      <c r="AT15" s="607">
        <f>AT102</f>
        <v>0</v>
      </c>
      <c r="AU15" s="607"/>
      <c r="AV15" s="607">
        <f>AV102</f>
        <v>0</v>
      </c>
      <c r="AW15" s="607"/>
      <c r="AX15" s="607">
        <f>AX102</f>
        <v>0</v>
      </c>
      <c r="AY15" s="607"/>
      <c r="AZ15" s="607">
        <f>AZ102</f>
        <v>0</v>
      </c>
      <c r="BA15" s="607"/>
      <c r="BB15" s="607">
        <f>BB102</f>
        <v>0</v>
      </c>
      <c r="BC15" s="607"/>
      <c r="BD15" s="607">
        <f>BD102</f>
        <v>0</v>
      </c>
      <c r="BE15" s="607"/>
      <c r="BF15" s="607">
        <f t="shared" si="3"/>
        <v>0</v>
      </c>
      <c r="BG15" s="607"/>
      <c r="BH15" s="607">
        <f>+BH102</f>
        <v>0</v>
      </c>
      <c r="BI15" s="592"/>
      <c r="BJ15" s="592">
        <f t="shared" si="0"/>
        <v>103</v>
      </c>
    </row>
    <row r="16" spans="1:62">
      <c r="A16" s="592">
        <f>+A15+1</f>
        <v>104</v>
      </c>
      <c r="B16" s="700" t="s">
        <v>1417</v>
      </c>
      <c r="C16" s="700" t="s">
        <v>1418</v>
      </c>
      <c r="D16" s="700" t="s">
        <v>1419</v>
      </c>
      <c r="E16" s="700"/>
      <c r="F16" s="703" t="s">
        <v>1420</v>
      </c>
      <c r="G16" s="700"/>
      <c r="H16" s="610">
        <f>+H115</f>
        <v>0</v>
      </c>
      <c r="I16" s="700"/>
      <c r="J16" s="610">
        <f>+J115</f>
        <v>0</v>
      </c>
      <c r="K16" s="700"/>
      <c r="L16" s="610">
        <f>+L115</f>
        <v>0</v>
      </c>
      <c r="M16" s="700"/>
      <c r="N16" s="610">
        <f>+N115</f>
        <v>0</v>
      </c>
      <c r="O16" s="607"/>
      <c r="Q16" s="700"/>
      <c r="R16" s="703" t="s">
        <v>1415</v>
      </c>
      <c r="S16" s="700"/>
      <c r="T16" s="610">
        <f>T115</f>
        <v>0</v>
      </c>
      <c r="U16" s="610"/>
      <c r="V16" s="610">
        <f t="shared" ref="V16" si="5">V115</f>
        <v>0</v>
      </c>
      <c r="W16" s="610"/>
      <c r="X16" s="610">
        <f t="shared" ref="X16" si="6">X115</f>
        <v>0</v>
      </c>
      <c r="Y16" s="610"/>
      <c r="Z16" s="610">
        <f t="shared" si="1"/>
        <v>0</v>
      </c>
      <c r="AA16" s="607"/>
      <c r="AB16" s="609" t="s">
        <v>1406</v>
      </c>
      <c r="AC16" s="607"/>
      <c r="AD16" s="610">
        <f>AD115</f>
        <v>0</v>
      </c>
      <c r="AE16" s="610"/>
      <c r="AF16" s="610">
        <f t="shared" ref="AF16:AH16" si="7">AF115</f>
        <v>0</v>
      </c>
      <c r="AG16" s="610"/>
      <c r="AH16" s="610">
        <f t="shared" si="7"/>
        <v>0</v>
      </c>
      <c r="AI16" s="607"/>
      <c r="AJ16" s="703" t="s">
        <v>1416</v>
      </c>
      <c r="AK16" s="607"/>
      <c r="AL16" s="610">
        <f>AL115</f>
        <v>0</v>
      </c>
      <c r="AM16" s="610"/>
      <c r="AN16" s="610">
        <f t="shared" ref="AN16" si="8">AN115</f>
        <v>0</v>
      </c>
      <c r="AO16" s="610"/>
      <c r="AP16" s="610">
        <f t="shared" ref="AP16" si="9">AP115</f>
        <v>0</v>
      </c>
      <c r="AQ16" s="610"/>
      <c r="AR16" s="610">
        <f t="shared" si="2"/>
        <v>0</v>
      </c>
      <c r="AS16" s="607"/>
      <c r="AT16" s="610">
        <f>AT115</f>
        <v>0</v>
      </c>
      <c r="AU16" s="610"/>
      <c r="AV16" s="610">
        <f t="shared" ref="AV16:AX16" si="10">AV115</f>
        <v>0</v>
      </c>
      <c r="AW16" s="610"/>
      <c r="AX16" s="610">
        <f t="shared" si="10"/>
        <v>0</v>
      </c>
      <c r="AY16" s="607"/>
      <c r="AZ16" s="610">
        <f>AZ115</f>
        <v>0</v>
      </c>
      <c r="BA16" s="610"/>
      <c r="BB16" s="610">
        <f t="shared" ref="BB16" si="11">BB115</f>
        <v>0</v>
      </c>
      <c r="BC16" s="610"/>
      <c r="BD16" s="610">
        <f t="shared" ref="BD16" si="12">BD115</f>
        <v>0</v>
      </c>
      <c r="BE16" s="610"/>
      <c r="BF16" s="610">
        <f t="shared" si="3"/>
        <v>0</v>
      </c>
      <c r="BG16" s="607"/>
      <c r="BH16" s="610">
        <f>+BH115</f>
        <v>0</v>
      </c>
      <c r="BI16" s="592"/>
      <c r="BJ16" s="592">
        <f t="shared" si="0"/>
        <v>104</v>
      </c>
    </row>
    <row r="17" spans="1:62">
      <c r="A17" s="592">
        <f>+A16+1</f>
        <v>105</v>
      </c>
      <c r="B17" s="700" t="s">
        <v>465</v>
      </c>
      <c r="C17" s="700"/>
      <c r="D17" s="592"/>
      <c r="E17" s="592"/>
      <c r="F17" s="592"/>
      <c r="G17" s="592"/>
      <c r="H17" s="709">
        <f>SUM(H12:H16)</f>
        <v>0</v>
      </c>
      <c r="I17" s="592"/>
      <c r="J17" s="709">
        <f>SUM(J12:J16)</f>
        <v>0</v>
      </c>
      <c r="K17" s="592"/>
      <c r="L17" s="709">
        <f>SUM(L12:L16)</f>
        <v>0</v>
      </c>
      <c r="M17" s="592"/>
      <c r="N17" s="709">
        <f>SUM(N12:N16)</f>
        <v>0</v>
      </c>
      <c r="O17" s="709"/>
      <c r="Q17" s="592"/>
      <c r="R17" s="592"/>
      <c r="S17" s="592"/>
      <c r="T17" s="709">
        <f>SUM(T12:T16)</f>
        <v>0</v>
      </c>
      <c r="U17" s="709"/>
      <c r="V17" s="709">
        <f>SUM(V12:V16)</f>
        <v>0</v>
      </c>
      <c r="W17" s="709"/>
      <c r="X17" s="709">
        <f>SUM(X12:X16)</f>
        <v>0</v>
      </c>
      <c r="Y17" s="709"/>
      <c r="Z17" s="709">
        <f>SUM(Z12:Z16)</f>
        <v>0</v>
      </c>
      <c r="AA17" s="709"/>
      <c r="AB17" s="709"/>
      <c r="AC17" s="709"/>
      <c r="AD17" s="709">
        <f>SUM(AD12:AD16)</f>
        <v>0</v>
      </c>
      <c r="AE17" s="709"/>
      <c r="AF17" s="709">
        <f>SUM(AF12:AF16)</f>
        <v>0</v>
      </c>
      <c r="AG17" s="709"/>
      <c r="AH17" s="709">
        <f>SUM(AH12:AH16)</f>
        <v>0</v>
      </c>
      <c r="AI17" s="709"/>
      <c r="AJ17" s="592"/>
      <c r="AK17" s="709"/>
      <c r="AL17" s="709">
        <f>SUM(AL12:AL16)</f>
        <v>0</v>
      </c>
      <c r="AM17" s="709"/>
      <c r="AN17" s="709">
        <f>SUM(AN12:AN16)</f>
        <v>0</v>
      </c>
      <c r="AO17" s="709"/>
      <c r="AP17" s="709">
        <f>SUM(AP12:AP16)</f>
        <v>0</v>
      </c>
      <c r="AQ17" s="709"/>
      <c r="AR17" s="709">
        <f>SUM(AR12:AR16)</f>
        <v>0</v>
      </c>
      <c r="AS17" s="709"/>
      <c r="AT17" s="709">
        <f>SUM(AT12:AT16)</f>
        <v>0</v>
      </c>
      <c r="AU17" s="709"/>
      <c r="AV17" s="709">
        <f>SUM(AV12:AV16)</f>
        <v>0</v>
      </c>
      <c r="AW17" s="709"/>
      <c r="AX17" s="709">
        <f>SUM(AX12:AX16)</f>
        <v>0</v>
      </c>
      <c r="AY17" s="709"/>
      <c r="AZ17" s="709">
        <f>SUM(AZ12:AZ16)</f>
        <v>0</v>
      </c>
      <c r="BA17" s="709"/>
      <c r="BB17" s="709">
        <f>SUM(BB12:BB16)</f>
        <v>0</v>
      </c>
      <c r="BC17" s="709"/>
      <c r="BD17" s="709">
        <f>SUM(BD12:BD16)</f>
        <v>0</v>
      </c>
      <c r="BE17" s="709"/>
      <c r="BF17" s="709">
        <f>SUM(BF12:BF16)</f>
        <v>0</v>
      </c>
      <c r="BG17" s="709"/>
      <c r="BH17" s="709">
        <f>SUM(BH12:BH16)</f>
        <v>0</v>
      </c>
      <c r="BI17" s="724"/>
      <c r="BJ17" s="592">
        <f t="shared" si="0"/>
        <v>105</v>
      </c>
    </row>
    <row r="18" spans="1:62">
      <c r="A18" s="592"/>
      <c r="B18" s="700"/>
      <c r="C18" s="700"/>
      <c r="D18" s="592"/>
      <c r="E18" s="592"/>
      <c r="F18" s="592"/>
      <c r="G18" s="592"/>
      <c r="H18" s="592"/>
      <c r="I18" s="592"/>
      <c r="J18" s="592"/>
      <c r="K18" s="592"/>
      <c r="L18" s="592"/>
      <c r="M18" s="592"/>
      <c r="N18" s="592"/>
      <c r="O18" s="592"/>
      <c r="Q18" s="592"/>
      <c r="R18" s="592"/>
      <c r="S18" s="592"/>
      <c r="T18" s="700"/>
      <c r="U18" s="700"/>
      <c r="V18" s="700"/>
      <c r="W18" s="700"/>
      <c r="X18" s="700"/>
      <c r="Y18" s="700"/>
      <c r="Z18" s="700"/>
      <c r="AA18" s="700"/>
      <c r="AB18" s="700"/>
      <c r="AC18" s="700"/>
      <c r="AD18" s="700"/>
      <c r="AE18" s="700"/>
      <c r="AF18" s="700"/>
      <c r="AG18" s="700"/>
      <c r="AH18" s="700"/>
      <c r="AI18" s="700"/>
      <c r="AJ18" s="592"/>
      <c r="AK18" s="700"/>
      <c r="AL18" s="700"/>
      <c r="AM18" s="700"/>
      <c r="AN18" s="700"/>
      <c r="AO18" s="700"/>
      <c r="AP18" s="700"/>
      <c r="AQ18" s="700"/>
      <c r="AR18" s="700"/>
      <c r="AS18" s="700"/>
      <c r="AT18" s="700"/>
      <c r="AU18" s="700"/>
      <c r="AV18" s="700"/>
      <c r="AW18" s="700"/>
      <c r="AX18" s="700"/>
      <c r="AY18" s="700"/>
      <c r="AZ18" s="700"/>
      <c r="BA18" s="700"/>
      <c r="BB18" s="700"/>
      <c r="BC18" s="700"/>
      <c r="BD18" s="700"/>
      <c r="BE18" s="700"/>
      <c r="BF18" s="700"/>
      <c r="BG18" s="700"/>
      <c r="BH18" s="592"/>
      <c r="BI18" s="724"/>
      <c r="BJ18" s="592"/>
    </row>
    <row r="19" spans="1:62">
      <c r="A19" s="592">
        <f>+A17+1</f>
        <v>106</v>
      </c>
      <c r="B19" s="725" t="s">
        <v>1421</v>
      </c>
      <c r="C19" s="725"/>
      <c r="D19" s="591"/>
      <c r="E19" s="592"/>
      <c r="F19" s="592"/>
      <c r="G19" s="592"/>
      <c r="H19" s="592"/>
      <c r="I19" s="592"/>
      <c r="J19" s="592"/>
      <c r="K19" s="592"/>
      <c r="L19" s="592"/>
      <c r="M19" s="592"/>
      <c r="N19" s="592"/>
      <c r="O19" s="592"/>
      <c r="Q19" s="592"/>
      <c r="R19" s="592"/>
      <c r="S19" s="592"/>
      <c r="T19" s="700"/>
      <c r="U19" s="700"/>
      <c r="V19" s="700"/>
      <c r="W19" s="700"/>
      <c r="X19" s="700"/>
      <c r="Y19" s="700"/>
      <c r="Z19" s="700"/>
      <c r="AA19" s="700"/>
      <c r="AB19" s="700"/>
      <c r="AC19" s="700"/>
      <c r="AD19" s="700"/>
      <c r="AE19" s="700"/>
      <c r="AF19" s="700"/>
      <c r="AG19" s="700"/>
      <c r="AH19" s="700"/>
      <c r="AI19" s="700"/>
      <c r="AJ19" s="592"/>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592"/>
      <c r="BI19" s="614"/>
      <c r="BJ19" s="592">
        <f>A19</f>
        <v>106</v>
      </c>
    </row>
    <row r="20" spans="1:62">
      <c r="A20" s="592">
        <f>+A19+1</f>
        <v>107</v>
      </c>
      <c r="B20" s="703" t="s">
        <v>1529</v>
      </c>
      <c r="C20" s="700" t="s">
        <v>1530</v>
      </c>
      <c r="D20" s="592"/>
      <c r="E20" s="592"/>
      <c r="F20" s="592"/>
      <c r="G20" s="592"/>
      <c r="H20" s="709">
        <f>+H124</f>
        <v>0</v>
      </c>
      <c r="I20" s="592"/>
      <c r="J20" s="709">
        <f>+J124</f>
        <v>0</v>
      </c>
      <c r="K20" s="709"/>
      <c r="L20" s="709">
        <f>+L124</f>
        <v>0</v>
      </c>
      <c r="M20" s="709"/>
      <c r="N20" s="709">
        <f>N124</f>
        <v>0</v>
      </c>
      <c r="O20" s="709"/>
      <c r="Q20" s="709"/>
      <c r="R20" s="703" t="s">
        <v>1423</v>
      </c>
      <c r="S20" s="592"/>
      <c r="T20" s="709">
        <f>T123</f>
        <v>0</v>
      </c>
      <c r="U20" s="709"/>
      <c r="V20" s="709">
        <f>V123</f>
        <v>0</v>
      </c>
      <c r="W20" s="709"/>
      <c r="X20" s="709">
        <f>X123</f>
        <v>0</v>
      </c>
      <c r="Y20" s="709"/>
      <c r="Z20" s="709">
        <f>SUM(T20:X20)</f>
        <v>0</v>
      </c>
      <c r="AA20" s="709"/>
      <c r="AB20" s="609" t="s">
        <v>1406</v>
      </c>
      <c r="AC20" s="709"/>
      <c r="AD20" s="709">
        <f>AD123</f>
        <v>0</v>
      </c>
      <c r="AE20" s="709"/>
      <c r="AF20" s="709">
        <f>AF123</f>
        <v>0</v>
      </c>
      <c r="AG20" s="709"/>
      <c r="AH20" s="709">
        <f>AH123</f>
        <v>0</v>
      </c>
      <c r="AI20" s="709"/>
      <c r="AJ20" s="703" t="s">
        <v>1423</v>
      </c>
      <c r="AK20" s="709"/>
      <c r="AL20" s="709">
        <f>AL123</f>
        <v>0</v>
      </c>
      <c r="AM20" s="709"/>
      <c r="AN20" s="709">
        <f>AN123</f>
        <v>0</v>
      </c>
      <c r="AO20" s="709"/>
      <c r="AP20" s="709">
        <f>AP123</f>
        <v>0</v>
      </c>
      <c r="AQ20" s="709"/>
      <c r="AR20" s="709">
        <f t="shared" ref="AR20:AR22" si="13">SUM(AL20:AP20)</f>
        <v>0</v>
      </c>
      <c r="AS20" s="709"/>
      <c r="AT20" s="709">
        <f>AT123</f>
        <v>0</v>
      </c>
      <c r="AU20" s="709"/>
      <c r="AV20" s="709">
        <f>AV123</f>
        <v>0</v>
      </c>
      <c r="AW20" s="709"/>
      <c r="AX20" s="709">
        <f>AX123</f>
        <v>0</v>
      </c>
      <c r="AY20" s="709"/>
      <c r="AZ20" s="607">
        <f>+AL20+AT20</f>
        <v>0</v>
      </c>
      <c r="BA20" s="709"/>
      <c r="BB20" s="607">
        <f>+AN20+AV20</f>
        <v>0</v>
      </c>
      <c r="BC20" s="709"/>
      <c r="BD20" s="607">
        <f>+AP20+AX20</f>
        <v>0</v>
      </c>
      <c r="BE20" s="709"/>
      <c r="BF20" s="709">
        <f>SUM(AZ20:BD20)</f>
        <v>0</v>
      </c>
      <c r="BG20" s="709"/>
      <c r="BH20" s="709">
        <f>BH124</f>
        <v>0</v>
      </c>
      <c r="BI20" s="724"/>
      <c r="BJ20" s="592">
        <f>A20</f>
        <v>107</v>
      </c>
    </row>
    <row r="21" spans="1:62">
      <c r="A21" s="592">
        <f t="shared" ref="A21:A30" si="14">A20+1</f>
        <v>108</v>
      </c>
      <c r="B21" s="703" t="s">
        <v>127</v>
      </c>
      <c r="C21" s="700"/>
      <c r="D21" s="592"/>
      <c r="E21" s="592"/>
      <c r="F21" s="592"/>
      <c r="G21" s="592"/>
      <c r="H21" s="709">
        <f t="shared" ref="H21:H22" si="15">+H125</f>
        <v>0</v>
      </c>
      <c r="I21" s="592"/>
      <c r="J21" s="709">
        <f t="shared" ref="J21:L22" si="16">+J125</f>
        <v>0</v>
      </c>
      <c r="K21" s="709"/>
      <c r="L21" s="709">
        <f t="shared" si="16"/>
        <v>0</v>
      </c>
      <c r="M21" s="709"/>
      <c r="N21" s="709">
        <f t="shared" ref="N21:N22" si="17">N125</f>
        <v>0</v>
      </c>
      <c r="O21" s="709"/>
      <c r="Q21" s="709"/>
      <c r="R21" s="703" t="s">
        <v>1423</v>
      </c>
      <c r="S21" s="592"/>
      <c r="T21" s="709">
        <f t="shared" ref="T21:T22" si="18">T124</f>
        <v>0</v>
      </c>
      <c r="U21" s="709"/>
      <c r="V21" s="709">
        <f t="shared" ref="V21:V22" si="19">V124</f>
        <v>0</v>
      </c>
      <c r="W21" s="709"/>
      <c r="X21" s="709">
        <f t="shared" ref="X21:X22" si="20">X124</f>
        <v>0</v>
      </c>
      <c r="Y21" s="709"/>
      <c r="Z21" s="709">
        <f t="shared" ref="Z21:Z22" si="21">SUM(T21:X21)</f>
        <v>0</v>
      </c>
      <c r="AA21" s="709"/>
      <c r="AB21" s="609" t="s">
        <v>1406</v>
      </c>
      <c r="AC21" s="709"/>
      <c r="AD21" s="709">
        <f t="shared" ref="AD21:AD22" si="22">AD124</f>
        <v>0</v>
      </c>
      <c r="AE21" s="709"/>
      <c r="AF21" s="709">
        <f t="shared" ref="AF21:AF22" si="23">AF124</f>
        <v>0</v>
      </c>
      <c r="AG21" s="709"/>
      <c r="AH21" s="709">
        <f t="shared" ref="AH21:AH22" si="24">AH124</f>
        <v>0</v>
      </c>
      <c r="AI21" s="709"/>
      <c r="AJ21" s="703" t="s">
        <v>1423</v>
      </c>
      <c r="AK21" s="709"/>
      <c r="AL21" s="709">
        <f t="shared" ref="AL21:AL22" si="25">AL124</f>
        <v>0</v>
      </c>
      <c r="AM21" s="709"/>
      <c r="AN21" s="709">
        <f t="shared" ref="AN21:AN22" si="26">AN124</f>
        <v>0</v>
      </c>
      <c r="AO21" s="709"/>
      <c r="AP21" s="709">
        <f t="shared" ref="AP21:AP22" si="27">AP124</f>
        <v>0</v>
      </c>
      <c r="AQ21" s="709"/>
      <c r="AR21" s="709">
        <f t="shared" si="13"/>
        <v>0</v>
      </c>
      <c r="AS21" s="709"/>
      <c r="AT21" s="709">
        <f t="shared" ref="AT21:AT22" si="28">AT124</f>
        <v>0</v>
      </c>
      <c r="AU21" s="709"/>
      <c r="AV21" s="709">
        <f t="shared" ref="AV21:AV22" si="29">AV124</f>
        <v>0</v>
      </c>
      <c r="AW21" s="709"/>
      <c r="AX21" s="709">
        <f t="shared" ref="AX21:AX22" si="30">AX124</f>
        <v>0</v>
      </c>
      <c r="AY21" s="709"/>
      <c r="AZ21" s="607">
        <f t="shared" ref="AZ21:BD22" si="31">+AL21+AT21</f>
        <v>0</v>
      </c>
      <c r="BA21" s="709"/>
      <c r="BB21" s="607">
        <f t="shared" si="31"/>
        <v>0</v>
      </c>
      <c r="BC21" s="709"/>
      <c r="BD21" s="607">
        <f t="shared" si="31"/>
        <v>0</v>
      </c>
      <c r="BE21" s="709"/>
      <c r="BF21" s="709">
        <f t="shared" ref="BF21:BF22" si="32">SUM(AZ21:BD21)</f>
        <v>0</v>
      </c>
      <c r="BG21" s="709"/>
      <c r="BH21" s="709">
        <f>BH125</f>
        <v>0</v>
      </c>
      <c r="BI21" s="614"/>
      <c r="BJ21" s="592">
        <f>A21</f>
        <v>108</v>
      </c>
    </row>
    <row r="22" spans="1:62">
      <c r="A22" s="592">
        <f t="shared" si="14"/>
        <v>109</v>
      </c>
      <c r="B22" s="703" t="s">
        <v>127</v>
      </c>
      <c r="C22" s="700"/>
      <c r="D22" s="592"/>
      <c r="E22" s="592"/>
      <c r="F22" s="592"/>
      <c r="G22" s="592"/>
      <c r="H22" s="718">
        <f t="shared" si="15"/>
        <v>0</v>
      </c>
      <c r="I22" s="592"/>
      <c r="J22" s="718">
        <f t="shared" si="16"/>
        <v>0</v>
      </c>
      <c r="K22" s="718"/>
      <c r="L22" s="718">
        <f t="shared" si="16"/>
        <v>0</v>
      </c>
      <c r="M22" s="718"/>
      <c r="N22" s="718">
        <f t="shared" si="17"/>
        <v>0</v>
      </c>
      <c r="O22" s="718"/>
      <c r="Q22" s="718"/>
      <c r="R22" s="703" t="s">
        <v>1423</v>
      </c>
      <c r="S22" s="592"/>
      <c r="T22" s="718">
        <f t="shared" si="18"/>
        <v>0</v>
      </c>
      <c r="U22" s="718"/>
      <c r="V22" s="718">
        <f t="shared" si="19"/>
        <v>0</v>
      </c>
      <c r="W22" s="718"/>
      <c r="X22" s="718">
        <f t="shared" si="20"/>
        <v>0</v>
      </c>
      <c r="Y22" s="718"/>
      <c r="Z22" s="718">
        <f t="shared" si="21"/>
        <v>0</v>
      </c>
      <c r="AA22" s="709"/>
      <c r="AB22" s="609" t="s">
        <v>1406</v>
      </c>
      <c r="AC22" s="709"/>
      <c r="AD22" s="718">
        <f t="shared" si="22"/>
        <v>0</v>
      </c>
      <c r="AE22" s="718"/>
      <c r="AF22" s="718">
        <f t="shared" si="23"/>
        <v>0</v>
      </c>
      <c r="AG22" s="718"/>
      <c r="AH22" s="718">
        <f t="shared" si="24"/>
        <v>0</v>
      </c>
      <c r="AI22" s="709"/>
      <c r="AJ22" s="703" t="s">
        <v>1423</v>
      </c>
      <c r="AK22" s="709"/>
      <c r="AL22" s="718">
        <f t="shared" si="25"/>
        <v>0</v>
      </c>
      <c r="AM22" s="718"/>
      <c r="AN22" s="718">
        <f t="shared" si="26"/>
        <v>0</v>
      </c>
      <c r="AO22" s="718"/>
      <c r="AP22" s="718">
        <f t="shared" si="27"/>
        <v>0</v>
      </c>
      <c r="AQ22" s="718"/>
      <c r="AR22" s="718">
        <f t="shared" si="13"/>
        <v>0</v>
      </c>
      <c r="AS22" s="709"/>
      <c r="AT22" s="718">
        <f t="shared" si="28"/>
        <v>0</v>
      </c>
      <c r="AU22" s="718"/>
      <c r="AV22" s="718">
        <f t="shared" si="29"/>
        <v>0</v>
      </c>
      <c r="AW22" s="718"/>
      <c r="AX22" s="718">
        <f t="shared" si="30"/>
        <v>0</v>
      </c>
      <c r="AY22" s="709"/>
      <c r="AZ22" s="610">
        <f t="shared" si="31"/>
        <v>0</v>
      </c>
      <c r="BA22" s="718"/>
      <c r="BB22" s="610">
        <f t="shared" si="31"/>
        <v>0</v>
      </c>
      <c r="BC22" s="718"/>
      <c r="BD22" s="610">
        <f t="shared" si="31"/>
        <v>0</v>
      </c>
      <c r="BE22" s="718"/>
      <c r="BF22" s="718">
        <f t="shared" si="32"/>
        <v>0</v>
      </c>
      <c r="BG22" s="709"/>
      <c r="BH22" s="718">
        <f>BH126</f>
        <v>0</v>
      </c>
      <c r="BI22" s="614"/>
      <c r="BJ22" s="592">
        <f>A22</f>
        <v>109</v>
      </c>
    </row>
    <row r="23" spans="1:62">
      <c r="A23" s="592">
        <f t="shared" si="14"/>
        <v>110</v>
      </c>
      <c r="B23" s="700" t="s">
        <v>1424</v>
      </c>
      <c r="C23" s="700"/>
      <c r="D23" s="592"/>
      <c r="E23" s="592"/>
      <c r="F23" s="592"/>
      <c r="G23" s="592"/>
      <c r="H23" s="709">
        <f>SUM(H17:H22)</f>
        <v>0</v>
      </c>
      <c r="I23" s="592"/>
      <c r="J23" s="709">
        <f>SUM(J17:J22)</f>
        <v>0</v>
      </c>
      <c r="K23" s="709"/>
      <c r="L23" s="709">
        <f t="shared" ref="L23" si="33">SUM(L17:L22)</f>
        <v>0</v>
      </c>
      <c r="M23" s="709"/>
      <c r="N23" s="709">
        <f t="shared" ref="N23" si="34">SUM(N17:N22)</f>
        <v>0</v>
      </c>
      <c r="O23" s="709"/>
      <c r="Q23" s="709"/>
      <c r="R23" s="709"/>
      <c r="S23" s="592"/>
      <c r="T23" s="709">
        <f>SUM(T17:T22)</f>
        <v>0</v>
      </c>
      <c r="U23" s="709"/>
      <c r="V23" s="709">
        <f t="shared" ref="V23" si="35">SUM(V17:V22)</f>
        <v>0</v>
      </c>
      <c r="W23" s="709"/>
      <c r="X23" s="709">
        <f t="shared" ref="X23" si="36">SUM(X17:X22)</f>
        <v>0</v>
      </c>
      <c r="Y23" s="709"/>
      <c r="Z23" s="709">
        <f>SUM(Z17:Z22)</f>
        <v>0</v>
      </c>
      <c r="AA23" s="709"/>
      <c r="AB23" s="709"/>
      <c r="AC23" s="709"/>
      <c r="AD23" s="709">
        <f>SUM(AD17:AD22)</f>
        <v>0</v>
      </c>
      <c r="AE23" s="709"/>
      <c r="AF23" s="709">
        <f t="shared" ref="AF23" si="37">SUM(AF17:AF22)</f>
        <v>0</v>
      </c>
      <c r="AG23" s="709"/>
      <c r="AH23" s="709">
        <f t="shared" ref="AH23" si="38">SUM(AH17:AH22)</f>
        <v>0</v>
      </c>
      <c r="AI23" s="709"/>
      <c r="AJ23" s="709"/>
      <c r="AK23" s="709"/>
      <c r="AL23" s="709">
        <f>SUM(AL17:AL22)</f>
        <v>0</v>
      </c>
      <c r="AM23" s="709"/>
      <c r="AN23" s="709">
        <f t="shared" ref="AN23" si="39">SUM(AN17:AN22)</f>
        <v>0</v>
      </c>
      <c r="AO23" s="709"/>
      <c r="AP23" s="709">
        <f t="shared" ref="AP23" si="40">SUM(AP17:AP22)</f>
        <v>0</v>
      </c>
      <c r="AQ23" s="709"/>
      <c r="AR23" s="709">
        <f t="shared" ref="AR23" si="41">SUM(AR17:AR22)</f>
        <v>0</v>
      </c>
      <c r="AS23" s="709"/>
      <c r="AT23" s="709">
        <f>SUM(AT17:AT22)</f>
        <v>0</v>
      </c>
      <c r="AU23" s="709"/>
      <c r="AV23" s="709">
        <f t="shared" ref="AV23" si="42">SUM(AV17:AV22)</f>
        <v>0</v>
      </c>
      <c r="AW23" s="709"/>
      <c r="AX23" s="709">
        <f t="shared" ref="AX23" si="43">SUM(AX17:AX22)</f>
        <v>0</v>
      </c>
      <c r="AY23" s="709"/>
      <c r="AZ23" s="709">
        <f>SUM(AZ17:AZ22)</f>
        <v>0</v>
      </c>
      <c r="BA23" s="709"/>
      <c r="BB23" s="709">
        <f t="shared" ref="BB23" si="44">SUM(BB17:BB22)</f>
        <v>0</v>
      </c>
      <c r="BC23" s="709"/>
      <c r="BD23" s="709">
        <f t="shared" ref="BD23" si="45">SUM(BD17:BD22)</f>
        <v>0</v>
      </c>
      <c r="BE23" s="709"/>
      <c r="BF23" s="709">
        <f t="shared" ref="BF23" si="46">SUM(BF17:BF22)</f>
        <v>0</v>
      </c>
      <c r="BG23" s="709"/>
      <c r="BH23" s="709">
        <f>SUM(BH17:BH22)</f>
        <v>0</v>
      </c>
      <c r="BI23" s="614"/>
      <c r="BJ23" s="592">
        <f>A23</f>
        <v>110</v>
      </c>
    </row>
    <row r="24" spans="1:62">
      <c r="A24" s="592"/>
      <c r="B24" s="700"/>
      <c r="C24" s="700"/>
      <c r="D24" s="592"/>
      <c r="E24" s="592"/>
      <c r="F24" s="592"/>
      <c r="G24" s="592"/>
      <c r="H24" s="592"/>
      <c r="I24" s="592"/>
      <c r="J24" s="592"/>
      <c r="K24" s="592"/>
      <c r="L24" s="592"/>
      <c r="M24" s="592"/>
      <c r="N24" s="592"/>
      <c r="O24" s="592"/>
      <c r="Q24" s="592"/>
      <c r="R24" s="592"/>
      <c r="S24" s="592"/>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709"/>
      <c r="BA24" s="709"/>
      <c r="BB24" s="709"/>
      <c r="BC24" s="709"/>
      <c r="BD24" s="709"/>
      <c r="BE24" s="709"/>
      <c r="BF24" s="709"/>
      <c r="BG24" s="709"/>
      <c r="BH24" s="592"/>
      <c r="BI24" s="614"/>
      <c r="BJ24" s="592"/>
    </row>
    <row r="25" spans="1:62">
      <c r="A25" s="322" t="s">
        <v>100</v>
      </c>
      <c r="B25" s="725" t="s">
        <v>1425</v>
      </c>
      <c r="C25" s="615"/>
      <c r="D25" s="591" t="s">
        <v>111</v>
      </c>
      <c r="E25" s="592"/>
      <c r="F25" s="592"/>
      <c r="G25" s="592"/>
      <c r="H25" s="592"/>
      <c r="I25" s="592"/>
      <c r="J25" s="592"/>
      <c r="K25" s="592"/>
      <c r="L25" s="592"/>
      <c r="M25" s="592"/>
      <c r="N25" s="592"/>
      <c r="O25" s="592"/>
      <c r="Q25" s="592"/>
      <c r="R25" s="592"/>
      <c r="S25" s="592"/>
      <c r="T25" s="709"/>
      <c r="U25" s="709"/>
      <c r="V25" s="709"/>
      <c r="W25" s="709"/>
      <c r="X25" s="700"/>
      <c r="Y25" s="700"/>
      <c r="Z25" s="700"/>
      <c r="AA25" s="700"/>
      <c r="AB25" s="700"/>
      <c r="AC25" s="700"/>
      <c r="AD25" s="700"/>
      <c r="AE25" s="700"/>
      <c r="AF25" s="700"/>
      <c r="AG25" s="700"/>
      <c r="AH25" s="700"/>
      <c r="AI25" s="700"/>
      <c r="AJ25" s="700"/>
      <c r="AK25" s="700"/>
      <c r="AL25" s="709"/>
      <c r="AM25" s="709"/>
      <c r="AN25" s="709"/>
      <c r="AO25" s="709"/>
      <c r="AP25" s="700"/>
      <c r="AQ25" s="700"/>
      <c r="AR25" s="700"/>
      <c r="AS25" s="700"/>
      <c r="AT25" s="700"/>
      <c r="AU25" s="700"/>
      <c r="AV25" s="700"/>
      <c r="AW25" s="700"/>
      <c r="AX25" s="700"/>
      <c r="AY25" s="700"/>
      <c r="AZ25" s="709"/>
      <c r="BA25" s="709"/>
      <c r="BB25" s="709"/>
      <c r="BC25" s="709"/>
      <c r="BD25" s="700"/>
      <c r="BE25" s="700"/>
      <c r="BF25" s="700"/>
      <c r="BG25" s="700"/>
      <c r="BH25" s="592"/>
      <c r="BI25" s="614"/>
      <c r="BJ25" s="723" t="s">
        <v>100</v>
      </c>
    </row>
    <row r="26" spans="1:62">
      <c r="A26" s="592">
        <v>200</v>
      </c>
      <c r="B26" s="700" t="s">
        <v>1426</v>
      </c>
      <c r="C26" s="700"/>
      <c r="D26" s="592"/>
      <c r="E26" s="592"/>
      <c r="F26" s="592"/>
      <c r="G26" s="592"/>
      <c r="H26" s="718">
        <f>ROUND(SUM(H27:H31),0)</f>
        <v>0</v>
      </c>
      <c r="I26" s="592"/>
      <c r="J26" s="718">
        <f>ROUND(SUM(J27:J31),0)</f>
        <v>0</v>
      </c>
      <c r="K26" s="709"/>
      <c r="L26" s="718">
        <f>ROUND(SUM(L27:L31),0)</f>
        <v>0</v>
      </c>
      <c r="M26" s="709"/>
      <c r="N26" s="718">
        <f>ROUND(SUM(N27:N31),0)</f>
        <v>0</v>
      </c>
      <c r="O26" s="709"/>
      <c r="Q26" s="592"/>
      <c r="R26" s="592"/>
      <c r="S26" s="592"/>
      <c r="T26" s="718">
        <f>ROUND(SUM(T27:T31),0)</f>
        <v>0</v>
      </c>
      <c r="U26" s="709"/>
      <c r="V26" s="718">
        <f>ROUND(SUM(V27:V31),0)</f>
        <v>0</v>
      </c>
      <c r="W26" s="709"/>
      <c r="X26" s="718">
        <f>ROUND(SUM(X27:X31),0)</f>
        <v>0</v>
      </c>
      <c r="Y26" s="709"/>
      <c r="Z26" s="718">
        <f>ROUND(SUM(Z27:Z31),0)</f>
        <v>0</v>
      </c>
      <c r="AA26" s="709"/>
      <c r="AB26" s="709"/>
      <c r="AC26" s="709"/>
      <c r="AD26" s="718">
        <f>SUM(AD27:AD31)</f>
        <v>0</v>
      </c>
      <c r="AE26" s="709"/>
      <c r="AF26" s="718">
        <f>SUM(AF27:AF31)</f>
        <v>0</v>
      </c>
      <c r="AG26" s="709"/>
      <c r="AH26" s="718">
        <f>SUM(AH27:AH31)</f>
        <v>0</v>
      </c>
      <c r="AI26" s="709"/>
      <c r="AJ26" s="709"/>
      <c r="AK26" s="709"/>
      <c r="AL26" s="718">
        <f>SUM(AL27:AL31)</f>
        <v>0</v>
      </c>
      <c r="AM26" s="709"/>
      <c r="AN26" s="718">
        <f>SUM(AN27:AN31)</f>
        <v>0</v>
      </c>
      <c r="AO26" s="709"/>
      <c r="AP26" s="718">
        <f>SUM(AP27:AP31)</f>
        <v>0</v>
      </c>
      <c r="AQ26" s="709"/>
      <c r="AR26" s="718">
        <f>SUM(AR27:AR31)</f>
        <v>0</v>
      </c>
      <c r="AS26" s="709"/>
      <c r="AT26" s="718">
        <f>SUM(AT27:AT31)</f>
        <v>0</v>
      </c>
      <c r="AU26" s="709"/>
      <c r="AV26" s="718">
        <f>SUM(AV27:AV31)</f>
        <v>0</v>
      </c>
      <c r="AW26" s="709"/>
      <c r="AX26" s="718">
        <f>SUM(AX27:AX31)</f>
        <v>0</v>
      </c>
      <c r="AY26" s="709"/>
      <c r="AZ26" s="718">
        <f>SUM(AZ27:AZ31)</f>
        <v>0</v>
      </c>
      <c r="BA26" s="709"/>
      <c r="BB26" s="718">
        <f>SUM(BB27:BB31)</f>
        <v>0</v>
      </c>
      <c r="BC26" s="709"/>
      <c r="BD26" s="718">
        <f>SUM(BD27:BD31)</f>
        <v>0</v>
      </c>
      <c r="BE26" s="709"/>
      <c r="BF26" s="718">
        <f>SUM(BF27:BF31)</f>
        <v>0</v>
      </c>
      <c r="BG26" s="709"/>
      <c r="BH26" s="718">
        <f>ROUND(SUM(BH27:BH31),0)</f>
        <v>0</v>
      </c>
      <c r="BI26" s="724"/>
      <c r="BJ26" s="592">
        <f t="shared" ref="BJ26:BJ31" si="47">A26</f>
        <v>200</v>
      </c>
    </row>
    <row r="27" spans="1:62">
      <c r="A27" s="592">
        <f t="shared" si="14"/>
        <v>201</v>
      </c>
      <c r="B27" s="726" t="s">
        <v>1427</v>
      </c>
      <c r="C27" s="700"/>
      <c r="D27" s="700" t="s">
        <v>1428</v>
      </c>
      <c r="E27" s="700"/>
      <c r="F27" s="703" t="s">
        <v>1404</v>
      </c>
      <c r="G27" s="700"/>
      <c r="H27" s="720"/>
      <c r="I27" s="592"/>
      <c r="J27" s="720"/>
      <c r="K27" s="709"/>
      <c r="L27" s="720"/>
      <c r="M27" s="709"/>
      <c r="N27" s="720"/>
      <c r="O27" s="709"/>
      <c r="Q27" s="592"/>
      <c r="R27" s="703" t="s">
        <v>1405</v>
      </c>
      <c r="S27" s="592"/>
      <c r="T27" s="709">
        <f>N27</f>
        <v>0</v>
      </c>
      <c r="U27" s="709"/>
      <c r="V27" s="709">
        <v>0</v>
      </c>
      <c r="W27" s="709"/>
      <c r="X27" s="709">
        <v>0</v>
      </c>
      <c r="Y27" s="709"/>
      <c r="Z27" s="709">
        <f t="shared" ref="Z27:Z31" si="48">SUM(T27:X27)</f>
        <v>0</v>
      </c>
      <c r="AA27" s="709"/>
      <c r="AB27" s="609" t="s">
        <v>1406</v>
      </c>
      <c r="AC27" s="709"/>
      <c r="AD27" s="720"/>
      <c r="AE27" s="709"/>
      <c r="AF27" s="709">
        <v>0</v>
      </c>
      <c r="AG27" s="709"/>
      <c r="AH27" s="709">
        <v>0</v>
      </c>
      <c r="AI27" s="709"/>
      <c r="AJ27" s="609" t="s">
        <v>1407</v>
      </c>
      <c r="AK27" s="709"/>
      <c r="AL27" s="607">
        <f>+T27-AD27</f>
        <v>0</v>
      </c>
      <c r="AM27" s="709"/>
      <c r="AN27" s="607">
        <f>+V27-AF27</f>
        <v>0</v>
      </c>
      <c r="AO27" s="709"/>
      <c r="AP27" s="607">
        <f>+X27-AH27</f>
        <v>0</v>
      </c>
      <c r="AQ27" s="709"/>
      <c r="AR27" s="709">
        <f t="shared" ref="AR27:AR31" si="49">SUM(AL27:AP27)</f>
        <v>0</v>
      </c>
      <c r="AS27" s="709"/>
      <c r="AT27" s="720"/>
      <c r="AU27" s="709"/>
      <c r="AV27" s="709">
        <v>0</v>
      </c>
      <c r="AW27" s="709"/>
      <c r="AX27" s="709">
        <v>0</v>
      </c>
      <c r="AY27" s="709"/>
      <c r="AZ27" s="607">
        <f>+AL27-AT27</f>
        <v>0</v>
      </c>
      <c r="BA27" s="709"/>
      <c r="BB27" s="607">
        <f>+AN27-AV27</f>
        <v>0</v>
      </c>
      <c r="BC27" s="709"/>
      <c r="BD27" s="607">
        <f>+AP27-AX27</f>
        <v>0</v>
      </c>
      <c r="BE27" s="709"/>
      <c r="BF27" s="709">
        <f t="shared" ref="BF27:BF31" si="50">SUM(AZ27:BD27)</f>
        <v>0</v>
      </c>
      <c r="BG27" s="709"/>
      <c r="BH27" s="709">
        <f>+BF27*$BH$9</f>
        <v>0</v>
      </c>
      <c r="BI27" s="724"/>
      <c r="BJ27" s="592">
        <f t="shared" si="47"/>
        <v>201</v>
      </c>
    </row>
    <row r="28" spans="1:62">
      <c r="A28" s="592">
        <f t="shared" si="14"/>
        <v>202</v>
      </c>
      <c r="B28" s="726" t="s">
        <v>1429</v>
      </c>
      <c r="C28" s="700"/>
      <c r="D28" s="700" t="s">
        <v>1428</v>
      </c>
      <c r="E28" s="700"/>
      <c r="F28" s="703" t="s">
        <v>1404</v>
      </c>
      <c r="G28" s="700"/>
      <c r="H28" s="720"/>
      <c r="I28" s="592"/>
      <c r="J28" s="720"/>
      <c r="K28" s="709"/>
      <c r="L28" s="720"/>
      <c r="M28" s="709"/>
      <c r="N28" s="720"/>
      <c r="O28" s="709"/>
      <c r="Q28" s="592"/>
      <c r="R28" s="703" t="s">
        <v>1405</v>
      </c>
      <c r="S28" s="592"/>
      <c r="T28" s="709">
        <f t="shared" ref="T28:T29" si="51">N28</f>
        <v>0</v>
      </c>
      <c r="U28" s="709"/>
      <c r="V28" s="709">
        <v>0</v>
      </c>
      <c r="W28" s="709"/>
      <c r="X28" s="709">
        <v>0</v>
      </c>
      <c r="Y28" s="709"/>
      <c r="Z28" s="709">
        <f t="shared" si="48"/>
        <v>0</v>
      </c>
      <c r="AA28" s="709"/>
      <c r="AB28" s="609" t="s">
        <v>1406</v>
      </c>
      <c r="AC28" s="709"/>
      <c r="AD28" s="720"/>
      <c r="AE28" s="709"/>
      <c r="AF28" s="709">
        <v>0</v>
      </c>
      <c r="AG28" s="709"/>
      <c r="AH28" s="709">
        <v>0</v>
      </c>
      <c r="AI28" s="709"/>
      <c r="AJ28" s="609" t="s">
        <v>1407</v>
      </c>
      <c r="AK28" s="709"/>
      <c r="AL28" s="607">
        <f t="shared" ref="AL28:AP31" si="52">+T28-AD28</f>
        <v>0</v>
      </c>
      <c r="AM28" s="709"/>
      <c r="AN28" s="607">
        <f t="shared" si="52"/>
        <v>0</v>
      </c>
      <c r="AO28" s="709"/>
      <c r="AP28" s="607">
        <f t="shared" si="52"/>
        <v>0</v>
      </c>
      <c r="AQ28" s="709"/>
      <c r="AR28" s="709">
        <f t="shared" si="49"/>
        <v>0</v>
      </c>
      <c r="AS28" s="709"/>
      <c r="AT28" s="720"/>
      <c r="AU28" s="709"/>
      <c r="AV28" s="709">
        <v>0</v>
      </c>
      <c r="AW28" s="709"/>
      <c r="AX28" s="709">
        <v>0</v>
      </c>
      <c r="AY28" s="709"/>
      <c r="AZ28" s="607">
        <f t="shared" ref="AZ28:BD31" si="53">+AL28-AT28</f>
        <v>0</v>
      </c>
      <c r="BA28" s="709"/>
      <c r="BB28" s="607">
        <f t="shared" si="53"/>
        <v>0</v>
      </c>
      <c r="BC28" s="709"/>
      <c r="BD28" s="607">
        <f t="shared" si="53"/>
        <v>0</v>
      </c>
      <c r="BE28" s="709"/>
      <c r="BF28" s="709">
        <f t="shared" si="50"/>
        <v>0</v>
      </c>
      <c r="BG28" s="709"/>
      <c r="BH28" s="709">
        <f>+BF28*$BH$9</f>
        <v>0</v>
      </c>
      <c r="BI28" s="724"/>
      <c r="BJ28" s="592">
        <f t="shared" si="47"/>
        <v>202</v>
      </c>
    </row>
    <row r="29" spans="1:62">
      <c r="A29" s="592">
        <f t="shared" si="14"/>
        <v>203</v>
      </c>
      <c r="B29" s="726" t="s">
        <v>1430</v>
      </c>
      <c r="C29" s="700"/>
      <c r="D29" s="700" t="s">
        <v>1428</v>
      </c>
      <c r="E29" s="700"/>
      <c r="F29" s="703" t="s">
        <v>1404</v>
      </c>
      <c r="G29" s="700"/>
      <c r="H29" s="720"/>
      <c r="I29" s="592"/>
      <c r="J29" s="720"/>
      <c r="K29" s="709"/>
      <c r="L29" s="720"/>
      <c r="M29" s="709"/>
      <c r="N29" s="720"/>
      <c r="O29" s="709"/>
      <c r="Q29" s="592"/>
      <c r="R29" s="703" t="s">
        <v>1405</v>
      </c>
      <c r="S29" s="592"/>
      <c r="T29" s="709">
        <f t="shared" si="51"/>
        <v>0</v>
      </c>
      <c r="U29" s="709"/>
      <c r="V29" s="709">
        <v>0</v>
      </c>
      <c r="W29" s="709"/>
      <c r="X29" s="709">
        <v>0</v>
      </c>
      <c r="Y29" s="709"/>
      <c r="Z29" s="709">
        <f t="shared" si="48"/>
        <v>0</v>
      </c>
      <c r="AA29" s="709"/>
      <c r="AB29" s="609" t="s">
        <v>1406</v>
      </c>
      <c r="AC29" s="709"/>
      <c r="AD29" s="720"/>
      <c r="AE29" s="709"/>
      <c r="AF29" s="709">
        <v>0</v>
      </c>
      <c r="AG29" s="709"/>
      <c r="AH29" s="709">
        <v>0</v>
      </c>
      <c r="AI29" s="709"/>
      <c r="AJ29" s="609" t="s">
        <v>1407</v>
      </c>
      <c r="AK29" s="709"/>
      <c r="AL29" s="607">
        <f t="shared" si="52"/>
        <v>0</v>
      </c>
      <c r="AM29" s="709"/>
      <c r="AN29" s="607">
        <f t="shared" si="52"/>
        <v>0</v>
      </c>
      <c r="AO29" s="709"/>
      <c r="AP29" s="607">
        <f t="shared" si="52"/>
        <v>0</v>
      </c>
      <c r="AQ29" s="709"/>
      <c r="AR29" s="709">
        <f t="shared" si="49"/>
        <v>0</v>
      </c>
      <c r="AS29" s="709"/>
      <c r="AT29" s="720"/>
      <c r="AU29" s="709"/>
      <c r="AV29" s="709">
        <v>0</v>
      </c>
      <c r="AW29" s="709"/>
      <c r="AX29" s="709">
        <v>0</v>
      </c>
      <c r="AY29" s="709"/>
      <c r="AZ29" s="607">
        <f t="shared" si="53"/>
        <v>0</v>
      </c>
      <c r="BA29" s="709"/>
      <c r="BB29" s="607">
        <f t="shared" si="53"/>
        <v>0</v>
      </c>
      <c r="BC29" s="709"/>
      <c r="BD29" s="607">
        <f t="shared" si="53"/>
        <v>0</v>
      </c>
      <c r="BE29" s="709"/>
      <c r="BF29" s="709">
        <f t="shared" si="50"/>
        <v>0</v>
      </c>
      <c r="BG29" s="709"/>
      <c r="BH29" s="709">
        <f>+BF29*$BH$9</f>
        <v>0</v>
      </c>
      <c r="BI29" s="724"/>
      <c r="BJ29" s="592">
        <f t="shared" si="47"/>
        <v>203</v>
      </c>
    </row>
    <row r="30" spans="1:62">
      <c r="A30" s="592">
        <f t="shared" si="14"/>
        <v>204</v>
      </c>
      <c r="B30" s="727" t="s">
        <v>127</v>
      </c>
      <c r="C30" s="700"/>
      <c r="D30" s="592"/>
      <c r="E30" s="592"/>
      <c r="F30" s="592"/>
      <c r="G30" s="592"/>
      <c r="H30" s="720"/>
      <c r="I30" s="592"/>
      <c r="J30" s="720"/>
      <c r="K30" s="709"/>
      <c r="L30" s="720"/>
      <c r="M30" s="709"/>
      <c r="N30" s="720"/>
      <c r="O30" s="709"/>
      <c r="Q30" s="592"/>
      <c r="R30" s="592"/>
      <c r="S30" s="592"/>
      <c r="T30" s="709">
        <v>0</v>
      </c>
      <c r="U30" s="709"/>
      <c r="V30" s="709">
        <v>0</v>
      </c>
      <c r="W30" s="709"/>
      <c r="X30" s="709">
        <v>0</v>
      </c>
      <c r="Y30" s="709"/>
      <c r="Z30" s="709">
        <f t="shared" si="48"/>
        <v>0</v>
      </c>
      <c r="AA30" s="709"/>
      <c r="AB30" s="709"/>
      <c r="AC30" s="709"/>
      <c r="AD30" s="720"/>
      <c r="AE30" s="709"/>
      <c r="AF30" s="709">
        <v>0</v>
      </c>
      <c r="AG30" s="709"/>
      <c r="AH30" s="709">
        <v>0</v>
      </c>
      <c r="AI30" s="709"/>
      <c r="AJ30" s="709"/>
      <c r="AK30" s="709"/>
      <c r="AL30" s="607">
        <f t="shared" si="52"/>
        <v>0</v>
      </c>
      <c r="AM30" s="709"/>
      <c r="AN30" s="607">
        <f t="shared" si="52"/>
        <v>0</v>
      </c>
      <c r="AO30" s="709"/>
      <c r="AP30" s="607">
        <f t="shared" si="52"/>
        <v>0</v>
      </c>
      <c r="AQ30" s="709"/>
      <c r="AR30" s="709">
        <f t="shared" si="49"/>
        <v>0</v>
      </c>
      <c r="AS30" s="709"/>
      <c r="AT30" s="720"/>
      <c r="AU30" s="709"/>
      <c r="AV30" s="709">
        <v>0</v>
      </c>
      <c r="AW30" s="709"/>
      <c r="AX30" s="709">
        <v>0</v>
      </c>
      <c r="AY30" s="709"/>
      <c r="AZ30" s="607">
        <f t="shared" si="53"/>
        <v>0</v>
      </c>
      <c r="BA30" s="709"/>
      <c r="BB30" s="607">
        <f t="shared" si="53"/>
        <v>0</v>
      </c>
      <c r="BC30" s="709"/>
      <c r="BD30" s="607">
        <f t="shared" si="53"/>
        <v>0</v>
      </c>
      <c r="BE30" s="709"/>
      <c r="BF30" s="709">
        <f t="shared" si="50"/>
        <v>0</v>
      </c>
      <c r="BG30" s="709"/>
      <c r="BH30" s="709">
        <f>+BF30*$BH$9</f>
        <v>0</v>
      </c>
      <c r="BI30" s="724"/>
      <c r="BJ30" s="592">
        <f t="shared" si="47"/>
        <v>204</v>
      </c>
    </row>
    <row r="31" spans="1:62">
      <c r="A31" s="592">
        <f>+A30+1</f>
        <v>205</v>
      </c>
      <c r="B31" s="727" t="s">
        <v>127</v>
      </c>
      <c r="C31" s="728"/>
      <c r="D31" s="700"/>
      <c r="E31" s="700"/>
      <c r="F31" s="703"/>
      <c r="G31" s="700"/>
      <c r="H31" s="720"/>
      <c r="I31" s="700"/>
      <c r="J31" s="720"/>
      <c r="K31" s="709"/>
      <c r="L31" s="720"/>
      <c r="M31" s="709"/>
      <c r="N31" s="720"/>
      <c r="O31" s="709"/>
      <c r="Q31" s="700"/>
      <c r="R31" s="700"/>
      <c r="S31" s="700"/>
      <c r="T31" s="709">
        <v>0</v>
      </c>
      <c r="U31" s="709"/>
      <c r="V31" s="709">
        <v>0</v>
      </c>
      <c r="W31" s="709"/>
      <c r="X31" s="709">
        <v>0</v>
      </c>
      <c r="Y31" s="709"/>
      <c r="Z31" s="709">
        <f t="shared" si="48"/>
        <v>0</v>
      </c>
      <c r="AA31" s="709"/>
      <c r="AB31" s="709"/>
      <c r="AC31" s="709"/>
      <c r="AD31" s="720"/>
      <c r="AE31" s="709"/>
      <c r="AF31" s="709">
        <v>0</v>
      </c>
      <c r="AG31" s="709"/>
      <c r="AH31" s="709">
        <v>0</v>
      </c>
      <c r="AI31" s="709"/>
      <c r="AJ31" s="709"/>
      <c r="AK31" s="709"/>
      <c r="AL31" s="607">
        <f t="shared" si="52"/>
        <v>0</v>
      </c>
      <c r="AM31" s="709"/>
      <c r="AN31" s="607">
        <f t="shared" si="52"/>
        <v>0</v>
      </c>
      <c r="AO31" s="709"/>
      <c r="AP31" s="607">
        <f t="shared" si="52"/>
        <v>0</v>
      </c>
      <c r="AQ31" s="709"/>
      <c r="AR31" s="709">
        <f t="shared" si="49"/>
        <v>0</v>
      </c>
      <c r="AS31" s="593"/>
      <c r="AT31" s="720"/>
      <c r="AU31" s="709"/>
      <c r="AV31" s="709">
        <v>0</v>
      </c>
      <c r="AW31" s="709"/>
      <c r="AX31" s="709">
        <v>0</v>
      </c>
      <c r="AY31" s="709"/>
      <c r="AZ31" s="607">
        <f t="shared" si="53"/>
        <v>0</v>
      </c>
      <c r="BA31" s="709"/>
      <c r="BB31" s="607">
        <f t="shared" si="53"/>
        <v>0</v>
      </c>
      <c r="BC31" s="709"/>
      <c r="BD31" s="607">
        <f t="shared" si="53"/>
        <v>0</v>
      </c>
      <c r="BE31" s="709"/>
      <c r="BF31" s="709">
        <f t="shared" si="50"/>
        <v>0</v>
      </c>
      <c r="BG31" s="709"/>
      <c r="BH31" s="709">
        <f>+BF31*$BH$9</f>
        <v>0</v>
      </c>
      <c r="BI31" s="700"/>
      <c r="BJ31" s="592">
        <f t="shared" si="47"/>
        <v>205</v>
      </c>
    </row>
    <row r="32" spans="1:62">
      <c r="A32" s="592"/>
      <c r="B32" s="703"/>
      <c r="C32" s="728"/>
      <c r="D32" s="700"/>
      <c r="E32" s="700"/>
      <c r="F32" s="703"/>
      <c r="G32" s="700"/>
      <c r="H32" s="709"/>
      <c r="I32" s="700"/>
      <c r="J32" s="709"/>
      <c r="K32" s="709"/>
      <c r="L32" s="709"/>
      <c r="M32" s="709"/>
      <c r="N32" s="709"/>
      <c r="O32" s="709"/>
      <c r="Q32" s="700"/>
      <c r="R32" s="700"/>
      <c r="S32" s="700"/>
      <c r="T32" s="709"/>
      <c r="U32" s="709"/>
      <c r="V32" s="709"/>
      <c r="W32" s="709"/>
      <c r="X32" s="709"/>
      <c r="Y32" s="709"/>
      <c r="Z32" s="709"/>
      <c r="AA32" s="709"/>
      <c r="AB32" s="709"/>
      <c r="AC32" s="709"/>
      <c r="AD32" s="709"/>
      <c r="AE32" s="709"/>
      <c r="AF32" s="709"/>
      <c r="AG32" s="709"/>
      <c r="AH32" s="709"/>
      <c r="AI32" s="709"/>
      <c r="AJ32" s="709"/>
      <c r="AK32" s="709"/>
      <c r="AL32" s="709"/>
      <c r="AM32" s="709"/>
      <c r="AN32" s="709"/>
      <c r="AO32" s="709"/>
      <c r="AP32" s="709"/>
      <c r="AQ32" s="709"/>
      <c r="AR32" s="709"/>
      <c r="AS32" s="593"/>
      <c r="AT32" s="709"/>
      <c r="AU32" s="709"/>
      <c r="AV32" s="709"/>
      <c r="AW32" s="709"/>
      <c r="AX32" s="709"/>
      <c r="AY32" s="709"/>
      <c r="AZ32" s="709"/>
      <c r="BA32" s="709"/>
      <c r="BB32" s="709"/>
      <c r="BC32" s="709"/>
      <c r="BD32" s="709"/>
      <c r="BE32" s="709"/>
      <c r="BF32" s="709"/>
      <c r="BG32" s="709"/>
      <c r="BH32" s="709"/>
      <c r="BI32" s="700"/>
      <c r="BJ32" s="592"/>
    </row>
    <row r="33" spans="1:62">
      <c r="A33" s="322" t="s">
        <v>100</v>
      </c>
      <c r="B33" s="712"/>
      <c r="BJ33" s="723" t="s">
        <v>100</v>
      </c>
    </row>
    <row r="34" spans="1:62">
      <c r="A34" s="592">
        <v>300</v>
      </c>
      <c r="B34" s="700" t="s">
        <v>1431</v>
      </c>
      <c r="H34" s="718">
        <f>SUM(H35:H39)</f>
        <v>0</v>
      </c>
      <c r="J34" s="718">
        <f>SUM(J35:J39)</f>
        <v>0</v>
      </c>
      <c r="K34" s="709"/>
      <c r="L34" s="718">
        <f>SUM(L35:L39)</f>
        <v>0</v>
      </c>
      <c r="M34" s="709"/>
      <c r="N34" s="718">
        <f>SUM(N35:N39)</f>
        <v>0</v>
      </c>
      <c r="O34" s="709"/>
      <c r="Q34" s="592"/>
      <c r="R34" s="592"/>
      <c r="S34" s="592"/>
      <c r="T34" s="718">
        <f>SUM(T35:T39)</f>
        <v>0</v>
      </c>
      <c r="U34" s="709"/>
      <c r="V34" s="718">
        <f>SUM(V35:V39)</f>
        <v>0</v>
      </c>
      <c r="W34" s="709"/>
      <c r="X34" s="718">
        <f>SUM(X35:X39)</f>
        <v>0</v>
      </c>
      <c r="Y34" s="709"/>
      <c r="Z34" s="718">
        <f>SUM(Z35:Z39)</f>
        <v>0</v>
      </c>
      <c r="AA34" s="709"/>
      <c r="AB34" s="709"/>
      <c r="AC34" s="709"/>
      <c r="AD34" s="718">
        <f>SUM(AD35:AD39)</f>
        <v>0</v>
      </c>
      <c r="AE34" s="709"/>
      <c r="AF34" s="718">
        <f>SUM(AF35:AF39)</f>
        <v>0</v>
      </c>
      <c r="AG34" s="709"/>
      <c r="AH34" s="718">
        <f>SUM(AH35:AH39)</f>
        <v>0</v>
      </c>
      <c r="AI34" s="709"/>
      <c r="AJ34" s="709"/>
      <c r="AK34" s="709"/>
      <c r="AL34" s="718">
        <f>SUM(AL35:AL39)</f>
        <v>0</v>
      </c>
      <c r="AM34" s="709"/>
      <c r="AN34" s="718">
        <f>SUM(AN35:AN39)</f>
        <v>0</v>
      </c>
      <c r="AO34" s="709"/>
      <c r="AP34" s="718">
        <f>SUM(AP35:AP39)</f>
        <v>0</v>
      </c>
      <c r="AQ34" s="709"/>
      <c r="AR34" s="718">
        <f>SUM(AR35:AR39)</f>
        <v>0</v>
      </c>
      <c r="AT34" s="718">
        <f>SUM(AT35:AT39)</f>
        <v>0</v>
      </c>
      <c r="AU34" s="709"/>
      <c r="AV34" s="718">
        <f>SUM(AV35:AV39)</f>
        <v>0</v>
      </c>
      <c r="AW34" s="709"/>
      <c r="AX34" s="718">
        <f>SUM(AX35:AX39)</f>
        <v>0</v>
      </c>
      <c r="AY34" s="709"/>
      <c r="AZ34" s="718">
        <f>SUM(AZ35:AZ39)</f>
        <v>0</v>
      </c>
      <c r="BA34" s="709"/>
      <c r="BB34" s="718">
        <f>SUM(BB35:BB39)</f>
        <v>0</v>
      </c>
      <c r="BC34" s="709"/>
      <c r="BD34" s="718">
        <f>SUM(BD35:BD39)</f>
        <v>0</v>
      </c>
      <c r="BE34" s="709"/>
      <c r="BF34" s="718">
        <f>SUM(BF35:BF39)</f>
        <v>0</v>
      </c>
      <c r="BG34" s="709"/>
      <c r="BH34" s="718">
        <f>SUM(BH35:BH39)</f>
        <v>0</v>
      </c>
      <c r="BJ34" s="592">
        <f t="shared" ref="BJ34:BJ39" si="54">A34</f>
        <v>300</v>
      </c>
    </row>
    <row r="35" spans="1:62">
      <c r="A35" s="592">
        <f t="shared" ref="A35:A38" si="55">A34+1</f>
        <v>301</v>
      </c>
      <c r="B35" s="637" t="s">
        <v>1432</v>
      </c>
      <c r="D35" s="702" t="s">
        <v>1433</v>
      </c>
      <c r="F35" s="712" t="s">
        <v>1404</v>
      </c>
      <c r="H35" s="720"/>
      <c r="J35" s="720"/>
      <c r="K35" s="709"/>
      <c r="L35" s="720"/>
      <c r="M35" s="709"/>
      <c r="N35" s="720"/>
      <c r="O35" s="709"/>
      <c r="R35" s="703" t="s">
        <v>1405</v>
      </c>
      <c r="T35" s="709">
        <f t="shared" ref="T35:T39" si="56">N35</f>
        <v>0</v>
      </c>
      <c r="U35" s="709"/>
      <c r="V35" s="709">
        <v>0</v>
      </c>
      <c r="W35" s="709"/>
      <c r="X35" s="709">
        <v>0</v>
      </c>
      <c r="Y35" s="709"/>
      <c r="Z35" s="709">
        <f>SUM(T35:X35)</f>
        <v>0</v>
      </c>
      <c r="AA35" s="709"/>
      <c r="AB35" s="709"/>
      <c r="AC35" s="709"/>
      <c r="AD35" s="720"/>
      <c r="AE35" s="709"/>
      <c r="AF35" s="720"/>
      <c r="AG35" s="709"/>
      <c r="AH35" s="709">
        <v>0</v>
      </c>
      <c r="AI35" s="709"/>
      <c r="AJ35" s="709"/>
      <c r="AK35" s="709"/>
      <c r="AL35" s="607">
        <f>+T35-AD35</f>
        <v>0</v>
      </c>
      <c r="AM35" s="709"/>
      <c r="AN35" s="607">
        <f>+V35-AF35</f>
        <v>0</v>
      </c>
      <c r="AO35" s="709"/>
      <c r="AP35" s="607">
        <f>+X35-AH35</f>
        <v>0</v>
      </c>
      <c r="AQ35" s="709"/>
      <c r="AR35" s="709">
        <f t="shared" ref="AR35:AR39" si="57">SUM(AL35:AP35)</f>
        <v>0</v>
      </c>
      <c r="AT35" s="720"/>
      <c r="AU35" s="709"/>
      <c r="AV35" s="720"/>
      <c r="AW35" s="709"/>
      <c r="AX35" s="709">
        <v>0</v>
      </c>
      <c r="AY35" s="709"/>
      <c r="AZ35" s="607">
        <f>+AL35-AT35</f>
        <v>0</v>
      </c>
      <c r="BA35" s="709"/>
      <c r="BB35" s="607">
        <f>+AN35-AV35</f>
        <v>0</v>
      </c>
      <c r="BC35" s="709"/>
      <c r="BD35" s="607">
        <f>+AP35-AX35</f>
        <v>0</v>
      </c>
      <c r="BE35" s="709"/>
      <c r="BF35" s="709">
        <f t="shared" ref="BF35:BF39" si="58">SUM(AZ35:BD35)</f>
        <v>0</v>
      </c>
      <c r="BG35" s="709"/>
      <c r="BH35" s="709">
        <f>+BF35*$BH$9</f>
        <v>0</v>
      </c>
      <c r="BJ35" s="592">
        <f t="shared" si="54"/>
        <v>301</v>
      </c>
    </row>
    <row r="36" spans="1:62">
      <c r="A36" s="592">
        <f t="shared" si="55"/>
        <v>302</v>
      </c>
      <c r="B36" s="637" t="s">
        <v>1432</v>
      </c>
      <c r="D36" s="702" t="s">
        <v>1433</v>
      </c>
      <c r="F36" s="712" t="s">
        <v>1404</v>
      </c>
      <c r="H36" s="720"/>
      <c r="J36" s="720"/>
      <c r="K36" s="709"/>
      <c r="L36" s="720"/>
      <c r="M36" s="709"/>
      <c r="N36" s="720"/>
      <c r="O36" s="709"/>
      <c r="R36" s="703" t="s">
        <v>1405</v>
      </c>
      <c r="T36" s="709">
        <f t="shared" si="56"/>
        <v>0</v>
      </c>
      <c r="U36" s="709"/>
      <c r="V36" s="709">
        <v>0</v>
      </c>
      <c r="W36" s="709"/>
      <c r="X36" s="709">
        <v>0</v>
      </c>
      <c r="Y36" s="709"/>
      <c r="Z36" s="709">
        <f t="shared" ref="Z36:Z39" si="59">SUM(T36:X36)</f>
        <v>0</v>
      </c>
      <c r="AA36" s="709"/>
      <c r="AB36" s="709"/>
      <c r="AC36" s="709"/>
      <c r="AD36" s="720"/>
      <c r="AE36" s="709"/>
      <c r="AF36" s="720"/>
      <c r="AG36" s="709"/>
      <c r="AH36" s="709">
        <v>0</v>
      </c>
      <c r="AI36" s="709"/>
      <c r="AJ36" s="709"/>
      <c r="AK36" s="709"/>
      <c r="AL36" s="607">
        <f t="shared" ref="AL36:AP39" si="60">+T36-AD36</f>
        <v>0</v>
      </c>
      <c r="AM36" s="709"/>
      <c r="AN36" s="607">
        <f t="shared" si="60"/>
        <v>0</v>
      </c>
      <c r="AO36" s="709"/>
      <c r="AP36" s="607">
        <f t="shared" si="60"/>
        <v>0</v>
      </c>
      <c r="AQ36" s="709"/>
      <c r="AR36" s="709">
        <f t="shared" si="57"/>
        <v>0</v>
      </c>
      <c r="AT36" s="720"/>
      <c r="AU36" s="709"/>
      <c r="AV36" s="720"/>
      <c r="AW36" s="709"/>
      <c r="AX36" s="709">
        <v>0</v>
      </c>
      <c r="AY36" s="709"/>
      <c r="AZ36" s="607">
        <f t="shared" ref="AZ36:BD39" si="61">+AL36-AT36</f>
        <v>0</v>
      </c>
      <c r="BA36" s="709"/>
      <c r="BB36" s="607">
        <f t="shared" si="61"/>
        <v>0</v>
      </c>
      <c r="BC36" s="709"/>
      <c r="BD36" s="607">
        <f t="shared" si="61"/>
        <v>0</v>
      </c>
      <c r="BE36" s="709"/>
      <c r="BF36" s="709">
        <f t="shared" si="58"/>
        <v>0</v>
      </c>
      <c r="BG36" s="709"/>
      <c r="BH36" s="709">
        <f>+BF36*$BH$9</f>
        <v>0</v>
      </c>
      <c r="BJ36" s="592">
        <f t="shared" si="54"/>
        <v>302</v>
      </c>
    </row>
    <row r="37" spans="1:62">
      <c r="A37" s="592">
        <f t="shared" si="55"/>
        <v>303</v>
      </c>
      <c r="B37" s="637" t="s">
        <v>1432</v>
      </c>
      <c r="D37" s="702" t="s">
        <v>1433</v>
      </c>
      <c r="F37" s="712" t="s">
        <v>1404</v>
      </c>
      <c r="H37" s="720"/>
      <c r="J37" s="720"/>
      <c r="K37" s="709"/>
      <c r="L37" s="720"/>
      <c r="M37" s="709"/>
      <c r="N37" s="720"/>
      <c r="O37" s="709"/>
      <c r="R37" s="703" t="s">
        <v>1405</v>
      </c>
      <c r="T37" s="709">
        <f t="shared" si="56"/>
        <v>0</v>
      </c>
      <c r="U37" s="709"/>
      <c r="V37" s="709">
        <v>0</v>
      </c>
      <c r="W37" s="709"/>
      <c r="X37" s="709">
        <v>0</v>
      </c>
      <c r="Y37" s="709"/>
      <c r="Z37" s="709">
        <f t="shared" si="59"/>
        <v>0</v>
      </c>
      <c r="AA37" s="709"/>
      <c r="AB37" s="709"/>
      <c r="AC37" s="709"/>
      <c r="AD37" s="720"/>
      <c r="AE37" s="709"/>
      <c r="AF37" s="720"/>
      <c r="AG37" s="709"/>
      <c r="AH37" s="709">
        <v>0</v>
      </c>
      <c r="AI37" s="709"/>
      <c r="AJ37" s="709"/>
      <c r="AK37" s="709"/>
      <c r="AL37" s="607">
        <f t="shared" si="60"/>
        <v>0</v>
      </c>
      <c r="AM37" s="709"/>
      <c r="AN37" s="607">
        <f t="shared" si="60"/>
        <v>0</v>
      </c>
      <c r="AO37" s="709"/>
      <c r="AP37" s="607">
        <f t="shared" si="60"/>
        <v>0</v>
      </c>
      <c r="AQ37" s="709"/>
      <c r="AR37" s="709">
        <f t="shared" si="57"/>
        <v>0</v>
      </c>
      <c r="AT37" s="720"/>
      <c r="AU37" s="709"/>
      <c r="AV37" s="720"/>
      <c r="AW37" s="709"/>
      <c r="AX37" s="709">
        <v>0</v>
      </c>
      <c r="AY37" s="709"/>
      <c r="AZ37" s="607">
        <f t="shared" si="61"/>
        <v>0</v>
      </c>
      <c r="BA37" s="709"/>
      <c r="BB37" s="607">
        <f t="shared" si="61"/>
        <v>0</v>
      </c>
      <c r="BC37" s="709"/>
      <c r="BD37" s="607">
        <f t="shared" si="61"/>
        <v>0</v>
      </c>
      <c r="BE37" s="709"/>
      <c r="BF37" s="709">
        <f t="shared" si="58"/>
        <v>0</v>
      </c>
      <c r="BG37" s="709"/>
      <c r="BH37" s="709">
        <f>+BF37*$BH$9</f>
        <v>0</v>
      </c>
      <c r="BJ37" s="592">
        <f t="shared" si="54"/>
        <v>303</v>
      </c>
    </row>
    <row r="38" spans="1:62">
      <c r="A38" s="592">
        <f t="shared" si="55"/>
        <v>304</v>
      </c>
      <c r="B38" s="727" t="s">
        <v>127</v>
      </c>
      <c r="H38" s="720"/>
      <c r="J38" s="720"/>
      <c r="K38" s="709"/>
      <c r="L38" s="720"/>
      <c r="M38" s="709"/>
      <c r="N38" s="720"/>
      <c r="O38" s="709"/>
      <c r="T38" s="709">
        <f t="shared" si="56"/>
        <v>0</v>
      </c>
      <c r="U38" s="709"/>
      <c r="V38" s="709">
        <v>0</v>
      </c>
      <c r="W38" s="709"/>
      <c r="X38" s="709">
        <v>0</v>
      </c>
      <c r="Y38" s="709"/>
      <c r="Z38" s="709">
        <f t="shared" si="59"/>
        <v>0</v>
      </c>
      <c r="AA38" s="709"/>
      <c r="AB38" s="709"/>
      <c r="AC38" s="709"/>
      <c r="AD38" s="720"/>
      <c r="AE38" s="709"/>
      <c r="AF38" s="720"/>
      <c r="AG38" s="709"/>
      <c r="AH38" s="709">
        <v>0</v>
      </c>
      <c r="AI38" s="709"/>
      <c r="AJ38" s="709"/>
      <c r="AK38" s="709"/>
      <c r="AL38" s="607">
        <f t="shared" si="60"/>
        <v>0</v>
      </c>
      <c r="AM38" s="709"/>
      <c r="AN38" s="607">
        <f t="shared" si="60"/>
        <v>0</v>
      </c>
      <c r="AO38" s="709"/>
      <c r="AP38" s="607">
        <f t="shared" si="60"/>
        <v>0</v>
      </c>
      <c r="AQ38" s="709"/>
      <c r="AR38" s="709">
        <f t="shared" si="57"/>
        <v>0</v>
      </c>
      <c r="AT38" s="720"/>
      <c r="AU38" s="709"/>
      <c r="AV38" s="720"/>
      <c r="AW38" s="709"/>
      <c r="AX38" s="709">
        <v>0</v>
      </c>
      <c r="AY38" s="709"/>
      <c r="AZ38" s="607">
        <f t="shared" si="61"/>
        <v>0</v>
      </c>
      <c r="BA38" s="709"/>
      <c r="BB38" s="607">
        <f t="shared" si="61"/>
        <v>0</v>
      </c>
      <c r="BC38" s="709"/>
      <c r="BD38" s="607">
        <f t="shared" si="61"/>
        <v>0</v>
      </c>
      <c r="BE38" s="709"/>
      <c r="BF38" s="709">
        <f t="shared" si="58"/>
        <v>0</v>
      </c>
      <c r="BG38" s="709"/>
      <c r="BH38" s="709">
        <f>+BF38*$BH$9</f>
        <v>0</v>
      </c>
      <c r="BJ38" s="592">
        <f t="shared" si="54"/>
        <v>304</v>
      </c>
    </row>
    <row r="39" spans="1:62">
      <c r="A39" s="592">
        <f>+A38+1</f>
        <v>305</v>
      </c>
      <c r="B39" s="727" t="s">
        <v>127</v>
      </c>
      <c r="H39" s="720"/>
      <c r="J39" s="720"/>
      <c r="K39" s="709"/>
      <c r="L39" s="720"/>
      <c r="M39" s="709"/>
      <c r="N39" s="720"/>
      <c r="O39" s="709"/>
      <c r="T39" s="709">
        <f t="shared" si="56"/>
        <v>0</v>
      </c>
      <c r="U39" s="709"/>
      <c r="V39" s="709">
        <v>0</v>
      </c>
      <c r="W39" s="709"/>
      <c r="X39" s="709">
        <v>0</v>
      </c>
      <c r="Y39" s="709"/>
      <c r="Z39" s="709">
        <f t="shared" si="59"/>
        <v>0</v>
      </c>
      <c r="AA39" s="709"/>
      <c r="AB39" s="709"/>
      <c r="AC39" s="709"/>
      <c r="AD39" s="720"/>
      <c r="AE39" s="709"/>
      <c r="AF39" s="720"/>
      <c r="AG39" s="709"/>
      <c r="AH39" s="709">
        <v>0</v>
      </c>
      <c r="AI39" s="709"/>
      <c r="AJ39" s="709"/>
      <c r="AK39" s="709"/>
      <c r="AL39" s="607">
        <f t="shared" si="60"/>
        <v>0</v>
      </c>
      <c r="AM39" s="709"/>
      <c r="AN39" s="607">
        <f t="shared" si="60"/>
        <v>0</v>
      </c>
      <c r="AO39" s="709"/>
      <c r="AP39" s="607">
        <f t="shared" si="60"/>
        <v>0</v>
      </c>
      <c r="AQ39" s="709"/>
      <c r="AR39" s="709">
        <f t="shared" si="57"/>
        <v>0</v>
      </c>
      <c r="AT39" s="720"/>
      <c r="AU39" s="709"/>
      <c r="AV39" s="720"/>
      <c r="AW39" s="709"/>
      <c r="AX39" s="709">
        <v>0</v>
      </c>
      <c r="AY39" s="709"/>
      <c r="AZ39" s="607">
        <f t="shared" si="61"/>
        <v>0</v>
      </c>
      <c r="BA39" s="709"/>
      <c r="BB39" s="607">
        <f t="shared" si="61"/>
        <v>0</v>
      </c>
      <c r="BC39" s="709"/>
      <c r="BD39" s="607">
        <f t="shared" si="61"/>
        <v>0</v>
      </c>
      <c r="BE39" s="709"/>
      <c r="BF39" s="709">
        <f t="shared" si="58"/>
        <v>0</v>
      </c>
      <c r="BG39" s="709"/>
      <c r="BH39" s="709">
        <f>+BF39*$BH$9</f>
        <v>0</v>
      </c>
      <c r="BJ39" s="592">
        <f t="shared" si="54"/>
        <v>305</v>
      </c>
    </row>
    <row r="40" spans="1:62">
      <c r="A40" s="592"/>
      <c r="B40" s="703"/>
      <c r="H40" s="709"/>
      <c r="J40" s="709"/>
      <c r="K40" s="709"/>
      <c r="L40" s="709"/>
      <c r="M40" s="709"/>
      <c r="N40" s="709"/>
      <c r="O40" s="709"/>
      <c r="T40" s="709"/>
      <c r="U40" s="709"/>
      <c r="V40" s="709"/>
      <c r="W40" s="709"/>
      <c r="X40" s="709"/>
      <c r="Y40" s="709"/>
      <c r="Z40" s="709"/>
      <c r="AA40" s="709"/>
      <c r="AB40" s="709"/>
      <c r="AC40" s="709"/>
      <c r="AD40" s="709"/>
      <c r="AE40" s="709"/>
      <c r="AF40" s="709"/>
      <c r="AG40" s="709"/>
      <c r="AH40" s="709"/>
      <c r="AI40" s="709"/>
      <c r="AJ40" s="709"/>
      <c r="AK40" s="709"/>
      <c r="AL40" s="709"/>
      <c r="AM40" s="709"/>
      <c r="AN40" s="709"/>
      <c r="AO40" s="709"/>
      <c r="AP40" s="709"/>
      <c r="AQ40" s="709"/>
      <c r="AR40" s="709"/>
      <c r="AT40" s="709"/>
      <c r="AU40" s="709"/>
      <c r="AV40" s="709"/>
      <c r="AW40" s="709"/>
      <c r="AX40" s="709"/>
      <c r="AY40" s="709"/>
      <c r="AZ40" s="709"/>
      <c r="BA40" s="709"/>
      <c r="BB40" s="709"/>
      <c r="BC40" s="709"/>
      <c r="BD40" s="709"/>
      <c r="BE40" s="709"/>
      <c r="BF40" s="709"/>
      <c r="BG40" s="709"/>
      <c r="BH40" s="709"/>
      <c r="BJ40" s="592"/>
    </row>
    <row r="41" spans="1:62">
      <c r="A41" s="322" t="s">
        <v>100</v>
      </c>
      <c r="T41" s="709"/>
      <c r="U41" s="709"/>
      <c r="V41" s="709"/>
      <c r="W41" s="709"/>
      <c r="X41" s="709"/>
      <c r="Y41" s="709"/>
      <c r="Z41" s="709"/>
      <c r="AA41" s="709"/>
      <c r="AB41" s="709"/>
      <c r="AC41" s="709"/>
      <c r="AE41" s="709"/>
      <c r="AG41" s="709"/>
      <c r="AI41" s="709"/>
      <c r="AJ41" s="709"/>
      <c r="AK41" s="709"/>
      <c r="AL41" s="709"/>
      <c r="AM41" s="709"/>
      <c r="AN41" s="709"/>
      <c r="AO41" s="709"/>
      <c r="AP41" s="709"/>
      <c r="AQ41" s="709"/>
      <c r="AR41" s="709"/>
      <c r="AU41" s="709"/>
      <c r="AW41" s="709"/>
      <c r="AY41" s="709"/>
      <c r="AZ41" s="709"/>
      <c r="BA41" s="709"/>
      <c r="BB41" s="709"/>
      <c r="BC41" s="709"/>
      <c r="BD41" s="709"/>
      <c r="BE41" s="709"/>
      <c r="BF41" s="709"/>
      <c r="BG41" s="709"/>
      <c r="BJ41" s="322" t="s">
        <v>100</v>
      </c>
    </row>
    <row r="42" spans="1:62">
      <c r="A42" s="592">
        <v>400</v>
      </c>
      <c r="B42" s="700" t="s">
        <v>1434</v>
      </c>
      <c r="H42" s="718">
        <f>ROUND(SUM(H43:H99),0)</f>
        <v>0</v>
      </c>
      <c r="J42" s="718">
        <f>ROUND(SUM(J43:J99),0)</f>
        <v>0</v>
      </c>
      <c r="K42" s="709"/>
      <c r="L42" s="718">
        <f>ROUND(SUM(L43:L99),0)</f>
        <v>0</v>
      </c>
      <c r="M42" s="709"/>
      <c r="N42" s="718">
        <f>ROUND(SUM(N43:N99),0)</f>
        <v>0</v>
      </c>
      <c r="O42" s="709"/>
      <c r="Q42" s="592"/>
      <c r="R42" s="592"/>
      <c r="S42" s="592"/>
      <c r="T42" s="718">
        <f>ROUND(SUM(T43:T99),0)</f>
        <v>0</v>
      </c>
      <c r="U42" s="709"/>
      <c r="V42" s="718">
        <f>ROUND(SUM(V43:V99),0)</f>
        <v>0</v>
      </c>
      <c r="W42" s="709"/>
      <c r="X42" s="718">
        <f>ROUND(SUM(X43:X99),0)</f>
        <v>0</v>
      </c>
      <c r="Y42" s="709"/>
      <c r="Z42" s="718">
        <f>ROUND(SUM(Z43:Z99),0)</f>
        <v>0</v>
      </c>
      <c r="AA42" s="709"/>
      <c r="AB42" s="709"/>
      <c r="AC42" s="709"/>
      <c r="AD42" s="718">
        <f>SUM(AD43:AD99)</f>
        <v>0</v>
      </c>
      <c r="AE42" s="709"/>
      <c r="AF42" s="718">
        <f>SUM(AF43:AF99)</f>
        <v>0</v>
      </c>
      <c r="AG42" s="709"/>
      <c r="AH42" s="718">
        <f>SUM(AH43:AH99)</f>
        <v>0</v>
      </c>
      <c r="AI42" s="709"/>
      <c r="AJ42" s="709"/>
      <c r="AK42" s="709"/>
      <c r="AL42" s="718">
        <f>SUM(AL43:AL99)</f>
        <v>0</v>
      </c>
      <c r="AM42" s="709"/>
      <c r="AN42" s="718">
        <f>SUM(AN43:AN99)</f>
        <v>0</v>
      </c>
      <c r="AO42" s="709"/>
      <c r="AP42" s="718">
        <f>SUM(AP43:AP99)</f>
        <v>0</v>
      </c>
      <c r="AQ42" s="709"/>
      <c r="AR42" s="718">
        <f>SUM(AR43:AR99)</f>
        <v>0</v>
      </c>
      <c r="AT42" s="718">
        <f>SUM(AT43:AT99)</f>
        <v>0</v>
      </c>
      <c r="AU42" s="709"/>
      <c r="AV42" s="718">
        <f>SUM(AV43:AV99)</f>
        <v>0</v>
      </c>
      <c r="AW42" s="709"/>
      <c r="AX42" s="718">
        <f>SUM(AX43:AX99)</f>
        <v>0</v>
      </c>
      <c r="AY42" s="709"/>
      <c r="AZ42" s="718">
        <f>SUM(AZ43:AZ99)</f>
        <v>0</v>
      </c>
      <c r="BA42" s="709"/>
      <c r="BB42" s="718">
        <f>SUM(BB43:BB99)</f>
        <v>0</v>
      </c>
      <c r="BC42" s="709"/>
      <c r="BD42" s="718">
        <f>SUM(BD43:BD99)</f>
        <v>0</v>
      </c>
      <c r="BE42" s="709"/>
      <c r="BF42" s="718">
        <f>SUM(BF43:BF99)</f>
        <v>0</v>
      </c>
      <c r="BG42" s="709"/>
      <c r="BH42" s="718">
        <f>ROUND(SUM(BH43:BH99),0)</f>
        <v>0</v>
      </c>
      <c r="BJ42" s="592">
        <f t="shared" ref="BJ42:BJ99" si="62">A42</f>
        <v>400</v>
      </c>
    </row>
    <row r="43" spans="1:62">
      <c r="A43" s="592">
        <f t="shared" ref="A43:A99" si="63">A42+1</f>
        <v>401</v>
      </c>
      <c r="B43" s="726" t="s">
        <v>1435</v>
      </c>
      <c r="F43" s="712" t="s">
        <v>1404</v>
      </c>
      <c r="H43" s="720"/>
      <c r="J43" s="720"/>
      <c r="K43" s="709"/>
      <c r="L43" s="720"/>
      <c r="M43" s="709"/>
      <c r="N43" s="720"/>
      <c r="O43" s="709"/>
      <c r="R43" s="710" t="s">
        <v>1405</v>
      </c>
      <c r="T43" s="709">
        <v>0</v>
      </c>
      <c r="U43" s="709"/>
      <c r="V43" s="709">
        <f>N43</f>
        <v>0</v>
      </c>
      <c r="W43" s="709"/>
      <c r="X43" s="709">
        <v>0</v>
      </c>
      <c r="Y43" s="709"/>
      <c r="Z43" s="709">
        <f>SUM(T43:X43)</f>
        <v>0</v>
      </c>
      <c r="AA43" s="709"/>
      <c r="AB43" s="609" t="s">
        <v>1406</v>
      </c>
      <c r="AC43" s="709"/>
      <c r="AD43" s="709">
        <v>0</v>
      </c>
      <c r="AE43" s="709"/>
      <c r="AF43" s="720"/>
      <c r="AG43" s="709"/>
      <c r="AH43" s="709">
        <v>0</v>
      </c>
      <c r="AI43" s="709"/>
      <c r="AJ43" s="609" t="s">
        <v>1407</v>
      </c>
      <c r="AK43" s="709"/>
      <c r="AL43" s="607">
        <f>+T43-AD43</f>
        <v>0</v>
      </c>
      <c r="AM43" s="709"/>
      <c r="AN43" s="607">
        <f>+V43-AF43</f>
        <v>0</v>
      </c>
      <c r="AO43" s="709"/>
      <c r="AP43" s="607">
        <f>+X43-AH43</f>
        <v>0</v>
      </c>
      <c r="AQ43" s="709"/>
      <c r="AR43" s="709">
        <f t="shared" ref="AR43:AR99" si="64">SUM(AL43:AP43)</f>
        <v>0</v>
      </c>
      <c r="AT43" s="709">
        <v>0</v>
      </c>
      <c r="AU43" s="709"/>
      <c r="AV43" s="720"/>
      <c r="AW43" s="709"/>
      <c r="AX43" s="709">
        <v>0</v>
      </c>
      <c r="AY43" s="709"/>
      <c r="AZ43" s="607">
        <f>+AL43-AT43</f>
        <v>0</v>
      </c>
      <c r="BA43" s="709"/>
      <c r="BB43" s="607">
        <f>+AN43-AV43</f>
        <v>0</v>
      </c>
      <c r="BC43" s="709"/>
      <c r="BD43" s="607">
        <f>+AP43-AX43</f>
        <v>0</v>
      </c>
      <c r="BE43" s="709"/>
      <c r="BF43" s="709">
        <f t="shared" ref="BF43:BF99" si="65">SUM(AZ43:BD43)</f>
        <v>0</v>
      </c>
      <c r="BG43" s="709"/>
      <c r="BH43" s="709">
        <f t="shared" ref="BH43:BH99" si="66">+BF43*$BH$9</f>
        <v>0</v>
      </c>
      <c r="BJ43" s="592">
        <f t="shared" si="62"/>
        <v>401</v>
      </c>
    </row>
    <row r="44" spans="1:62">
      <c r="A44" s="592">
        <f t="shared" si="63"/>
        <v>402</v>
      </c>
      <c r="B44" s="726" t="s">
        <v>1436</v>
      </c>
      <c r="F44" s="712" t="s">
        <v>1404</v>
      </c>
      <c r="H44" s="720"/>
      <c r="J44" s="720"/>
      <c r="K44" s="709"/>
      <c r="L44" s="720"/>
      <c r="M44" s="709"/>
      <c r="N44" s="720"/>
      <c r="O44" s="709"/>
      <c r="R44" s="710" t="s">
        <v>1405</v>
      </c>
      <c r="T44" s="709">
        <v>0</v>
      </c>
      <c r="U44" s="709"/>
      <c r="V44" s="709">
        <f t="shared" ref="V44:V99" si="67">N44</f>
        <v>0</v>
      </c>
      <c r="W44" s="709"/>
      <c r="X44" s="709">
        <v>0</v>
      </c>
      <c r="Y44" s="709"/>
      <c r="Z44" s="709">
        <f t="shared" ref="Z44:Z104" si="68">SUM(T44:X44)</f>
        <v>0</v>
      </c>
      <c r="AA44" s="709"/>
      <c r="AB44" s="609" t="s">
        <v>1406</v>
      </c>
      <c r="AC44" s="709"/>
      <c r="AD44" s="709">
        <v>0</v>
      </c>
      <c r="AE44" s="709"/>
      <c r="AF44" s="720"/>
      <c r="AG44" s="709"/>
      <c r="AH44" s="709">
        <v>0</v>
      </c>
      <c r="AI44" s="709"/>
      <c r="AJ44" s="609" t="s">
        <v>1407</v>
      </c>
      <c r="AK44" s="709"/>
      <c r="AL44" s="607">
        <f t="shared" ref="AL44:AP99" si="69">+T44-AD44</f>
        <v>0</v>
      </c>
      <c r="AM44" s="709"/>
      <c r="AN44" s="607">
        <f t="shared" si="69"/>
        <v>0</v>
      </c>
      <c r="AO44" s="709"/>
      <c r="AP44" s="607">
        <f t="shared" si="69"/>
        <v>0</v>
      </c>
      <c r="AQ44" s="709"/>
      <c r="AR44" s="709">
        <f t="shared" si="64"/>
        <v>0</v>
      </c>
      <c r="AT44" s="709">
        <v>0</v>
      </c>
      <c r="AU44" s="709"/>
      <c r="AV44" s="720"/>
      <c r="AW44" s="709"/>
      <c r="AX44" s="709">
        <v>0</v>
      </c>
      <c r="AY44" s="709"/>
      <c r="AZ44" s="607">
        <f t="shared" ref="AZ44:AZ99" si="70">+AL44-AT44</f>
        <v>0</v>
      </c>
      <c r="BA44" s="709"/>
      <c r="BB44" s="607">
        <f t="shared" ref="BB44:BB99" si="71">+AN44-AV44</f>
        <v>0</v>
      </c>
      <c r="BC44" s="709"/>
      <c r="BD44" s="607">
        <f t="shared" ref="BD44:BD99" si="72">+AP44-AX44</f>
        <v>0</v>
      </c>
      <c r="BE44" s="709"/>
      <c r="BF44" s="709">
        <f t="shared" si="65"/>
        <v>0</v>
      </c>
      <c r="BG44" s="709"/>
      <c r="BH44" s="709">
        <f t="shared" si="66"/>
        <v>0</v>
      </c>
      <c r="BJ44" s="592">
        <f t="shared" si="62"/>
        <v>402</v>
      </c>
    </row>
    <row r="45" spans="1:62">
      <c r="A45" s="592">
        <f t="shared" si="63"/>
        <v>403</v>
      </c>
      <c r="B45" s="726" t="s">
        <v>1437</v>
      </c>
      <c r="F45" s="712" t="s">
        <v>1404</v>
      </c>
      <c r="H45" s="720"/>
      <c r="J45" s="720"/>
      <c r="K45" s="709"/>
      <c r="L45" s="720"/>
      <c r="M45" s="709"/>
      <c r="N45" s="720"/>
      <c r="O45" s="709"/>
      <c r="R45" s="710" t="s">
        <v>1405</v>
      </c>
      <c r="T45" s="709">
        <v>0</v>
      </c>
      <c r="U45" s="709"/>
      <c r="V45" s="709">
        <f t="shared" si="67"/>
        <v>0</v>
      </c>
      <c r="W45" s="709"/>
      <c r="X45" s="709">
        <v>0</v>
      </c>
      <c r="Y45" s="709"/>
      <c r="Z45" s="709">
        <f t="shared" si="68"/>
        <v>0</v>
      </c>
      <c r="AA45" s="709"/>
      <c r="AB45" s="609" t="s">
        <v>1406</v>
      </c>
      <c r="AC45" s="709"/>
      <c r="AD45" s="709">
        <v>0</v>
      </c>
      <c r="AE45" s="709"/>
      <c r="AF45" s="720"/>
      <c r="AG45" s="709"/>
      <c r="AH45" s="709">
        <v>0</v>
      </c>
      <c r="AI45" s="709"/>
      <c r="AJ45" s="609" t="s">
        <v>1407</v>
      </c>
      <c r="AK45" s="709"/>
      <c r="AL45" s="607">
        <f t="shared" si="69"/>
        <v>0</v>
      </c>
      <c r="AM45" s="709"/>
      <c r="AN45" s="607">
        <f t="shared" si="69"/>
        <v>0</v>
      </c>
      <c r="AO45" s="709"/>
      <c r="AP45" s="607">
        <f t="shared" si="69"/>
        <v>0</v>
      </c>
      <c r="AQ45" s="709"/>
      <c r="AR45" s="709">
        <f t="shared" si="64"/>
        <v>0</v>
      </c>
      <c r="AT45" s="709">
        <v>0</v>
      </c>
      <c r="AU45" s="709"/>
      <c r="AV45" s="720"/>
      <c r="AW45" s="709"/>
      <c r="AX45" s="709">
        <v>0</v>
      </c>
      <c r="AY45" s="709"/>
      <c r="AZ45" s="607">
        <f t="shared" si="70"/>
        <v>0</v>
      </c>
      <c r="BA45" s="709"/>
      <c r="BB45" s="607">
        <f t="shared" si="71"/>
        <v>0</v>
      </c>
      <c r="BC45" s="709"/>
      <c r="BD45" s="607">
        <f t="shared" si="72"/>
        <v>0</v>
      </c>
      <c r="BE45" s="709"/>
      <c r="BF45" s="709">
        <f t="shared" si="65"/>
        <v>0</v>
      </c>
      <c r="BG45" s="709"/>
      <c r="BH45" s="709">
        <f t="shared" si="66"/>
        <v>0</v>
      </c>
      <c r="BJ45" s="592">
        <f t="shared" si="62"/>
        <v>403</v>
      </c>
    </row>
    <row r="46" spans="1:62">
      <c r="A46" s="592">
        <f t="shared" si="63"/>
        <v>404</v>
      </c>
      <c r="B46" s="726" t="s">
        <v>1438</v>
      </c>
      <c r="F46" s="712" t="s">
        <v>1404</v>
      </c>
      <c r="H46" s="720"/>
      <c r="J46" s="720"/>
      <c r="K46" s="709"/>
      <c r="L46" s="720"/>
      <c r="M46" s="709"/>
      <c r="N46" s="720"/>
      <c r="O46" s="709"/>
      <c r="R46" s="710" t="s">
        <v>1405</v>
      </c>
      <c r="T46" s="709">
        <v>0</v>
      </c>
      <c r="U46" s="709"/>
      <c r="V46" s="709">
        <f t="shared" si="67"/>
        <v>0</v>
      </c>
      <c r="W46" s="709"/>
      <c r="X46" s="709">
        <v>0</v>
      </c>
      <c r="Y46" s="709"/>
      <c r="Z46" s="709">
        <f t="shared" si="68"/>
        <v>0</v>
      </c>
      <c r="AA46" s="709"/>
      <c r="AB46" s="609" t="s">
        <v>1406</v>
      </c>
      <c r="AC46" s="709"/>
      <c r="AD46" s="709">
        <v>0</v>
      </c>
      <c r="AE46" s="709"/>
      <c r="AF46" s="720"/>
      <c r="AG46" s="709"/>
      <c r="AH46" s="709">
        <v>0</v>
      </c>
      <c r="AI46" s="709"/>
      <c r="AJ46" s="609" t="s">
        <v>1407</v>
      </c>
      <c r="AK46" s="709"/>
      <c r="AL46" s="607">
        <f t="shared" si="69"/>
        <v>0</v>
      </c>
      <c r="AM46" s="709"/>
      <c r="AN46" s="607">
        <f t="shared" si="69"/>
        <v>0</v>
      </c>
      <c r="AO46" s="709"/>
      <c r="AP46" s="607">
        <f t="shared" si="69"/>
        <v>0</v>
      </c>
      <c r="AQ46" s="709"/>
      <c r="AR46" s="709">
        <f t="shared" si="64"/>
        <v>0</v>
      </c>
      <c r="AT46" s="709">
        <v>0</v>
      </c>
      <c r="AU46" s="709"/>
      <c r="AV46" s="720"/>
      <c r="AW46" s="709"/>
      <c r="AX46" s="709">
        <v>0</v>
      </c>
      <c r="AY46" s="709"/>
      <c r="AZ46" s="607">
        <f t="shared" si="70"/>
        <v>0</v>
      </c>
      <c r="BA46" s="709"/>
      <c r="BB46" s="607">
        <f t="shared" si="71"/>
        <v>0</v>
      </c>
      <c r="BC46" s="709"/>
      <c r="BD46" s="607">
        <f t="shared" si="72"/>
        <v>0</v>
      </c>
      <c r="BE46" s="709"/>
      <c r="BF46" s="709">
        <f t="shared" si="65"/>
        <v>0</v>
      </c>
      <c r="BG46" s="709"/>
      <c r="BH46" s="709">
        <f t="shared" si="66"/>
        <v>0</v>
      </c>
      <c r="BJ46" s="592">
        <f t="shared" si="62"/>
        <v>404</v>
      </c>
    </row>
    <row r="47" spans="1:62">
      <c r="A47" s="592">
        <f t="shared" si="63"/>
        <v>405</v>
      </c>
      <c r="B47" s="726" t="s">
        <v>1439</v>
      </c>
      <c r="F47" s="712" t="s">
        <v>1404</v>
      </c>
      <c r="H47" s="720"/>
      <c r="J47" s="720"/>
      <c r="K47" s="709"/>
      <c r="L47" s="720"/>
      <c r="M47" s="709"/>
      <c r="N47" s="720"/>
      <c r="O47" s="709"/>
      <c r="R47" s="710" t="s">
        <v>1405</v>
      </c>
      <c r="T47" s="709">
        <v>0</v>
      </c>
      <c r="U47" s="709"/>
      <c r="V47" s="709">
        <f t="shared" si="67"/>
        <v>0</v>
      </c>
      <c r="W47" s="709"/>
      <c r="X47" s="709">
        <v>0</v>
      </c>
      <c r="Y47" s="709"/>
      <c r="Z47" s="709">
        <f t="shared" si="68"/>
        <v>0</v>
      </c>
      <c r="AA47" s="709"/>
      <c r="AB47" s="609" t="s">
        <v>1406</v>
      </c>
      <c r="AC47" s="709"/>
      <c r="AD47" s="709">
        <v>0</v>
      </c>
      <c r="AE47" s="709"/>
      <c r="AF47" s="720"/>
      <c r="AG47" s="709"/>
      <c r="AH47" s="709">
        <v>0</v>
      </c>
      <c r="AI47" s="709"/>
      <c r="AJ47" s="609" t="s">
        <v>1407</v>
      </c>
      <c r="AK47" s="709"/>
      <c r="AL47" s="607">
        <f t="shared" si="69"/>
        <v>0</v>
      </c>
      <c r="AM47" s="709"/>
      <c r="AN47" s="607">
        <f t="shared" si="69"/>
        <v>0</v>
      </c>
      <c r="AO47" s="709"/>
      <c r="AP47" s="607">
        <f t="shared" si="69"/>
        <v>0</v>
      </c>
      <c r="AQ47" s="709"/>
      <c r="AR47" s="709">
        <f t="shared" si="64"/>
        <v>0</v>
      </c>
      <c r="AT47" s="709">
        <v>0</v>
      </c>
      <c r="AU47" s="709"/>
      <c r="AV47" s="720"/>
      <c r="AW47" s="709"/>
      <c r="AX47" s="709">
        <v>0</v>
      </c>
      <c r="AY47" s="709"/>
      <c r="AZ47" s="607">
        <f t="shared" si="70"/>
        <v>0</v>
      </c>
      <c r="BA47" s="709"/>
      <c r="BB47" s="607">
        <f t="shared" si="71"/>
        <v>0</v>
      </c>
      <c r="BC47" s="709"/>
      <c r="BD47" s="607">
        <f t="shared" si="72"/>
        <v>0</v>
      </c>
      <c r="BE47" s="709"/>
      <c r="BF47" s="709">
        <f t="shared" si="65"/>
        <v>0</v>
      </c>
      <c r="BG47" s="709"/>
      <c r="BH47" s="709">
        <f t="shared" si="66"/>
        <v>0</v>
      </c>
      <c r="BJ47" s="592">
        <f t="shared" si="62"/>
        <v>405</v>
      </c>
    </row>
    <row r="48" spans="1:62">
      <c r="A48" s="592">
        <f t="shared" si="63"/>
        <v>406</v>
      </c>
      <c r="B48" s="726" t="s">
        <v>1440</v>
      </c>
      <c r="F48" s="712" t="s">
        <v>1404</v>
      </c>
      <c r="H48" s="720"/>
      <c r="J48" s="720"/>
      <c r="K48" s="709"/>
      <c r="L48" s="720"/>
      <c r="M48" s="709"/>
      <c r="N48" s="720"/>
      <c r="O48" s="709"/>
      <c r="R48" s="710" t="s">
        <v>1405</v>
      </c>
      <c r="T48" s="709">
        <v>0</v>
      </c>
      <c r="U48" s="709"/>
      <c r="V48" s="709">
        <f t="shared" si="67"/>
        <v>0</v>
      </c>
      <c r="W48" s="709"/>
      <c r="X48" s="709">
        <v>0</v>
      </c>
      <c r="Y48" s="709"/>
      <c r="Z48" s="709">
        <f t="shared" si="68"/>
        <v>0</v>
      </c>
      <c r="AA48" s="709"/>
      <c r="AB48" s="609" t="s">
        <v>1406</v>
      </c>
      <c r="AC48" s="709"/>
      <c r="AD48" s="709">
        <v>0</v>
      </c>
      <c r="AE48" s="709"/>
      <c r="AF48" s="720"/>
      <c r="AG48" s="709"/>
      <c r="AH48" s="709">
        <v>0</v>
      </c>
      <c r="AI48" s="709"/>
      <c r="AJ48" s="609" t="s">
        <v>1407</v>
      </c>
      <c r="AK48" s="709"/>
      <c r="AL48" s="607">
        <f t="shared" si="69"/>
        <v>0</v>
      </c>
      <c r="AM48" s="709"/>
      <c r="AN48" s="607">
        <f t="shared" si="69"/>
        <v>0</v>
      </c>
      <c r="AO48" s="709"/>
      <c r="AP48" s="607">
        <f t="shared" si="69"/>
        <v>0</v>
      </c>
      <c r="AQ48" s="709"/>
      <c r="AR48" s="709">
        <f t="shared" si="64"/>
        <v>0</v>
      </c>
      <c r="AT48" s="709">
        <v>0</v>
      </c>
      <c r="AU48" s="709"/>
      <c r="AV48" s="720"/>
      <c r="AW48" s="709"/>
      <c r="AX48" s="709">
        <v>0</v>
      </c>
      <c r="AY48" s="709"/>
      <c r="AZ48" s="607">
        <f t="shared" si="70"/>
        <v>0</v>
      </c>
      <c r="BA48" s="709"/>
      <c r="BB48" s="607">
        <f t="shared" si="71"/>
        <v>0</v>
      </c>
      <c r="BC48" s="709"/>
      <c r="BD48" s="607">
        <f t="shared" si="72"/>
        <v>0</v>
      </c>
      <c r="BE48" s="709"/>
      <c r="BF48" s="709">
        <f t="shared" si="65"/>
        <v>0</v>
      </c>
      <c r="BG48" s="709"/>
      <c r="BH48" s="709">
        <f t="shared" si="66"/>
        <v>0</v>
      </c>
      <c r="BJ48" s="592">
        <f t="shared" si="62"/>
        <v>406</v>
      </c>
    </row>
    <row r="49" spans="1:62">
      <c r="A49" s="592">
        <f t="shared" si="63"/>
        <v>407</v>
      </c>
      <c r="B49" s="726" t="s">
        <v>1441</v>
      </c>
      <c r="F49" s="712" t="s">
        <v>1404</v>
      </c>
      <c r="H49" s="720"/>
      <c r="J49" s="720"/>
      <c r="K49" s="709"/>
      <c r="L49" s="720"/>
      <c r="M49" s="709"/>
      <c r="N49" s="720"/>
      <c r="O49" s="709"/>
      <c r="R49" s="710" t="s">
        <v>1405</v>
      </c>
      <c r="T49" s="709">
        <v>0</v>
      </c>
      <c r="U49" s="709"/>
      <c r="V49" s="709">
        <f t="shared" si="67"/>
        <v>0</v>
      </c>
      <c r="W49" s="709"/>
      <c r="X49" s="709">
        <v>0</v>
      </c>
      <c r="Y49" s="709"/>
      <c r="Z49" s="709">
        <f t="shared" si="68"/>
        <v>0</v>
      </c>
      <c r="AA49" s="709"/>
      <c r="AB49" s="609" t="s">
        <v>1406</v>
      </c>
      <c r="AC49" s="709"/>
      <c r="AD49" s="709">
        <v>0</v>
      </c>
      <c r="AE49" s="709"/>
      <c r="AF49" s="720"/>
      <c r="AG49" s="709"/>
      <c r="AH49" s="709">
        <v>0</v>
      </c>
      <c r="AI49" s="709"/>
      <c r="AJ49" s="609" t="s">
        <v>1407</v>
      </c>
      <c r="AK49" s="709"/>
      <c r="AL49" s="607">
        <f t="shared" si="69"/>
        <v>0</v>
      </c>
      <c r="AM49" s="709"/>
      <c r="AN49" s="607">
        <f t="shared" si="69"/>
        <v>0</v>
      </c>
      <c r="AO49" s="709"/>
      <c r="AP49" s="607">
        <f t="shared" si="69"/>
        <v>0</v>
      </c>
      <c r="AQ49" s="709"/>
      <c r="AR49" s="709">
        <f t="shared" si="64"/>
        <v>0</v>
      </c>
      <c r="AT49" s="709">
        <v>0</v>
      </c>
      <c r="AU49" s="709"/>
      <c r="AV49" s="720"/>
      <c r="AW49" s="709"/>
      <c r="AX49" s="709">
        <v>0</v>
      </c>
      <c r="AY49" s="709"/>
      <c r="AZ49" s="607">
        <f t="shared" si="70"/>
        <v>0</v>
      </c>
      <c r="BA49" s="709"/>
      <c r="BB49" s="607">
        <f t="shared" si="71"/>
        <v>0</v>
      </c>
      <c r="BC49" s="709"/>
      <c r="BD49" s="607">
        <f t="shared" si="72"/>
        <v>0</v>
      </c>
      <c r="BE49" s="709"/>
      <c r="BF49" s="709">
        <f t="shared" si="65"/>
        <v>0</v>
      </c>
      <c r="BG49" s="709"/>
      <c r="BH49" s="709">
        <f t="shared" si="66"/>
        <v>0</v>
      </c>
      <c r="BJ49" s="592">
        <f t="shared" si="62"/>
        <v>407</v>
      </c>
    </row>
    <row r="50" spans="1:62">
      <c r="A50" s="592">
        <f t="shared" si="63"/>
        <v>408</v>
      </c>
      <c r="B50" s="726" t="s">
        <v>1442</v>
      </c>
      <c r="F50" s="712" t="s">
        <v>1404</v>
      </c>
      <c r="H50" s="720"/>
      <c r="J50" s="720"/>
      <c r="K50" s="709"/>
      <c r="L50" s="720"/>
      <c r="M50" s="709"/>
      <c r="N50" s="720"/>
      <c r="O50" s="709"/>
      <c r="R50" s="710" t="s">
        <v>1405</v>
      </c>
      <c r="T50" s="709">
        <v>0</v>
      </c>
      <c r="U50" s="709"/>
      <c r="V50" s="709">
        <f t="shared" si="67"/>
        <v>0</v>
      </c>
      <c r="W50" s="709"/>
      <c r="X50" s="709">
        <v>0</v>
      </c>
      <c r="Y50" s="709"/>
      <c r="Z50" s="709">
        <f t="shared" si="68"/>
        <v>0</v>
      </c>
      <c r="AA50" s="709"/>
      <c r="AB50" s="609" t="s">
        <v>1406</v>
      </c>
      <c r="AC50" s="709"/>
      <c r="AD50" s="709">
        <v>0</v>
      </c>
      <c r="AE50" s="709"/>
      <c r="AF50" s="720"/>
      <c r="AG50" s="709"/>
      <c r="AH50" s="709">
        <v>0</v>
      </c>
      <c r="AI50" s="709"/>
      <c r="AJ50" s="609" t="s">
        <v>1407</v>
      </c>
      <c r="AK50" s="709"/>
      <c r="AL50" s="607">
        <f t="shared" si="69"/>
        <v>0</v>
      </c>
      <c r="AM50" s="709"/>
      <c r="AN50" s="607">
        <f t="shared" si="69"/>
        <v>0</v>
      </c>
      <c r="AO50" s="709"/>
      <c r="AP50" s="607">
        <f t="shared" si="69"/>
        <v>0</v>
      </c>
      <c r="AQ50" s="709"/>
      <c r="AR50" s="709">
        <f t="shared" si="64"/>
        <v>0</v>
      </c>
      <c r="AT50" s="709">
        <v>0</v>
      </c>
      <c r="AU50" s="709"/>
      <c r="AV50" s="720"/>
      <c r="AW50" s="709"/>
      <c r="AX50" s="709">
        <v>0</v>
      </c>
      <c r="AY50" s="709"/>
      <c r="AZ50" s="607">
        <f t="shared" si="70"/>
        <v>0</v>
      </c>
      <c r="BA50" s="709"/>
      <c r="BB50" s="607">
        <f t="shared" si="71"/>
        <v>0</v>
      </c>
      <c r="BC50" s="709"/>
      <c r="BD50" s="607">
        <f t="shared" si="72"/>
        <v>0</v>
      </c>
      <c r="BE50" s="709"/>
      <c r="BF50" s="709">
        <f t="shared" si="65"/>
        <v>0</v>
      </c>
      <c r="BG50" s="709"/>
      <c r="BH50" s="709">
        <f t="shared" si="66"/>
        <v>0</v>
      </c>
      <c r="BJ50" s="592">
        <f t="shared" si="62"/>
        <v>408</v>
      </c>
    </row>
    <row r="51" spans="1:62">
      <c r="A51" s="592">
        <f t="shared" si="63"/>
        <v>409</v>
      </c>
      <c r="B51" s="726" t="s">
        <v>1443</v>
      </c>
      <c r="F51" s="712" t="s">
        <v>1404</v>
      </c>
      <c r="H51" s="720"/>
      <c r="J51" s="720"/>
      <c r="K51" s="709"/>
      <c r="L51" s="720"/>
      <c r="M51" s="709"/>
      <c r="N51" s="720"/>
      <c r="O51" s="709"/>
      <c r="R51" s="710" t="s">
        <v>1405</v>
      </c>
      <c r="T51" s="709">
        <v>0</v>
      </c>
      <c r="U51" s="709"/>
      <c r="V51" s="709">
        <f t="shared" si="67"/>
        <v>0</v>
      </c>
      <c r="W51" s="709"/>
      <c r="X51" s="709">
        <v>0</v>
      </c>
      <c r="Y51" s="709"/>
      <c r="Z51" s="709">
        <f t="shared" si="68"/>
        <v>0</v>
      </c>
      <c r="AA51" s="709"/>
      <c r="AB51" s="609" t="s">
        <v>1406</v>
      </c>
      <c r="AC51" s="709"/>
      <c r="AD51" s="709">
        <v>0</v>
      </c>
      <c r="AE51" s="709"/>
      <c r="AF51" s="720"/>
      <c r="AG51" s="709"/>
      <c r="AH51" s="709">
        <v>0</v>
      </c>
      <c r="AI51" s="709"/>
      <c r="AJ51" s="609" t="s">
        <v>1407</v>
      </c>
      <c r="AK51" s="709"/>
      <c r="AL51" s="607">
        <f t="shared" si="69"/>
        <v>0</v>
      </c>
      <c r="AM51" s="709"/>
      <c r="AN51" s="607">
        <f t="shared" si="69"/>
        <v>0</v>
      </c>
      <c r="AO51" s="709"/>
      <c r="AP51" s="607">
        <f t="shared" si="69"/>
        <v>0</v>
      </c>
      <c r="AQ51" s="709"/>
      <c r="AR51" s="709">
        <f t="shared" si="64"/>
        <v>0</v>
      </c>
      <c r="AT51" s="709">
        <v>0</v>
      </c>
      <c r="AU51" s="709"/>
      <c r="AV51" s="720"/>
      <c r="AW51" s="709"/>
      <c r="AX51" s="709">
        <v>0</v>
      </c>
      <c r="AY51" s="709"/>
      <c r="AZ51" s="607">
        <f t="shared" si="70"/>
        <v>0</v>
      </c>
      <c r="BA51" s="709"/>
      <c r="BB51" s="607">
        <f t="shared" si="71"/>
        <v>0</v>
      </c>
      <c r="BC51" s="709"/>
      <c r="BD51" s="607">
        <f t="shared" si="72"/>
        <v>0</v>
      </c>
      <c r="BE51" s="709"/>
      <c r="BF51" s="709">
        <f t="shared" si="65"/>
        <v>0</v>
      </c>
      <c r="BG51" s="709"/>
      <c r="BH51" s="709">
        <f t="shared" si="66"/>
        <v>0</v>
      </c>
      <c r="BJ51" s="592">
        <f t="shared" si="62"/>
        <v>409</v>
      </c>
    </row>
    <row r="52" spans="1:62">
      <c r="A52" s="592">
        <f t="shared" si="63"/>
        <v>410</v>
      </c>
      <c r="B52" s="726" t="s">
        <v>1444</v>
      </c>
      <c r="F52" s="712" t="s">
        <v>1404</v>
      </c>
      <c r="H52" s="720"/>
      <c r="J52" s="720"/>
      <c r="K52" s="709"/>
      <c r="L52" s="720"/>
      <c r="M52" s="709"/>
      <c r="N52" s="720"/>
      <c r="O52" s="709"/>
      <c r="R52" s="710" t="s">
        <v>1405</v>
      </c>
      <c r="T52" s="709">
        <v>0</v>
      </c>
      <c r="U52" s="709"/>
      <c r="V52" s="709">
        <f t="shared" si="67"/>
        <v>0</v>
      </c>
      <c r="W52" s="709"/>
      <c r="X52" s="709">
        <v>0</v>
      </c>
      <c r="Y52" s="709"/>
      <c r="Z52" s="709">
        <f t="shared" si="68"/>
        <v>0</v>
      </c>
      <c r="AA52" s="709"/>
      <c r="AB52" s="609" t="s">
        <v>1406</v>
      </c>
      <c r="AC52" s="709"/>
      <c r="AD52" s="709">
        <v>0</v>
      </c>
      <c r="AE52" s="709"/>
      <c r="AF52" s="720"/>
      <c r="AG52" s="709"/>
      <c r="AH52" s="709">
        <v>0</v>
      </c>
      <c r="AI52" s="709"/>
      <c r="AJ52" s="609" t="s">
        <v>1407</v>
      </c>
      <c r="AK52" s="709"/>
      <c r="AL52" s="607">
        <f t="shared" si="69"/>
        <v>0</v>
      </c>
      <c r="AM52" s="709"/>
      <c r="AN52" s="607">
        <f t="shared" si="69"/>
        <v>0</v>
      </c>
      <c r="AO52" s="709"/>
      <c r="AP52" s="607">
        <f t="shared" si="69"/>
        <v>0</v>
      </c>
      <c r="AQ52" s="709"/>
      <c r="AR52" s="709">
        <f t="shared" si="64"/>
        <v>0</v>
      </c>
      <c r="AT52" s="709">
        <v>0</v>
      </c>
      <c r="AU52" s="709"/>
      <c r="AV52" s="720"/>
      <c r="AW52" s="709"/>
      <c r="AX52" s="709">
        <v>0</v>
      </c>
      <c r="AY52" s="709"/>
      <c r="AZ52" s="607">
        <f t="shared" si="70"/>
        <v>0</v>
      </c>
      <c r="BA52" s="709"/>
      <c r="BB52" s="607">
        <f t="shared" si="71"/>
        <v>0</v>
      </c>
      <c r="BC52" s="709"/>
      <c r="BD52" s="607">
        <f t="shared" si="72"/>
        <v>0</v>
      </c>
      <c r="BE52" s="709"/>
      <c r="BF52" s="709">
        <f t="shared" si="65"/>
        <v>0</v>
      </c>
      <c r="BG52" s="709"/>
      <c r="BH52" s="709">
        <f t="shared" si="66"/>
        <v>0</v>
      </c>
      <c r="BJ52" s="592">
        <f t="shared" si="62"/>
        <v>410</v>
      </c>
    </row>
    <row r="53" spans="1:62">
      <c r="A53" s="592">
        <f t="shared" si="63"/>
        <v>411</v>
      </c>
      <c r="B53" s="726" t="s">
        <v>1445</v>
      </c>
      <c r="F53" s="712" t="s">
        <v>1404</v>
      </c>
      <c r="H53" s="720"/>
      <c r="J53" s="720"/>
      <c r="K53" s="709"/>
      <c r="L53" s="720"/>
      <c r="M53" s="709"/>
      <c r="N53" s="720"/>
      <c r="O53" s="709"/>
      <c r="R53" s="710" t="s">
        <v>1405</v>
      </c>
      <c r="T53" s="709">
        <v>0</v>
      </c>
      <c r="U53" s="709"/>
      <c r="V53" s="709">
        <f t="shared" si="67"/>
        <v>0</v>
      </c>
      <c r="W53" s="709"/>
      <c r="X53" s="709">
        <v>0</v>
      </c>
      <c r="Y53" s="709"/>
      <c r="Z53" s="709">
        <f t="shared" si="68"/>
        <v>0</v>
      </c>
      <c r="AA53" s="709"/>
      <c r="AB53" s="609" t="s">
        <v>1406</v>
      </c>
      <c r="AC53" s="709"/>
      <c r="AD53" s="709">
        <v>0</v>
      </c>
      <c r="AE53" s="709"/>
      <c r="AF53" s="720"/>
      <c r="AG53" s="709"/>
      <c r="AH53" s="709">
        <v>0</v>
      </c>
      <c r="AI53" s="709"/>
      <c r="AJ53" s="609" t="s">
        <v>1407</v>
      </c>
      <c r="AK53" s="709"/>
      <c r="AL53" s="607">
        <f t="shared" si="69"/>
        <v>0</v>
      </c>
      <c r="AM53" s="709"/>
      <c r="AN53" s="607">
        <f t="shared" si="69"/>
        <v>0</v>
      </c>
      <c r="AO53" s="709"/>
      <c r="AP53" s="607">
        <f t="shared" si="69"/>
        <v>0</v>
      </c>
      <c r="AQ53" s="709"/>
      <c r="AR53" s="709">
        <f t="shared" si="64"/>
        <v>0</v>
      </c>
      <c r="AT53" s="709">
        <v>0</v>
      </c>
      <c r="AU53" s="709"/>
      <c r="AV53" s="720"/>
      <c r="AW53" s="709"/>
      <c r="AX53" s="709">
        <v>0</v>
      </c>
      <c r="AY53" s="709"/>
      <c r="AZ53" s="607">
        <f t="shared" si="70"/>
        <v>0</v>
      </c>
      <c r="BA53" s="709"/>
      <c r="BB53" s="607">
        <f t="shared" si="71"/>
        <v>0</v>
      </c>
      <c r="BC53" s="709"/>
      <c r="BD53" s="607">
        <f t="shared" si="72"/>
        <v>0</v>
      </c>
      <c r="BE53" s="709"/>
      <c r="BF53" s="709">
        <f t="shared" si="65"/>
        <v>0</v>
      </c>
      <c r="BG53" s="709"/>
      <c r="BH53" s="709">
        <f t="shared" si="66"/>
        <v>0</v>
      </c>
      <c r="BJ53" s="592">
        <f t="shared" si="62"/>
        <v>411</v>
      </c>
    </row>
    <row r="54" spans="1:62">
      <c r="A54" s="592">
        <f t="shared" si="63"/>
        <v>412</v>
      </c>
      <c r="B54" s="726" t="s">
        <v>1446</v>
      </c>
      <c r="F54" s="712" t="s">
        <v>1404</v>
      </c>
      <c r="H54" s="720"/>
      <c r="J54" s="720"/>
      <c r="K54" s="709"/>
      <c r="L54" s="720"/>
      <c r="M54" s="709"/>
      <c r="N54" s="720"/>
      <c r="O54" s="709"/>
      <c r="R54" s="710" t="s">
        <v>1405</v>
      </c>
      <c r="T54" s="709">
        <v>0</v>
      </c>
      <c r="U54" s="709"/>
      <c r="V54" s="709">
        <f t="shared" si="67"/>
        <v>0</v>
      </c>
      <c r="W54" s="709"/>
      <c r="X54" s="709">
        <v>0</v>
      </c>
      <c r="Y54" s="709"/>
      <c r="Z54" s="709">
        <f t="shared" si="68"/>
        <v>0</v>
      </c>
      <c r="AA54" s="709"/>
      <c r="AB54" s="609" t="s">
        <v>1406</v>
      </c>
      <c r="AC54" s="709"/>
      <c r="AD54" s="709">
        <v>0</v>
      </c>
      <c r="AE54" s="709"/>
      <c r="AF54" s="720"/>
      <c r="AG54" s="709"/>
      <c r="AH54" s="709">
        <v>0</v>
      </c>
      <c r="AI54" s="709"/>
      <c r="AJ54" s="609" t="s">
        <v>1407</v>
      </c>
      <c r="AK54" s="709"/>
      <c r="AL54" s="607">
        <f t="shared" si="69"/>
        <v>0</v>
      </c>
      <c r="AM54" s="709"/>
      <c r="AN54" s="607">
        <f t="shared" si="69"/>
        <v>0</v>
      </c>
      <c r="AO54" s="709"/>
      <c r="AP54" s="607">
        <f t="shared" si="69"/>
        <v>0</v>
      </c>
      <c r="AQ54" s="709"/>
      <c r="AR54" s="709">
        <f t="shared" si="64"/>
        <v>0</v>
      </c>
      <c r="AT54" s="709">
        <v>0</v>
      </c>
      <c r="AU54" s="709"/>
      <c r="AV54" s="720"/>
      <c r="AW54" s="709"/>
      <c r="AX54" s="709">
        <v>0</v>
      </c>
      <c r="AY54" s="709"/>
      <c r="AZ54" s="607">
        <f t="shared" si="70"/>
        <v>0</v>
      </c>
      <c r="BA54" s="709"/>
      <c r="BB54" s="607">
        <f t="shared" si="71"/>
        <v>0</v>
      </c>
      <c r="BC54" s="709"/>
      <c r="BD54" s="607">
        <f t="shared" si="72"/>
        <v>0</v>
      </c>
      <c r="BE54" s="709"/>
      <c r="BF54" s="709">
        <f t="shared" si="65"/>
        <v>0</v>
      </c>
      <c r="BG54" s="709"/>
      <c r="BH54" s="709">
        <f t="shared" si="66"/>
        <v>0</v>
      </c>
      <c r="BJ54" s="592">
        <f t="shared" si="62"/>
        <v>412</v>
      </c>
    </row>
    <row r="55" spans="1:62">
      <c r="A55" s="592">
        <f t="shared" si="63"/>
        <v>413</v>
      </c>
      <c r="B55" s="726" t="s">
        <v>1447</v>
      </c>
      <c r="F55" s="712" t="s">
        <v>1404</v>
      </c>
      <c r="H55" s="720"/>
      <c r="J55" s="720"/>
      <c r="K55" s="709"/>
      <c r="L55" s="720"/>
      <c r="M55" s="709"/>
      <c r="N55" s="720"/>
      <c r="O55" s="709"/>
      <c r="R55" s="710" t="s">
        <v>1405</v>
      </c>
      <c r="T55" s="709">
        <v>0</v>
      </c>
      <c r="U55" s="709"/>
      <c r="V55" s="709">
        <f t="shared" si="67"/>
        <v>0</v>
      </c>
      <c r="W55" s="709"/>
      <c r="X55" s="709">
        <v>0</v>
      </c>
      <c r="Y55" s="709"/>
      <c r="Z55" s="709">
        <f t="shared" si="68"/>
        <v>0</v>
      </c>
      <c r="AA55" s="709"/>
      <c r="AB55" s="609" t="s">
        <v>1406</v>
      </c>
      <c r="AC55" s="709"/>
      <c r="AD55" s="709">
        <v>0</v>
      </c>
      <c r="AE55" s="709"/>
      <c r="AF55" s="720"/>
      <c r="AG55" s="709"/>
      <c r="AH55" s="709">
        <v>0</v>
      </c>
      <c r="AI55" s="709"/>
      <c r="AJ55" s="609" t="s">
        <v>1407</v>
      </c>
      <c r="AK55" s="709"/>
      <c r="AL55" s="607">
        <f t="shared" si="69"/>
        <v>0</v>
      </c>
      <c r="AM55" s="709"/>
      <c r="AN55" s="607">
        <f t="shared" si="69"/>
        <v>0</v>
      </c>
      <c r="AO55" s="709"/>
      <c r="AP55" s="607">
        <f t="shared" si="69"/>
        <v>0</v>
      </c>
      <c r="AQ55" s="709"/>
      <c r="AR55" s="709">
        <f t="shared" si="64"/>
        <v>0</v>
      </c>
      <c r="AT55" s="709">
        <v>0</v>
      </c>
      <c r="AU55" s="709"/>
      <c r="AV55" s="720"/>
      <c r="AW55" s="709"/>
      <c r="AX55" s="709">
        <v>0</v>
      </c>
      <c r="AY55" s="709"/>
      <c r="AZ55" s="607">
        <f t="shared" si="70"/>
        <v>0</v>
      </c>
      <c r="BA55" s="709"/>
      <c r="BB55" s="607">
        <f t="shared" si="71"/>
        <v>0</v>
      </c>
      <c r="BC55" s="709"/>
      <c r="BD55" s="607">
        <f t="shared" si="72"/>
        <v>0</v>
      </c>
      <c r="BE55" s="709"/>
      <c r="BF55" s="709">
        <f t="shared" si="65"/>
        <v>0</v>
      </c>
      <c r="BG55" s="709"/>
      <c r="BH55" s="709">
        <f t="shared" si="66"/>
        <v>0</v>
      </c>
      <c r="BJ55" s="592">
        <f t="shared" si="62"/>
        <v>413</v>
      </c>
    </row>
    <row r="56" spans="1:62">
      <c r="A56" s="592">
        <f t="shared" si="63"/>
        <v>414</v>
      </c>
      <c r="B56" s="726" t="s">
        <v>1448</v>
      </c>
      <c r="F56" s="712" t="s">
        <v>1404</v>
      </c>
      <c r="H56" s="720"/>
      <c r="J56" s="720"/>
      <c r="K56" s="709"/>
      <c r="L56" s="720"/>
      <c r="M56" s="709"/>
      <c r="N56" s="720"/>
      <c r="O56" s="709"/>
      <c r="R56" s="710" t="s">
        <v>1405</v>
      </c>
      <c r="T56" s="709">
        <v>0</v>
      </c>
      <c r="U56" s="709"/>
      <c r="V56" s="709">
        <f t="shared" si="67"/>
        <v>0</v>
      </c>
      <c r="W56" s="709"/>
      <c r="X56" s="709">
        <v>0</v>
      </c>
      <c r="Y56" s="709"/>
      <c r="Z56" s="709">
        <f t="shared" si="68"/>
        <v>0</v>
      </c>
      <c r="AA56" s="709"/>
      <c r="AB56" s="609" t="s">
        <v>1406</v>
      </c>
      <c r="AC56" s="709"/>
      <c r="AD56" s="709">
        <v>0</v>
      </c>
      <c r="AE56" s="709"/>
      <c r="AF56" s="720"/>
      <c r="AG56" s="709"/>
      <c r="AH56" s="709">
        <v>0</v>
      </c>
      <c r="AI56" s="709"/>
      <c r="AJ56" s="609" t="s">
        <v>1407</v>
      </c>
      <c r="AK56" s="709"/>
      <c r="AL56" s="607">
        <f t="shared" si="69"/>
        <v>0</v>
      </c>
      <c r="AM56" s="709"/>
      <c r="AN56" s="607">
        <f t="shared" si="69"/>
        <v>0</v>
      </c>
      <c r="AO56" s="709"/>
      <c r="AP56" s="607">
        <f t="shared" si="69"/>
        <v>0</v>
      </c>
      <c r="AQ56" s="709"/>
      <c r="AR56" s="709">
        <f t="shared" si="64"/>
        <v>0</v>
      </c>
      <c r="AT56" s="709">
        <v>0</v>
      </c>
      <c r="AU56" s="709"/>
      <c r="AV56" s="720"/>
      <c r="AW56" s="709"/>
      <c r="AX56" s="709">
        <v>0</v>
      </c>
      <c r="AY56" s="709"/>
      <c r="AZ56" s="607">
        <f t="shared" si="70"/>
        <v>0</v>
      </c>
      <c r="BA56" s="709"/>
      <c r="BB56" s="607">
        <f t="shared" si="71"/>
        <v>0</v>
      </c>
      <c r="BC56" s="709"/>
      <c r="BD56" s="607">
        <f t="shared" si="72"/>
        <v>0</v>
      </c>
      <c r="BE56" s="709"/>
      <c r="BF56" s="709">
        <f t="shared" si="65"/>
        <v>0</v>
      </c>
      <c r="BG56" s="709"/>
      <c r="BH56" s="709">
        <f t="shared" si="66"/>
        <v>0</v>
      </c>
      <c r="BJ56" s="592">
        <f t="shared" si="62"/>
        <v>414</v>
      </c>
    </row>
    <row r="57" spans="1:62">
      <c r="A57" s="592">
        <f t="shared" si="63"/>
        <v>415</v>
      </c>
      <c r="B57" s="726" t="s">
        <v>1449</v>
      </c>
      <c r="F57" s="712" t="s">
        <v>1404</v>
      </c>
      <c r="H57" s="720"/>
      <c r="J57" s="720"/>
      <c r="K57" s="709"/>
      <c r="L57" s="720"/>
      <c r="M57" s="709"/>
      <c r="N57" s="720"/>
      <c r="O57" s="709"/>
      <c r="R57" s="710" t="s">
        <v>1405</v>
      </c>
      <c r="T57" s="709">
        <v>0</v>
      </c>
      <c r="U57" s="709"/>
      <c r="V57" s="709">
        <f t="shared" si="67"/>
        <v>0</v>
      </c>
      <c r="W57" s="709"/>
      <c r="X57" s="709">
        <v>0</v>
      </c>
      <c r="Y57" s="709"/>
      <c r="Z57" s="709">
        <f t="shared" si="68"/>
        <v>0</v>
      </c>
      <c r="AA57" s="709"/>
      <c r="AB57" s="609" t="s">
        <v>1406</v>
      </c>
      <c r="AC57" s="709"/>
      <c r="AD57" s="709">
        <v>0</v>
      </c>
      <c r="AE57" s="709"/>
      <c r="AF57" s="720"/>
      <c r="AG57" s="709"/>
      <c r="AH57" s="709">
        <v>0</v>
      </c>
      <c r="AI57" s="709"/>
      <c r="AJ57" s="609" t="s">
        <v>1407</v>
      </c>
      <c r="AK57" s="709"/>
      <c r="AL57" s="607">
        <f t="shared" si="69"/>
        <v>0</v>
      </c>
      <c r="AM57" s="709"/>
      <c r="AN57" s="607">
        <f t="shared" si="69"/>
        <v>0</v>
      </c>
      <c r="AO57" s="709"/>
      <c r="AP57" s="607">
        <f t="shared" si="69"/>
        <v>0</v>
      </c>
      <c r="AQ57" s="709"/>
      <c r="AR57" s="709">
        <f t="shared" si="64"/>
        <v>0</v>
      </c>
      <c r="AT57" s="709">
        <v>0</v>
      </c>
      <c r="AU57" s="709"/>
      <c r="AV57" s="720"/>
      <c r="AW57" s="709"/>
      <c r="AX57" s="709">
        <v>0</v>
      </c>
      <c r="AY57" s="709"/>
      <c r="AZ57" s="607">
        <f t="shared" si="70"/>
        <v>0</v>
      </c>
      <c r="BA57" s="709"/>
      <c r="BB57" s="607">
        <f t="shared" si="71"/>
        <v>0</v>
      </c>
      <c r="BC57" s="709"/>
      <c r="BD57" s="607">
        <f t="shared" si="72"/>
        <v>0</v>
      </c>
      <c r="BE57" s="709"/>
      <c r="BF57" s="709">
        <f t="shared" si="65"/>
        <v>0</v>
      </c>
      <c r="BG57" s="709"/>
      <c r="BH57" s="709">
        <f t="shared" si="66"/>
        <v>0</v>
      </c>
      <c r="BJ57" s="592">
        <f t="shared" si="62"/>
        <v>415</v>
      </c>
    </row>
    <row r="58" spans="1:62">
      <c r="A58" s="592">
        <f t="shared" si="63"/>
        <v>416</v>
      </c>
      <c r="B58" s="726" t="s">
        <v>1450</v>
      </c>
      <c r="F58" s="712" t="s">
        <v>1404</v>
      </c>
      <c r="H58" s="720"/>
      <c r="J58" s="720"/>
      <c r="K58" s="709"/>
      <c r="L58" s="720"/>
      <c r="M58" s="709"/>
      <c r="N58" s="720"/>
      <c r="O58" s="709"/>
      <c r="R58" s="710" t="s">
        <v>1405</v>
      </c>
      <c r="T58" s="709">
        <v>0</v>
      </c>
      <c r="U58" s="709"/>
      <c r="V58" s="709">
        <f t="shared" si="67"/>
        <v>0</v>
      </c>
      <c r="W58" s="709"/>
      <c r="X58" s="709">
        <v>0</v>
      </c>
      <c r="Y58" s="709"/>
      <c r="Z58" s="709">
        <f t="shared" si="68"/>
        <v>0</v>
      </c>
      <c r="AA58" s="709"/>
      <c r="AB58" s="609" t="s">
        <v>1406</v>
      </c>
      <c r="AC58" s="709"/>
      <c r="AD58" s="709">
        <v>0</v>
      </c>
      <c r="AE58" s="709"/>
      <c r="AF58" s="720"/>
      <c r="AG58" s="709"/>
      <c r="AH58" s="709">
        <v>0</v>
      </c>
      <c r="AI58" s="709"/>
      <c r="AJ58" s="609" t="s">
        <v>1407</v>
      </c>
      <c r="AK58" s="709"/>
      <c r="AL58" s="607">
        <f t="shared" si="69"/>
        <v>0</v>
      </c>
      <c r="AM58" s="709"/>
      <c r="AN58" s="607">
        <f t="shared" si="69"/>
        <v>0</v>
      </c>
      <c r="AO58" s="709"/>
      <c r="AP58" s="607">
        <f t="shared" si="69"/>
        <v>0</v>
      </c>
      <c r="AQ58" s="709"/>
      <c r="AR58" s="709">
        <f t="shared" si="64"/>
        <v>0</v>
      </c>
      <c r="AT58" s="709">
        <v>0</v>
      </c>
      <c r="AU58" s="709"/>
      <c r="AV58" s="720"/>
      <c r="AW58" s="709"/>
      <c r="AX58" s="709">
        <v>0</v>
      </c>
      <c r="AY58" s="709"/>
      <c r="AZ58" s="607">
        <f t="shared" si="70"/>
        <v>0</v>
      </c>
      <c r="BA58" s="709"/>
      <c r="BB58" s="607">
        <f t="shared" si="71"/>
        <v>0</v>
      </c>
      <c r="BC58" s="709"/>
      <c r="BD58" s="607">
        <f t="shared" si="72"/>
        <v>0</v>
      </c>
      <c r="BE58" s="709"/>
      <c r="BF58" s="709">
        <f t="shared" si="65"/>
        <v>0</v>
      </c>
      <c r="BG58" s="709"/>
      <c r="BH58" s="709">
        <f t="shared" si="66"/>
        <v>0</v>
      </c>
      <c r="BJ58" s="592">
        <f t="shared" si="62"/>
        <v>416</v>
      </c>
    </row>
    <row r="59" spans="1:62">
      <c r="A59" s="592">
        <f t="shared" si="63"/>
        <v>417</v>
      </c>
      <c r="B59" s="726" t="s">
        <v>1451</v>
      </c>
      <c r="F59" s="712" t="s">
        <v>1404</v>
      </c>
      <c r="H59" s="720"/>
      <c r="J59" s="720"/>
      <c r="K59" s="709"/>
      <c r="L59" s="720"/>
      <c r="M59" s="709"/>
      <c r="N59" s="720"/>
      <c r="O59" s="709"/>
      <c r="R59" s="710" t="s">
        <v>1405</v>
      </c>
      <c r="T59" s="709">
        <v>0</v>
      </c>
      <c r="U59" s="709"/>
      <c r="V59" s="709">
        <f t="shared" si="67"/>
        <v>0</v>
      </c>
      <c r="W59" s="709"/>
      <c r="X59" s="709">
        <v>0</v>
      </c>
      <c r="Y59" s="709"/>
      <c r="Z59" s="709">
        <f t="shared" si="68"/>
        <v>0</v>
      </c>
      <c r="AA59" s="709"/>
      <c r="AB59" s="609" t="s">
        <v>1406</v>
      </c>
      <c r="AC59" s="709"/>
      <c r="AD59" s="709">
        <v>0</v>
      </c>
      <c r="AE59" s="709"/>
      <c r="AF59" s="720"/>
      <c r="AG59" s="709"/>
      <c r="AH59" s="709">
        <v>0</v>
      </c>
      <c r="AI59" s="709"/>
      <c r="AJ59" s="609" t="s">
        <v>1407</v>
      </c>
      <c r="AK59" s="709"/>
      <c r="AL59" s="607">
        <f t="shared" si="69"/>
        <v>0</v>
      </c>
      <c r="AM59" s="709"/>
      <c r="AN59" s="607">
        <f t="shared" si="69"/>
        <v>0</v>
      </c>
      <c r="AO59" s="709"/>
      <c r="AP59" s="607">
        <f t="shared" si="69"/>
        <v>0</v>
      </c>
      <c r="AQ59" s="709"/>
      <c r="AR59" s="709">
        <f t="shared" si="64"/>
        <v>0</v>
      </c>
      <c r="AT59" s="709">
        <v>0</v>
      </c>
      <c r="AU59" s="709"/>
      <c r="AV59" s="720"/>
      <c r="AW59" s="709"/>
      <c r="AX59" s="709">
        <v>0</v>
      </c>
      <c r="AY59" s="709"/>
      <c r="AZ59" s="607">
        <f t="shared" si="70"/>
        <v>0</v>
      </c>
      <c r="BA59" s="709"/>
      <c r="BB59" s="607">
        <f t="shared" si="71"/>
        <v>0</v>
      </c>
      <c r="BC59" s="709"/>
      <c r="BD59" s="607">
        <f t="shared" si="72"/>
        <v>0</v>
      </c>
      <c r="BE59" s="709"/>
      <c r="BF59" s="709">
        <f t="shared" si="65"/>
        <v>0</v>
      </c>
      <c r="BG59" s="709"/>
      <c r="BH59" s="709">
        <f t="shared" si="66"/>
        <v>0</v>
      </c>
      <c r="BJ59" s="592">
        <f t="shared" si="62"/>
        <v>417</v>
      </c>
    </row>
    <row r="60" spans="1:62">
      <c r="A60" s="592">
        <f t="shared" si="63"/>
        <v>418</v>
      </c>
      <c r="B60" s="726" t="s">
        <v>1452</v>
      </c>
      <c r="F60" s="712" t="s">
        <v>1404</v>
      </c>
      <c r="H60" s="720"/>
      <c r="J60" s="720"/>
      <c r="K60" s="709"/>
      <c r="L60" s="720"/>
      <c r="M60" s="709"/>
      <c r="N60" s="720"/>
      <c r="O60" s="709"/>
      <c r="R60" s="710" t="s">
        <v>1405</v>
      </c>
      <c r="T60" s="709">
        <v>0</v>
      </c>
      <c r="U60" s="709"/>
      <c r="V60" s="709">
        <f t="shared" si="67"/>
        <v>0</v>
      </c>
      <c r="W60" s="709"/>
      <c r="X60" s="709">
        <v>0</v>
      </c>
      <c r="Y60" s="709"/>
      <c r="Z60" s="709">
        <f t="shared" si="68"/>
        <v>0</v>
      </c>
      <c r="AA60" s="709"/>
      <c r="AB60" s="609" t="s">
        <v>1406</v>
      </c>
      <c r="AC60" s="709"/>
      <c r="AD60" s="709">
        <v>0</v>
      </c>
      <c r="AE60" s="709"/>
      <c r="AF60" s="720"/>
      <c r="AG60" s="709"/>
      <c r="AH60" s="709">
        <v>0</v>
      </c>
      <c r="AI60" s="709"/>
      <c r="AJ60" s="609" t="s">
        <v>1407</v>
      </c>
      <c r="AK60" s="709"/>
      <c r="AL60" s="607">
        <f t="shared" si="69"/>
        <v>0</v>
      </c>
      <c r="AM60" s="709"/>
      <c r="AN60" s="607">
        <f t="shared" si="69"/>
        <v>0</v>
      </c>
      <c r="AO60" s="709"/>
      <c r="AP60" s="607">
        <f t="shared" si="69"/>
        <v>0</v>
      </c>
      <c r="AQ60" s="709"/>
      <c r="AR60" s="709">
        <f t="shared" si="64"/>
        <v>0</v>
      </c>
      <c r="AT60" s="709">
        <v>0</v>
      </c>
      <c r="AU60" s="709"/>
      <c r="AV60" s="720"/>
      <c r="AW60" s="709"/>
      <c r="AX60" s="709">
        <v>0</v>
      </c>
      <c r="AY60" s="709"/>
      <c r="AZ60" s="607">
        <f t="shared" si="70"/>
        <v>0</v>
      </c>
      <c r="BA60" s="709"/>
      <c r="BB60" s="607">
        <f t="shared" si="71"/>
        <v>0</v>
      </c>
      <c r="BC60" s="709"/>
      <c r="BD60" s="607">
        <f t="shared" si="72"/>
        <v>0</v>
      </c>
      <c r="BE60" s="709"/>
      <c r="BF60" s="709">
        <f t="shared" si="65"/>
        <v>0</v>
      </c>
      <c r="BG60" s="709"/>
      <c r="BH60" s="709">
        <f t="shared" si="66"/>
        <v>0</v>
      </c>
      <c r="BJ60" s="592">
        <f t="shared" si="62"/>
        <v>418</v>
      </c>
    </row>
    <row r="61" spans="1:62">
      <c r="A61" s="592">
        <f t="shared" si="63"/>
        <v>419</v>
      </c>
      <c r="B61" s="726" t="s">
        <v>1453</v>
      </c>
      <c r="F61" s="712" t="s">
        <v>1404</v>
      </c>
      <c r="H61" s="720"/>
      <c r="J61" s="720"/>
      <c r="K61" s="709"/>
      <c r="L61" s="720"/>
      <c r="M61" s="709"/>
      <c r="N61" s="720"/>
      <c r="O61" s="709"/>
      <c r="R61" s="710" t="s">
        <v>1405</v>
      </c>
      <c r="T61" s="709">
        <v>0</v>
      </c>
      <c r="U61" s="709"/>
      <c r="V61" s="709">
        <f t="shared" si="67"/>
        <v>0</v>
      </c>
      <c r="W61" s="709"/>
      <c r="X61" s="709">
        <v>0</v>
      </c>
      <c r="Y61" s="709"/>
      <c r="Z61" s="709">
        <f t="shared" si="68"/>
        <v>0</v>
      </c>
      <c r="AA61" s="709"/>
      <c r="AB61" s="609" t="s">
        <v>1406</v>
      </c>
      <c r="AC61" s="709"/>
      <c r="AD61" s="709">
        <v>0</v>
      </c>
      <c r="AE61" s="709"/>
      <c r="AF61" s="720"/>
      <c r="AG61" s="709"/>
      <c r="AH61" s="709">
        <v>0</v>
      </c>
      <c r="AI61" s="709"/>
      <c r="AJ61" s="609" t="s">
        <v>1407</v>
      </c>
      <c r="AK61" s="709"/>
      <c r="AL61" s="607">
        <f t="shared" si="69"/>
        <v>0</v>
      </c>
      <c r="AM61" s="709"/>
      <c r="AN61" s="607">
        <f t="shared" si="69"/>
        <v>0</v>
      </c>
      <c r="AO61" s="709"/>
      <c r="AP61" s="607">
        <f t="shared" si="69"/>
        <v>0</v>
      </c>
      <c r="AQ61" s="709"/>
      <c r="AR61" s="709">
        <f t="shared" si="64"/>
        <v>0</v>
      </c>
      <c r="AT61" s="709">
        <v>0</v>
      </c>
      <c r="AU61" s="709"/>
      <c r="AV61" s="720"/>
      <c r="AW61" s="709"/>
      <c r="AX61" s="709">
        <v>0</v>
      </c>
      <c r="AY61" s="709"/>
      <c r="AZ61" s="607">
        <f t="shared" si="70"/>
        <v>0</v>
      </c>
      <c r="BA61" s="709"/>
      <c r="BB61" s="607">
        <f t="shared" si="71"/>
        <v>0</v>
      </c>
      <c r="BC61" s="709"/>
      <c r="BD61" s="607">
        <f t="shared" si="72"/>
        <v>0</v>
      </c>
      <c r="BE61" s="709"/>
      <c r="BF61" s="709">
        <f t="shared" si="65"/>
        <v>0</v>
      </c>
      <c r="BG61" s="709"/>
      <c r="BH61" s="709">
        <f t="shared" si="66"/>
        <v>0</v>
      </c>
      <c r="BJ61" s="592">
        <f t="shared" si="62"/>
        <v>419</v>
      </c>
    </row>
    <row r="62" spans="1:62">
      <c r="A62" s="592">
        <f t="shared" si="63"/>
        <v>420</v>
      </c>
      <c r="B62" s="726" t="s">
        <v>1454</v>
      </c>
      <c r="F62" s="712" t="s">
        <v>1404</v>
      </c>
      <c r="H62" s="720"/>
      <c r="J62" s="720"/>
      <c r="K62" s="709"/>
      <c r="L62" s="720"/>
      <c r="M62" s="709"/>
      <c r="N62" s="720"/>
      <c r="O62" s="709"/>
      <c r="R62" s="710" t="s">
        <v>1405</v>
      </c>
      <c r="T62" s="709">
        <v>0</v>
      </c>
      <c r="U62" s="709"/>
      <c r="V62" s="709">
        <f t="shared" si="67"/>
        <v>0</v>
      </c>
      <c r="W62" s="709"/>
      <c r="X62" s="709">
        <v>0</v>
      </c>
      <c r="Y62" s="709"/>
      <c r="Z62" s="709">
        <f t="shared" si="68"/>
        <v>0</v>
      </c>
      <c r="AA62" s="709"/>
      <c r="AB62" s="609" t="s">
        <v>1406</v>
      </c>
      <c r="AC62" s="709"/>
      <c r="AD62" s="709">
        <v>0</v>
      </c>
      <c r="AE62" s="709"/>
      <c r="AF62" s="720"/>
      <c r="AG62" s="709"/>
      <c r="AH62" s="709">
        <v>0</v>
      </c>
      <c r="AI62" s="709"/>
      <c r="AJ62" s="609" t="s">
        <v>1407</v>
      </c>
      <c r="AK62" s="709"/>
      <c r="AL62" s="607">
        <f t="shared" si="69"/>
        <v>0</v>
      </c>
      <c r="AM62" s="709"/>
      <c r="AN62" s="607">
        <f t="shared" si="69"/>
        <v>0</v>
      </c>
      <c r="AO62" s="709"/>
      <c r="AP62" s="607">
        <f t="shared" si="69"/>
        <v>0</v>
      </c>
      <c r="AQ62" s="709"/>
      <c r="AR62" s="709">
        <f t="shared" si="64"/>
        <v>0</v>
      </c>
      <c r="AT62" s="709">
        <v>0</v>
      </c>
      <c r="AU62" s="709"/>
      <c r="AV62" s="720"/>
      <c r="AW62" s="709"/>
      <c r="AX62" s="709">
        <v>0</v>
      </c>
      <c r="AY62" s="709"/>
      <c r="AZ62" s="607">
        <f t="shared" si="70"/>
        <v>0</v>
      </c>
      <c r="BA62" s="709"/>
      <c r="BB62" s="607">
        <f t="shared" si="71"/>
        <v>0</v>
      </c>
      <c r="BC62" s="709"/>
      <c r="BD62" s="607">
        <f t="shared" si="72"/>
        <v>0</v>
      </c>
      <c r="BE62" s="709"/>
      <c r="BF62" s="709">
        <f t="shared" si="65"/>
        <v>0</v>
      </c>
      <c r="BG62" s="709"/>
      <c r="BH62" s="709">
        <f t="shared" si="66"/>
        <v>0</v>
      </c>
      <c r="BJ62" s="592">
        <f t="shared" si="62"/>
        <v>420</v>
      </c>
    </row>
    <row r="63" spans="1:62">
      <c r="A63" s="592">
        <f t="shared" si="63"/>
        <v>421</v>
      </c>
      <c r="B63" s="726" t="s">
        <v>1455</v>
      </c>
      <c r="F63" s="712" t="s">
        <v>1404</v>
      </c>
      <c r="H63" s="720"/>
      <c r="J63" s="720"/>
      <c r="K63" s="709"/>
      <c r="L63" s="720"/>
      <c r="M63" s="709"/>
      <c r="N63" s="720"/>
      <c r="O63" s="709"/>
      <c r="R63" s="710" t="s">
        <v>1405</v>
      </c>
      <c r="T63" s="709">
        <v>0</v>
      </c>
      <c r="U63" s="709"/>
      <c r="V63" s="709">
        <f t="shared" si="67"/>
        <v>0</v>
      </c>
      <c r="W63" s="709"/>
      <c r="X63" s="709">
        <v>0</v>
      </c>
      <c r="Y63" s="709"/>
      <c r="Z63" s="709">
        <f t="shared" si="68"/>
        <v>0</v>
      </c>
      <c r="AA63" s="709"/>
      <c r="AB63" s="609" t="s">
        <v>1406</v>
      </c>
      <c r="AC63" s="709"/>
      <c r="AD63" s="709">
        <v>0</v>
      </c>
      <c r="AE63" s="709"/>
      <c r="AF63" s="720"/>
      <c r="AG63" s="709"/>
      <c r="AH63" s="709">
        <v>0</v>
      </c>
      <c r="AI63" s="709"/>
      <c r="AJ63" s="609" t="s">
        <v>1407</v>
      </c>
      <c r="AK63" s="709"/>
      <c r="AL63" s="607">
        <f t="shared" si="69"/>
        <v>0</v>
      </c>
      <c r="AM63" s="709"/>
      <c r="AN63" s="607">
        <f t="shared" si="69"/>
        <v>0</v>
      </c>
      <c r="AO63" s="709"/>
      <c r="AP63" s="607">
        <f t="shared" si="69"/>
        <v>0</v>
      </c>
      <c r="AQ63" s="709"/>
      <c r="AR63" s="709">
        <f t="shared" si="64"/>
        <v>0</v>
      </c>
      <c r="AT63" s="709">
        <v>0</v>
      </c>
      <c r="AU63" s="709"/>
      <c r="AV63" s="720"/>
      <c r="AW63" s="709"/>
      <c r="AX63" s="709">
        <v>0</v>
      </c>
      <c r="AY63" s="709"/>
      <c r="AZ63" s="607">
        <f t="shared" si="70"/>
        <v>0</v>
      </c>
      <c r="BA63" s="709"/>
      <c r="BB63" s="607">
        <f t="shared" si="71"/>
        <v>0</v>
      </c>
      <c r="BC63" s="709"/>
      <c r="BD63" s="607">
        <f t="shared" si="72"/>
        <v>0</v>
      </c>
      <c r="BE63" s="709"/>
      <c r="BF63" s="709">
        <f t="shared" si="65"/>
        <v>0</v>
      </c>
      <c r="BG63" s="709"/>
      <c r="BH63" s="709">
        <f t="shared" si="66"/>
        <v>0</v>
      </c>
      <c r="BJ63" s="592">
        <f t="shared" si="62"/>
        <v>421</v>
      </c>
    </row>
    <row r="64" spans="1:62">
      <c r="A64" s="592">
        <f t="shared" si="63"/>
        <v>422</v>
      </c>
      <c r="B64" s="726" t="s">
        <v>1456</v>
      </c>
      <c r="F64" s="712" t="s">
        <v>1404</v>
      </c>
      <c r="H64" s="720"/>
      <c r="J64" s="720"/>
      <c r="K64" s="709"/>
      <c r="L64" s="720"/>
      <c r="M64" s="709"/>
      <c r="N64" s="720"/>
      <c r="O64" s="709"/>
      <c r="R64" s="710" t="s">
        <v>1405</v>
      </c>
      <c r="T64" s="709">
        <v>0</v>
      </c>
      <c r="U64" s="709"/>
      <c r="V64" s="709">
        <f t="shared" si="67"/>
        <v>0</v>
      </c>
      <c r="W64" s="709"/>
      <c r="X64" s="709">
        <v>0</v>
      </c>
      <c r="Y64" s="709"/>
      <c r="Z64" s="709">
        <f t="shared" si="68"/>
        <v>0</v>
      </c>
      <c r="AA64" s="709"/>
      <c r="AB64" s="609" t="s">
        <v>1406</v>
      </c>
      <c r="AC64" s="709"/>
      <c r="AD64" s="709">
        <v>0</v>
      </c>
      <c r="AE64" s="709"/>
      <c r="AF64" s="720"/>
      <c r="AG64" s="709"/>
      <c r="AH64" s="709">
        <v>0</v>
      </c>
      <c r="AI64" s="709"/>
      <c r="AJ64" s="609" t="s">
        <v>1407</v>
      </c>
      <c r="AK64" s="709"/>
      <c r="AL64" s="607">
        <f t="shared" si="69"/>
        <v>0</v>
      </c>
      <c r="AM64" s="709"/>
      <c r="AN64" s="607">
        <f t="shared" si="69"/>
        <v>0</v>
      </c>
      <c r="AO64" s="709"/>
      <c r="AP64" s="607">
        <f t="shared" si="69"/>
        <v>0</v>
      </c>
      <c r="AQ64" s="709"/>
      <c r="AR64" s="709">
        <f t="shared" si="64"/>
        <v>0</v>
      </c>
      <c r="AT64" s="709">
        <v>0</v>
      </c>
      <c r="AU64" s="709"/>
      <c r="AV64" s="720"/>
      <c r="AW64" s="709"/>
      <c r="AX64" s="709">
        <v>0</v>
      </c>
      <c r="AY64" s="709"/>
      <c r="AZ64" s="607">
        <f t="shared" si="70"/>
        <v>0</v>
      </c>
      <c r="BA64" s="709"/>
      <c r="BB64" s="607">
        <f t="shared" si="71"/>
        <v>0</v>
      </c>
      <c r="BC64" s="709"/>
      <c r="BD64" s="607">
        <f t="shared" si="72"/>
        <v>0</v>
      </c>
      <c r="BE64" s="709"/>
      <c r="BF64" s="709">
        <f t="shared" si="65"/>
        <v>0</v>
      </c>
      <c r="BG64" s="709"/>
      <c r="BH64" s="709">
        <f t="shared" si="66"/>
        <v>0</v>
      </c>
      <c r="BJ64" s="592">
        <f t="shared" si="62"/>
        <v>422</v>
      </c>
    </row>
    <row r="65" spans="1:62">
      <c r="A65" s="592">
        <f t="shared" si="63"/>
        <v>423</v>
      </c>
      <c r="B65" s="726" t="s">
        <v>1457</v>
      </c>
      <c r="F65" s="712" t="s">
        <v>1404</v>
      </c>
      <c r="H65" s="720"/>
      <c r="J65" s="720"/>
      <c r="K65" s="709"/>
      <c r="L65" s="720"/>
      <c r="M65" s="709"/>
      <c r="N65" s="720"/>
      <c r="O65" s="709"/>
      <c r="R65" s="710" t="s">
        <v>1405</v>
      </c>
      <c r="T65" s="709">
        <v>0</v>
      </c>
      <c r="U65" s="709"/>
      <c r="V65" s="709">
        <f t="shared" si="67"/>
        <v>0</v>
      </c>
      <c r="W65" s="709"/>
      <c r="X65" s="709">
        <v>0</v>
      </c>
      <c r="Y65" s="709"/>
      <c r="Z65" s="709">
        <f t="shared" si="68"/>
        <v>0</v>
      </c>
      <c r="AA65" s="709"/>
      <c r="AB65" s="609" t="s">
        <v>1406</v>
      </c>
      <c r="AC65" s="709"/>
      <c r="AD65" s="709">
        <v>0</v>
      </c>
      <c r="AE65" s="709"/>
      <c r="AF65" s="720"/>
      <c r="AG65" s="709"/>
      <c r="AH65" s="709">
        <v>0</v>
      </c>
      <c r="AI65" s="709"/>
      <c r="AJ65" s="609" t="s">
        <v>1407</v>
      </c>
      <c r="AK65" s="709"/>
      <c r="AL65" s="607">
        <f t="shared" si="69"/>
        <v>0</v>
      </c>
      <c r="AM65" s="709"/>
      <c r="AN65" s="607">
        <f t="shared" si="69"/>
        <v>0</v>
      </c>
      <c r="AO65" s="709"/>
      <c r="AP65" s="607">
        <f t="shared" si="69"/>
        <v>0</v>
      </c>
      <c r="AQ65" s="709"/>
      <c r="AR65" s="709">
        <f t="shared" si="64"/>
        <v>0</v>
      </c>
      <c r="AT65" s="709">
        <v>0</v>
      </c>
      <c r="AU65" s="709"/>
      <c r="AV65" s="720"/>
      <c r="AW65" s="709"/>
      <c r="AX65" s="709">
        <v>0</v>
      </c>
      <c r="AY65" s="709"/>
      <c r="AZ65" s="607">
        <f t="shared" si="70"/>
        <v>0</v>
      </c>
      <c r="BA65" s="709"/>
      <c r="BB65" s="607">
        <f t="shared" si="71"/>
        <v>0</v>
      </c>
      <c r="BC65" s="709"/>
      <c r="BD65" s="607">
        <f t="shared" si="72"/>
        <v>0</v>
      </c>
      <c r="BE65" s="709"/>
      <c r="BF65" s="709">
        <f t="shared" si="65"/>
        <v>0</v>
      </c>
      <c r="BG65" s="709"/>
      <c r="BH65" s="709">
        <f t="shared" si="66"/>
        <v>0</v>
      </c>
      <c r="BJ65" s="592">
        <f t="shared" si="62"/>
        <v>423</v>
      </c>
    </row>
    <row r="66" spans="1:62">
      <c r="A66" s="592">
        <f t="shared" si="63"/>
        <v>424</v>
      </c>
      <c r="B66" s="726" t="s">
        <v>1458</v>
      </c>
      <c r="F66" s="712" t="s">
        <v>1404</v>
      </c>
      <c r="H66" s="720"/>
      <c r="J66" s="720"/>
      <c r="K66" s="709"/>
      <c r="L66" s="720"/>
      <c r="M66" s="709"/>
      <c r="N66" s="720"/>
      <c r="O66" s="709"/>
      <c r="R66" s="710" t="s">
        <v>1405</v>
      </c>
      <c r="T66" s="709">
        <v>0</v>
      </c>
      <c r="U66" s="709"/>
      <c r="V66" s="709">
        <f t="shared" si="67"/>
        <v>0</v>
      </c>
      <c r="W66" s="709"/>
      <c r="X66" s="709">
        <v>0</v>
      </c>
      <c r="Y66" s="709"/>
      <c r="Z66" s="709">
        <f t="shared" si="68"/>
        <v>0</v>
      </c>
      <c r="AA66" s="709"/>
      <c r="AB66" s="609" t="s">
        <v>1406</v>
      </c>
      <c r="AC66" s="709"/>
      <c r="AD66" s="709">
        <v>0</v>
      </c>
      <c r="AE66" s="709"/>
      <c r="AF66" s="720"/>
      <c r="AG66" s="709"/>
      <c r="AH66" s="709">
        <v>0</v>
      </c>
      <c r="AI66" s="709"/>
      <c r="AJ66" s="609" t="s">
        <v>1407</v>
      </c>
      <c r="AK66" s="709"/>
      <c r="AL66" s="607">
        <f t="shared" si="69"/>
        <v>0</v>
      </c>
      <c r="AM66" s="709"/>
      <c r="AN66" s="607">
        <f t="shared" si="69"/>
        <v>0</v>
      </c>
      <c r="AO66" s="709"/>
      <c r="AP66" s="607">
        <f t="shared" si="69"/>
        <v>0</v>
      </c>
      <c r="AQ66" s="709"/>
      <c r="AR66" s="709">
        <f t="shared" si="64"/>
        <v>0</v>
      </c>
      <c r="AT66" s="709">
        <v>0</v>
      </c>
      <c r="AU66" s="709"/>
      <c r="AV66" s="720"/>
      <c r="AW66" s="709"/>
      <c r="AX66" s="709">
        <v>0</v>
      </c>
      <c r="AY66" s="709"/>
      <c r="AZ66" s="607">
        <f t="shared" si="70"/>
        <v>0</v>
      </c>
      <c r="BA66" s="709"/>
      <c r="BB66" s="607">
        <f t="shared" si="71"/>
        <v>0</v>
      </c>
      <c r="BC66" s="709"/>
      <c r="BD66" s="607">
        <f t="shared" si="72"/>
        <v>0</v>
      </c>
      <c r="BE66" s="709"/>
      <c r="BF66" s="709">
        <f t="shared" si="65"/>
        <v>0</v>
      </c>
      <c r="BG66" s="709"/>
      <c r="BH66" s="709">
        <f t="shared" si="66"/>
        <v>0</v>
      </c>
      <c r="BJ66" s="592">
        <f t="shared" si="62"/>
        <v>424</v>
      </c>
    </row>
    <row r="67" spans="1:62">
      <c r="A67" s="592">
        <f t="shared" si="63"/>
        <v>425</v>
      </c>
      <c r="B67" s="726" t="s">
        <v>1459</v>
      </c>
      <c r="F67" s="712" t="s">
        <v>1404</v>
      </c>
      <c r="H67" s="720"/>
      <c r="J67" s="720"/>
      <c r="K67" s="709"/>
      <c r="L67" s="720"/>
      <c r="M67" s="709"/>
      <c r="N67" s="720"/>
      <c r="O67" s="709"/>
      <c r="R67" s="710" t="s">
        <v>1405</v>
      </c>
      <c r="T67" s="709">
        <v>0</v>
      </c>
      <c r="U67" s="709"/>
      <c r="V67" s="709">
        <f t="shared" si="67"/>
        <v>0</v>
      </c>
      <c r="W67" s="709"/>
      <c r="X67" s="709">
        <v>0</v>
      </c>
      <c r="Y67" s="709"/>
      <c r="Z67" s="709">
        <f t="shared" si="68"/>
        <v>0</v>
      </c>
      <c r="AA67" s="709"/>
      <c r="AB67" s="609" t="s">
        <v>1406</v>
      </c>
      <c r="AC67" s="709"/>
      <c r="AD67" s="709">
        <v>0</v>
      </c>
      <c r="AE67" s="709"/>
      <c r="AF67" s="720"/>
      <c r="AG67" s="709"/>
      <c r="AH67" s="709">
        <v>0</v>
      </c>
      <c r="AI67" s="709"/>
      <c r="AJ67" s="609" t="s">
        <v>1407</v>
      </c>
      <c r="AK67" s="709"/>
      <c r="AL67" s="607">
        <f t="shared" si="69"/>
        <v>0</v>
      </c>
      <c r="AM67" s="709"/>
      <c r="AN67" s="607">
        <f t="shared" si="69"/>
        <v>0</v>
      </c>
      <c r="AO67" s="709"/>
      <c r="AP67" s="607">
        <f t="shared" si="69"/>
        <v>0</v>
      </c>
      <c r="AQ67" s="709"/>
      <c r="AR67" s="709">
        <f t="shared" si="64"/>
        <v>0</v>
      </c>
      <c r="AT67" s="709">
        <v>0</v>
      </c>
      <c r="AU67" s="709"/>
      <c r="AV67" s="720"/>
      <c r="AW67" s="709"/>
      <c r="AX67" s="709">
        <v>0</v>
      </c>
      <c r="AY67" s="709"/>
      <c r="AZ67" s="607">
        <f t="shared" si="70"/>
        <v>0</v>
      </c>
      <c r="BA67" s="709"/>
      <c r="BB67" s="607">
        <f t="shared" si="71"/>
        <v>0</v>
      </c>
      <c r="BC67" s="709"/>
      <c r="BD67" s="607">
        <f t="shared" si="72"/>
        <v>0</v>
      </c>
      <c r="BE67" s="709"/>
      <c r="BF67" s="709">
        <f t="shared" si="65"/>
        <v>0</v>
      </c>
      <c r="BG67" s="709"/>
      <c r="BH67" s="709">
        <f t="shared" si="66"/>
        <v>0</v>
      </c>
      <c r="BJ67" s="592">
        <f t="shared" si="62"/>
        <v>425</v>
      </c>
    </row>
    <row r="68" spans="1:62">
      <c r="A68" s="592">
        <f t="shared" si="63"/>
        <v>426</v>
      </c>
      <c r="B68" s="726" t="s">
        <v>1460</v>
      </c>
      <c r="F68" s="712" t="s">
        <v>1404</v>
      </c>
      <c r="H68" s="720"/>
      <c r="J68" s="720"/>
      <c r="K68" s="709"/>
      <c r="L68" s="720"/>
      <c r="M68" s="709"/>
      <c r="N68" s="720"/>
      <c r="O68" s="709"/>
      <c r="R68" s="710" t="s">
        <v>1405</v>
      </c>
      <c r="T68" s="709">
        <v>0</v>
      </c>
      <c r="U68" s="709"/>
      <c r="V68" s="709">
        <f t="shared" si="67"/>
        <v>0</v>
      </c>
      <c r="W68" s="709"/>
      <c r="X68" s="709">
        <v>0</v>
      </c>
      <c r="Y68" s="709"/>
      <c r="Z68" s="709">
        <f t="shared" si="68"/>
        <v>0</v>
      </c>
      <c r="AA68" s="709"/>
      <c r="AB68" s="609" t="s">
        <v>1406</v>
      </c>
      <c r="AC68" s="709"/>
      <c r="AD68" s="709">
        <v>0</v>
      </c>
      <c r="AE68" s="709"/>
      <c r="AF68" s="720"/>
      <c r="AG68" s="709"/>
      <c r="AH68" s="709">
        <v>0</v>
      </c>
      <c r="AI68" s="709"/>
      <c r="AJ68" s="609" t="s">
        <v>1407</v>
      </c>
      <c r="AK68" s="709"/>
      <c r="AL68" s="607">
        <f t="shared" si="69"/>
        <v>0</v>
      </c>
      <c r="AM68" s="709"/>
      <c r="AN68" s="607">
        <f t="shared" si="69"/>
        <v>0</v>
      </c>
      <c r="AO68" s="709"/>
      <c r="AP68" s="607">
        <f t="shared" si="69"/>
        <v>0</v>
      </c>
      <c r="AQ68" s="709"/>
      <c r="AR68" s="709">
        <f t="shared" si="64"/>
        <v>0</v>
      </c>
      <c r="AT68" s="709">
        <v>0</v>
      </c>
      <c r="AU68" s="709"/>
      <c r="AV68" s="720"/>
      <c r="AW68" s="709"/>
      <c r="AX68" s="709">
        <v>0</v>
      </c>
      <c r="AY68" s="709"/>
      <c r="AZ68" s="607">
        <f t="shared" si="70"/>
        <v>0</v>
      </c>
      <c r="BA68" s="709"/>
      <c r="BB68" s="607">
        <f t="shared" si="71"/>
        <v>0</v>
      </c>
      <c r="BC68" s="709"/>
      <c r="BD68" s="607">
        <f t="shared" si="72"/>
        <v>0</v>
      </c>
      <c r="BE68" s="709"/>
      <c r="BF68" s="709">
        <f t="shared" si="65"/>
        <v>0</v>
      </c>
      <c r="BG68" s="709"/>
      <c r="BH68" s="709">
        <f t="shared" si="66"/>
        <v>0</v>
      </c>
      <c r="BJ68" s="592">
        <f t="shared" si="62"/>
        <v>426</v>
      </c>
    </row>
    <row r="69" spans="1:62">
      <c r="A69" s="592">
        <f t="shared" si="63"/>
        <v>427</v>
      </c>
      <c r="B69" s="726" t="s">
        <v>1461</v>
      </c>
      <c r="F69" s="712" t="s">
        <v>1404</v>
      </c>
      <c r="H69" s="720"/>
      <c r="J69" s="720"/>
      <c r="K69" s="709"/>
      <c r="L69" s="720"/>
      <c r="M69" s="709"/>
      <c r="N69" s="720"/>
      <c r="O69" s="709"/>
      <c r="R69" s="710" t="s">
        <v>1405</v>
      </c>
      <c r="T69" s="709">
        <v>0</v>
      </c>
      <c r="U69" s="709"/>
      <c r="V69" s="709">
        <f t="shared" si="67"/>
        <v>0</v>
      </c>
      <c r="W69" s="709"/>
      <c r="X69" s="709">
        <v>0</v>
      </c>
      <c r="Y69" s="709"/>
      <c r="Z69" s="709">
        <f t="shared" si="68"/>
        <v>0</v>
      </c>
      <c r="AA69" s="709"/>
      <c r="AB69" s="609" t="s">
        <v>1406</v>
      </c>
      <c r="AC69" s="709"/>
      <c r="AD69" s="709">
        <v>0</v>
      </c>
      <c r="AE69" s="709"/>
      <c r="AF69" s="720"/>
      <c r="AG69" s="709"/>
      <c r="AH69" s="709">
        <v>0</v>
      </c>
      <c r="AI69" s="709"/>
      <c r="AJ69" s="609" t="s">
        <v>1407</v>
      </c>
      <c r="AK69" s="709"/>
      <c r="AL69" s="607">
        <f t="shared" si="69"/>
        <v>0</v>
      </c>
      <c r="AM69" s="709"/>
      <c r="AN69" s="607">
        <f t="shared" si="69"/>
        <v>0</v>
      </c>
      <c r="AO69" s="709"/>
      <c r="AP69" s="607">
        <f t="shared" si="69"/>
        <v>0</v>
      </c>
      <c r="AQ69" s="709"/>
      <c r="AR69" s="709">
        <f t="shared" si="64"/>
        <v>0</v>
      </c>
      <c r="AT69" s="709">
        <v>0</v>
      </c>
      <c r="AU69" s="709"/>
      <c r="AV69" s="720"/>
      <c r="AW69" s="709"/>
      <c r="AX69" s="709">
        <v>0</v>
      </c>
      <c r="AY69" s="709"/>
      <c r="AZ69" s="607">
        <f t="shared" si="70"/>
        <v>0</v>
      </c>
      <c r="BA69" s="709"/>
      <c r="BB69" s="607">
        <f t="shared" si="71"/>
        <v>0</v>
      </c>
      <c r="BC69" s="709"/>
      <c r="BD69" s="607">
        <f t="shared" si="72"/>
        <v>0</v>
      </c>
      <c r="BE69" s="709"/>
      <c r="BF69" s="709">
        <f t="shared" si="65"/>
        <v>0</v>
      </c>
      <c r="BG69" s="709"/>
      <c r="BH69" s="709">
        <f t="shared" si="66"/>
        <v>0</v>
      </c>
      <c r="BJ69" s="592">
        <f t="shared" si="62"/>
        <v>427</v>
      </c>
    </row>
    <row r="70" spans="1:62">
      <c r="A70" s="592">
        <f t="shared" si="63"/>
        <v>428</v>
      </c>
      <c r="B70" s="726" t="s">
        <v>1462</v>
      </c>
      <c r="F70" s="712" t="s">
        <v>1404</v>
      </c>
      <c r="H70" s="720"/>
      <c r="J70" s="720"/>
      <c r="K70" s="709"/>
      <c r="L70" s="720"/>
      <c r="M70" s="709"/>
      <c r="N70" s="720"/>
      <c r="O70" s="709"/>
      <c r="R70" s="710" t="s">
        <v>1405</v>
      </c>
      <c r="T70" s="709">
        <v>0</v>
      </c>
      <c r="U70" s="709"/>
      <c r="V70" s="709">
        <f t="shared" si="67"/>
        <v>0</v>
      </c>
      <c r="W70" s="709"/>
      <c r="X70" s="709">
        <v>0</v>
      </c>
      <c r="Y70" s="709"/>
      <c r="Z70" s="709">
        <f t="shared" si="68"/>
        <v>0</v>
      </c>
      <c r="AA70" s="709"/>
      <c r="AB70" s="609" t="s">
        <v>1406</v>
      </c>
      <c r="AC70" s="709"/>
      <c r="AD70" s="709">
        <v>0</v>
      </c>
      <c r="AE70" s="709"/>
      <c r="AF70" s="720"/>
      <c r="AG70" s="709"/>
      <c r="AH70" s="709">
        <v>0</v>
      </c>
      <c r="AI70" s="709"/>
      <c r="AJ70" s="609" t="s">
        <v>1407</v>
      </c>
      <c r="AK70" s="709"/>
      <c r="AL70" s="607">
        <f t="shared" si="69"/>
        <v>0</v>
      </c>
      <c r="AM70" s="709"/>
      <c r="AN70" s="607">
        <f t="shared" si="69"/>
        <v>0</v>
      </c>
      <c r="AO70" s="709"/>
      <c r="AP70" s="607">
        <f t="shared" si="69"/>
        <v>0</v>
      </c>
      <c r="AQ70" s="709"/>
      <c r="AR70" s="709">
        <f t="shared" si="64"/>
        <v>0</v>
      </c>
      <c r="AT70" s="709">
        <v>0</v>
      </c>
      <c r="AU70" s="709"/>
      <c r="AV70" s="720"/>
      <c r="AW70" s="709"/>
      <c r="AX70" s="709">
        <v>0</v>
      </c>
      <c r="AY70" s="709"/>
      <c r="AZ70" s="607">
        <f t="shared" si="70"/>
        <v>0</v>
      </c>
      <c r="BA70" s="709"/>
      <c r="BB70" s="607">
        <f t="shared" si="71"/>
        <v>0</v>
      </c>
      <c r="BC70" s="709"/>
      <c r="BD70" s="607">
        <f t="shared" si="72"/>
        <v>0</v>
      </c>
      <c r="BE70" s="709"/>
      <c r="BF70" s="709">
        <f t="shared" si="65"/>
        <v>0</v>
      </c>
      <c r="BG70" s="709"/>
      <c r="BH70" s="709">
        <f t="shared" si="66"/>
        <v>0</v>
      </c>
      <c r="BJ70" s="592">
        <f t="shared" si="62"/>
        <v>428</v>
      </c>
    </row>
    <row r="71" spans="1:62">
      <c r="A71" s="592">
        <f t="shared" si="63"/>
        <v>429</v>
      </c>
      <c r="B71" s="726" t="s">
        <v>1463</v>
      </c>
      <c r="F71" s="712" t="s">
        <v>1404</v>
      </c>
      <c r="H71" s="720"/>
      <c r="J71" s="720"/>
      <c r="K71" s="709"/>
      <c r="L71" s="720"/>
      <c r="M71" s="709"/>
      <c r="N71" s="720"/>
      <c r="O71" s="709"/>
      <c r="R71" s="710" t="s">
        <v>1405</v>
      </c>
      <c r="T71" s="709">
        <v>0</v>
      </c>
      <c r="U71" s="709"/>
      <c r="V71" s="709">
        <f t="shared" si="67"/>
        <v>0</v>
      </c>
      <c r="W71" s="709"/>
      <c r="X71" s="709">
        <v>0</v>
      </c>
      <c r="Y71" s="709"/>
      <c r="Z71" s="709">
        <f t="shared" si="68"/>
        <v>0</v>
      </c>
      <c r="AA71" s="709"/>
      <c r="AB71" s="609" t="s">
        <v>1406</v>
      </c>
      <c r="AC71" s="709"/>
      <c r="AD71" s="709">
        <v>0</v>
      </c>
      <c r="AE71" s="709"/>
      <c r="AF71" s="720"/>
      <c r="AG71" s="709"/>
      <c r="AH71" s="709">
        <v>0</v>
      </c>
      <c r="AI71" s="709"/>
      <c r="AJ71" s="609" t="s">
        <v>1407</v>
      </c>
      <c r="AK71" s="709"/>
      <c r="AL71" s="607">
        <f t="shared" si="69"/>
        <v>0</v>
      </c>
      <c r="AM71" s="709"/>
      <c r="AN71" s="607">
        <f t="shared" si="69"/>
        <v>0</v>
      </c>
      <c r="AO71" s="709"/>
      <c r="AP71" s="607">
        <f t="shared" si="69"/>
        <v>0</v>
      </c>
      <c r="AQ71" s="709"/>
      <c r="AR71" s="709">
        <f t="shared" si="64"/>
        <v>0</v>
      </c>
      <c r="AT71" s="709">
        <v>0</v>
      </c>
      <c r="AU71" s="709"/>
      <c r="AV71" s="720"/>
      <c r="AW71" s="709"/>
      <c r="AX71" s="709">
        <v>0</v>
      </c>
      <c r="AY71" s="709"/>
      <c r="AZ71" s="607">
        <f t="shared" si="70"/>
        <v>0</v>
      </c>
      <c r="BA71" s="709"/>
      <c r="BB71" s="607">
        <f t="shared" si="71"/>
        <v>0</v>
      </c>
      <c r="BC71" s="709"/>
      <c r="BD71" s="607">
        <f t="shared" si="72"/>
        <v>0</v>
      </c>
      <c r="BE71" s="709"/>
      <c r="BF71" s="709">
        <f t="shared" si="65"/>
        <v>0</v>
      </c>
      <c r="BG71" s="709"/>
      <c r="BH71" s="709">
        <f t="shared" si="66"/>
        <v>0</v>
      </c>
      <c r="BJ71" s="592">
        <f t="shared" si="62"/>
        <v>429</v>
      </c>
    </row>
    <row r="72" spans="1:62">
      <c r="A72" s="592">
        <f t="shared" si="63"/>
        <v>430</v>
      </c>
      <c r="B72" s="726" t="s">
        <v>1464</v>
      </c>
      <c r="F72" s="712" t="s">
        <v>1404</v>
      </c>
      <c r="H72" s="720"/>
      <c r="J72" s="720"/>
      <c r="K72" s="709"/>
      <c r="L72" s="720"/>
      <c r="M72" s="709"/>
      <c r="N72" s="720"/>
      <c r="O72" s="709"/>
      <c r="R72" s="710" t="s">
        <v>1405</v>
      </c>
      <c r="T72" s="709">
        <v>0</v>
      </c>
      <c r="U72" s="709"/>
      <c r="V72" s="709">
        <f t="shared" si="67"/>
        <v>0</v>
      </c>
      <c r="W72" s="709"/>
      <c r="X72" s="709">
        <v>0</v>
      </c>
      <c r="Y72" s="709"/>
      <c r="Z72" s="709">
        <f t="shared" si="68"/>
        <v>0</v>
      </c>
      <c r="AA72" s="709"/>
      <c r="AB72" s="609" t="s">
        <v>1406</v>
      </c>
      <c r="AC72" s="709"/>
      <c r="AD72" s="709">
        <v>0</v>
      </c>
      <c r="AE72" s="709"/>
      <c r="AF72" s="720"/>
      <c r="AG72" s="709"/>
      <c r="AH72" s="709">
        <v>0</v>
      </c>
      <c r="AI72" s="709"/>
      <c r="AJ72" s="609" t="s">
        <v>1407</v>
      </c>
      <c r="AK72" s="709"/>
      <c r="AL72" s="607">
        <f t="shared" si="69"/>
        <v>0</v>
      </c>
      <c r="AM72" s="709"/>
      <c r="AN72" s="607">
        <f t="shared" si="69"/>
        <v>0</v>
      </c>
      <c r="AO72" s="709"/>
      <c r="AP72" s="607">
        <f t="shared" si="69"/>
        <v>0</v>
      </c>
      <c r="AQ72" s="709"/>
      <c r="AR72" s="709">
        <f t="shared" si="64"/>
        <v>0</v>
      </c>
      <c r="AT72" s="709">
        <v>0</v>
      </c>
      <c r="AU72" s="709"/>
      <c r="AV72" s="720"/>
      <c r="AW72" s="709"/>
      <c r="AX72" s="709">
        <v>0</v>
      </c>
      <c r="AY72" s="709"/>
      <c r="AZ72" s="607">
        <f t="shared" si="70"/>
        <v>0</v>
      </c>
      <c r="BA72" s="709"/>
      <c r="BB72" s="607">
        <f t="shared" si="71"/>
        <v>0</v>
      </c>
      <c r="BC72" s="709"/>
      <c r="BD72" s="607">
        <f t="shared" si="72"/>
        <v>0</v>
      </c>
      <c r="BE72" s="709"/>
      <c r="BF72" s="709">
        <f t="shared" si="65"/>
        <v>0</v>
      </c>
      <c r="BG72" s="709"/>
      <c r="BH72" s="709">
        <f t="shared" si="66"/>
        <v>0</v>
      </c>
      <c r="BJ72" s="592">
        <f t="shared" si="62"/>
        <v>430</v>
      </c>
    </row>
    <row r="73" spans="1:62">
      <c r="A73" s="592">
        <f t="shared" si="63"/>
        <v>431</v>
      </c>
      <c r="B73" s="726" t="s">
        <v>1465</v>
      </c>
      <c r="F73" s="712" t="s">
        <v>1404</v>
      </c>
      <c r="H73" s="720"/>
      <c r="J73" s="720"/>
      <c r="K73" s="709"/>
      <c r="L73" s="720"/>
      <c r="M73" s="709"/>
      <c r="N73" s="720"/>
      <c r="O73" s="709"/>
      <c r="R73" s="710" t="s">
        <v>1405</v>
      </c>
      <c r="T73" s="709">
        <v>0</v>
      </c>
      <c r="U73" s="709"/>
      <c r="V73" s="709">
        <f t="shared" si="67"/>
        <v>0</v>
      </c>
      <c r="W73" s="709"/>
      <c r="X73" s="709">
        <v>0</v>
      </c>
      <c r="Y73" s="709"/>
      <c r="Z73" s="709">
        <f t="shared" si="68"/>
        <v>0</v>
      </c>
      <c r="AA73" s="709"/>
      <c r="AB73" s="609" t="s">
        <v>1406</v>
      </c>
      <c r="AC73" s="709"/>
      <c r="AD73" s="709">
        <v>0</v>
      </c>
      <c r="AE73" s="709"/>
      <c r="AF73" s="720"/>
      <c r="AG73" s="709"/>
      <c r="AH73" s="709">
        <v>0</v>
      </c>
      <c r="AI73" s="709"/>
      <c r="AJ73" s="609" t="s">
        <v>1407</v>
      </c>
      <c r="AK73" s="709"/>
      <c r="AL73" s="607">
        <f t="shared" si="69"/>
        <v>0</v>
      </c>
      <c r="AM73" s="709"/>
      <c r="AN73" s="607">
        <f t="shared" si="69"/>
        <v>0</v>
      </c>
      <c r="AO73" s="709"/>
      <c r="AP73" s="607">
        <f t="shared" si="69"/>
        <v>0</v>
      </c>
      <c r="AQ73" s="709"/>
      <c r="AR73" s="709">
        <f t="shared" si="64"/>
        <v>0</v>
      </c>
      <c r="AT73" s="709">
        <v>0</v>
      </c>
      <c r="AU73" s="709"/>
      <c r="AV73" s="720"/>
      <c r="AW73" s="709"/>
      <c r="AX73" s="709">
        <v>0</v>
      </c>
      <c r="AY73" s="709"/>
      <c r="AZ73" s="607">
        <f t="shared" si="70"/>
        <v>0</v>
      </c>
      <c r="BA73" s="709"/>
      <c r="BB73" s="607">
        <f t="shared" si="71"/>
        <v>0</v>
      </c>
      <c r="BC73" s="709"/>
      <c r="BD73" s="607">
        <f t="shared" si="72"/>
        <v>0</v>
      </c>
      <c r="BE73" s="709"/>
      <c r="BF73" s="709">
        <f t="shared" si="65"/>
        <v>0</v>
      </c>
      <c r="BG73" s="709"/>
      <c r="BH73" s="709">
        <f t="shared" si="66"/>
        <v>0</v>
      </c>
      <c r="BJ73" s="592">
        <f t="shared" si="62"/>
        <v>431</v>
      </c>
    </row>
    <row r="74" spans="1:62">
      <c r="A74" s="592">
        <f t="shared" si="63"/>
        <v>432</v>
      </c>
      <c r="B74" s="726" t="s">
        <v>1466</v>
      </c>
      <c r="F74" s="712" t="s">
        <v>1404</v>
      </c>
      <c r="H74" s="720"/>
      <c r="J74" s="720"/>
      <c r="K74" s="709"/>
      <c r="L74" s="720"/>
      <c r="M74" s="709"/>
      <c r="N74" s="720"/>
      <c r="O74" s="709"/>
      <c r="R74" s="710" t="s">
        <v>1405</v>
      </c>
      <c r="T74" s="709">
        <v>0</v>
      </c>
      <c r="U74" s="709"/>
      <c r="V74" s="709">
        <f t="shared" si="67"/>
        <v>0</v>
      </c>
      <c r="W74" s="709"/>
      <c r="X74" s="709">
        <v>0</v>
      </c>
      <c r="Y74" s="709"/>
      <c r="Z74" s="709">
        <f t="shared" si="68"/>
        <v>0</v>
      </c>
      <c r="AA74" s="709"/>
      <c r="AB74" s="609" t="s">
        <v>1406</v>
      </c>
      <c r="AC74" s="709"/>
      <c r="AD74" s="709">
        <v>0</v>
      </c>
      <c r="AE74" s="709"/>
      <c r="AF74" s="720"/>
      <c r="AG74" s="709"/>
      <c r="AH74" s="709">
        <v>0</v>
      </c>
      <c r="AI74" s="709"/>
      <c r="AJ74" s="609" t="s">
        <v>1407</v>
      </c>
      <c r="AK74" s="709"/>
      <c r="AL74" s="607">
        <f t="shared" si="69"/>
        <v>0</v>
      </c>
      <c r="AM74" s="709"/>
      <c r="AN74" s="607">
        <f t="shared" si="69"/>
        <v>0</v>
      </c>
      <c r="AO74" s="709"/>
      <c r="AP74" s="607">
        <f t="shared" si="69"/>
        <v>0</v>
      </c>
      <c r="AQ74" s="709"/>
      <c r="AR74" s="709">
        <f t="shared" si="64"/>
        <v>0</v>
      </c>
      <c r="AT74" s="709">
        <v>0</v>
      </c>
      <c r="AU74" s="709"/>
      <c r="AV74" s="720"/>
      <c r="AW74" s="709"/>
      <c r="AX74" s="709">
        <v>0</v>
      </c>
      <c r="AY74" s="709"/>
      <c r="AZ74" s="607">
        <f t="shared" si="70"/>
        <v>0</v>
      </c>
      <c r="BA74" s="709"/>
      <c r="BB74" s="607">
        <f t="shared" si="71"/>
        <v>0</v>
      </c>
      <c r="BC74" s="709"/>
      <c r="BD74" s="607">
        <f t="shared" si="72"/>
        <v>0</v>
      </c>
      <c r="BE74" s="709"/>
      <c r="BF74" s="709">
        <f t="shared" si="65"/>
        <v>0</v>
      </c>
      <c r="BG74" s="709"/>
      <c r="BH74" s="709">
        <f t="shared" si="66"/>
        <v>0</v>
      </c>
      <c r="BJ74" s="592">
        <f t="shared" si="62"/>
        <v>432</v>
      </c>
    </row>
    <row r="75" spans="1:62">
      <c r="A75" s="592">
        <f t="shared" si="63"/>
        <v>433</v>
      </c>
      <c r="B75" s="726" t="s">
        <v>1467</v>
      </c>
      <c r="F75" s="712" t="s">
        <v>1404</v>
      </c>
      <c r="H75" s="720"/>
      <c r="J75" s="720"/>
      <c r="K75" s="709"/>
      <c r="L75" s="720"/>
      <c r="M75" s="709"/>
      <c r="N75" s="720"/>
      <c r="O75" s="709"/>
      <c r="R75" s="710" t="s">
        <v>1405</v>
      </c>
      <c r="T75" s="709">
        <v>0</v>
      </c>
      <c r="U75" s="709"/>
      <c r="V75" s="709">
        <f t="shared" si="67"/>
        <v>0</v>
      </c>
      <c r="W75" s="709"/>
      <c r="X75" s="709">
        <v>0</v>
      </c>
      <c r="Y75" s="709"/>
      <c r="Z75" s="709">
        <f t="shared" si="68"/>
        <v>0</v>
      </c>
      <c r="AA75" s="709"/>
      <c r="AB75" s="609" t="s">
        <v>1406</v>
      </c>
      <c r="AC75" s="709"/>
      <c r="AD75" s="709">
        <v>0</v>
      </c>
      <c r="AE75" s="709"/>
      <c r="AF75" s="720"/>
      <c r="AG75" s="709"/>
      <c r="AH75" s="709">
        <v>0</v>
      </c>
      <c r="AI75" s="709"/>
      <c r="AJ75" s="609" t="s">
        <v>1407</v>
      </c>
      <c r="AK75" s="709"/>
      <c r="AL75" s="607">
        <f t="shared" si="69"/>
        <v>0</v>
      </c>
      <c r="AM75" s="709"/>
      <c r="AN75" s="607">
        <f t="shared" si="69"/>
        <v>0</v>
      </c>
      <c r="AO75" s="709"/>
      <c r="AP75" s="607">
        <f t="shared" si="69"/>
        <v>0</v>
      </c>
      <c r="AQ75" s="709"/>
      <c r="AR75" s="709">
        <f t="shared" si="64"/>
        <v>0</v>
      </c>
      <c r="AT75" s="709">
        <v>0</v>
      </c>
      <c r="AU75" s="709"/>
      <c r="AV75" s="720"/>
      <c r="AW75" s="709"/>
      <c r="AX75" s="709">
        <v>0</v>
      </c>
      <c r="AY75" s="709"/>
      <c r="AZ75" s="607">
        <f t="shared" si="70"/>
        <v>0</v>
      </c>
      <c r="BA75" s="709"/>
      <c r="BB75" s="607">
        <f t="shared" si="71"/>
        <v>0</v>
      </c>
      <c r="BC75" s="709"/>
      <c r="BD75" s="607">
        <f t="shared" si="72"/>
        <v>0</v>
      </c>
      <c r="BE75" s="709"/>
      <c r="BF75" s="709">
        <f t="shared" si="65"/>
        <v>0</v>
      </c>
      <c r="BG75" s="709"/>
      <c r="BH75" s="709">
        <f t="shared" si="66"/>
        <v>0</v>
      </c>
      <c r="BJ75" s="592">
        <f t="shared" si="62"/>
        <v>433</v>
      </c>
    </row>
    <row r="76" spans="1:62">
      <c r="A76" s="592">
        <f t="shared" si="63"/>
        <v>434</v>
      </c>
      <c r="B76" s="726" t="s">
        <v>1468</v>
      </c>
      <c r="F76" s="712" t="s">
        <v>1404</v>
      </c>
      <c r="H76" s="720"/>
      <c r="J76" s="720"/>
      <c r="K76" s="709"/>
      <c r="L76" s="720"/>
      <c r="M76" s="709"/>
      <c r="N76" s="720"/>
      <c r="O76" s="709"/>
      <c r="R76" s="710" t="s">
        <v>1405</v>
      </c>
      <c r="T76" s="709">
        <v>0</v>
      </c>
      <c r="U76" s="709"/>
      <c r="V76" s="709">
        <f t="shared" si="67"/>
        <v>0</v>
      </c>
      <c r="W76" s="709"/>
      <c r="X76" s="709">
        <v>0</v>
      </c>
      <c r="Y76" s="709"/>
      <c r="Z76" s="709">
        <f t="shared" si="68"/>
        <v>0</v>
      </c>
      <c r="AA76" s="709"/>
      <c r="AB76" s="609" t="s">
        <v>1406</v>
      </c>
      <c r="AC76" s="709"/>
      <c r="AD76" s="709">
        <v>0</v>
      </c>
      <c r="AE76" s="709"/>
      <c r="AF76" s="720"/>
      <c r="AG76" s="709"/>
      <c r="AH76" s="709">
        <v>0</v>
      </c>
      <c r="AI76" s="709"/>
      <c r="AJ76" s="609" t="s">
        <v>1407</v>
      </c>
      <c r="AK76" s="709"/>
      <c r="AL76" s="607">
        <f t="shared" si="69"/>
        <v>0</v>
      </c>
      <c r="AM76" s="709"/>
      <c r="AN76" s="607">
        <f t="shared" si="69"/>
        <v>0</v>
      </c>
      <c r="AO76" s="709"/>
      <c r="AP76" s="607">
        <f t="shared" si="69"/>
        <v>0</v>
      </c>
      <c r="AQ76" s="709"/>
      <c r="AR76" s="709">
        <f t="shared" si="64"/>
        <v>0</v>
      </c>
      <c r="AT76" s="709">
        <v>0</v>
      </c>
      <c r="AU76" s="709"/>
      <c r="AV76" s="720"/>
      <c r="AW76" s="709"/>
      <c r="AX76" s="709">
        <v>0</v>
      </c>
      <c r="AY76" s="709"/>
      <c r="AZ76" s="607">
        <f t="shared" si="70"/>
        <v>0</v>
      </c>
      <c r="BA76" s="709"/>
      <c r="BB76" s="607">
        <f t="shared" si="71"/>
        <v>0</v>
      </c>
      <c r="BC76" s="709"/>
      <c r="BD76" s="607">
        <f t="shared" si="72"/>
        <v>0</v>
      </c>
      <c r="BE76" s="709"/>
      <c r="BF76" s="709">
        <f t="shared" si="65"/>
        <v>0</v>
      </c>
      <c r="BG76" s="709"/>
      <c r="BH76" s="709">
        <f t="shared" si="66"/>
        <v>0</v>
      </c>
      <c r="BJ76" s="592">
        <f t="shared" si="62"/>
        <v>434</v>
      </c>
    </row>
    <row r="77" spans="1:62">
      <c r="A77" s="592">
        <f t="shared" si="63"/>
        <v>435</v>
      </c>
      <c r="B77" s="726" t="s">
        <v>1469</v>
      </c>
      <c r="F77" s="712" t="s">
        <v>1404</v>
      </c>
      <c r="H77" s="720"/>
      <c r="J77" s="720"/>
      <c r="K77" s="709"/>
      <c r="L77" s="720"/>
      <c r="M77" s="709"/>
      <c r="N77" s="720"/>
      <c r="O77" s="709"/>
      <c r="R77" s="710" t="s">
        <v>1405</v>
      </c>
      <c r="T77" s="709">
        <v>0</v>
      </c>
      <c r="U77" s="709"/>
      <c r="V77" s="709">
        <f t="shared" si="67"/>
        <v>0</v>
      </c>
      <c r="W77" s="709"/>
      <c r="X77" s="709">
        <v>0</v>
      </c>
      <c r="Y77" s="709"/>
      <c r="Z77" s="709">
        <f t="shared" si="68"/>
        <v>0</v>
      </c>
      <c r="AA77" s="709"/>
      <c r="AB77" s="609" t="s">
        <v>1406</v>
      </c>
      <c r="AC77" s="709"/>
      <c r="AD77" s="709">
        <v>0</v>
      </c>
      <c r="AE77" s="709"/>
      <c r="AF77" s="720"/>
      <c r="AG77" s="709"/>
      <c r="AH77" s="709">
        <v>0</v>
      </c>
      <c r="AI77" s="709"/>
      <c r="AJ77" s="609" t="s">
        <v>1407</v>
      </c>
      <c r="AK77" s="709"/>
      <c r="AL77" s="607">
        <f t="shared" si="69"/>
        <v>0</v>
      </c>
      <c r="AM77" s="709"/>
      <c r="AN77" s="607">
        <f t="shared" si="69"/>
        <v>0</v>
      </c>
      <c r="AO77" s="709"/>
      <c r="AP77" s="607">
        <f t="shared" si="69"/>
        <v>0</v>
      </c>
      <c r="AQ77" s="709"/>
      <c r="AR77" s="709">
        <f t="shared" si="64"/>
        <v>0</v>
      </c>
      <c r="AT77" s="709">
        <v>0</v>
      </c>
      <c r="AU77" s="709"/>
      <c r="AV77" s="720"/>
      <c r="AW77" s="709"/>
      <c r="AX77" s="709">
        <v>0</v>
      </c>
      <c r="AY77" s="709"/>
      <c r="AZ77" s="607">
        <f t="shared" si="70"/>
        <v>0</v>
      </c>
      <c r="BA77" s="709"/>
      <c r="BB77" s="607">
        <f t="shared" si="71"/>
        <v>0</v>
      </c>
      <c r="BC77" s="709"/>
      <c r="BD77" s="607">
        <f t="shared" si="72"/>
        <v>0</v>
      </c>
      <c r="BE77" s="709"/>
      <c r="BF77" s="709">
        <f t="shared" si="65"/>
        <v>0</v>
      </c>
      <c r="BG77" s="709"/>
      <c r="BH77" s="709">
        <f t="shared" si="66"/>
        <v>0</v>
      </c>
      <c r="BJ77" s="592">
        <f t="shared" si="62"/>
        <v>435</v>
      </c>
    </row>
    <row r="78" spans="1:62">
      <c r="A78" s="592">
        <f t="shared" si="63"/>
        <v>436</v>
      </c>
      <c r="B78" s="726" t="s">
        <v>1470</v>
      </c>
      <c r="F78" s="712" t="s">
        <v>1404</v>
      </c>
      <c r="H78" s="720"/>
      <c r="J78" s="720"/>
      <c r="K78" s="709"/>
      <c r="L78" s="720"/>
      <c r="M78" s="709"/>
      <c r="N78" s="720"/>
      <c r="O78" s="709"/>
      <c r="R78" s="710" t="s">
        <v>1405</v>
      </c>
      <c r="T78" s="709">
        <v>0</v>
      </c>
      <c r="U78" s="709"/>
      <c r="V78" s="709">
        <f t="shared" si="67"/>
        <v>0</v>
      </c>
      <c r="W78" s="709"/>
      <c r="X78" s="709">
        <v>0</v>
      </c>
      <c r="Y78" s="709"/>
      <c r="Z78" s="709">
        <f t="shared" si="68"/>
        <v>0</v>
      </c>
      <c r="AA78" s="709"/>
      <c r="AB78" s="609" t="s">
        <v>1406</v>
      </c>
      <c r="AC78" s="709"/>
      <c r="AD78" s="709">
        <v>0</v>
      </c>
      <c r="AE78" s="709"/>
      <c r="AF78" s="720"/>
      <c r="AG78" s="709"/>
      <c r="AH78" s="709">
        <v>0</v>
      </c>
      <c r="AI78" s="709"/>
      <c r="AJ78" s="609" t="s">
        <v>1407</v>
      </c>
      <c r="AK78" s="709"/>
      <c r="AL78" s="607">
        <f t="shared" si="69"/>
        <v>0</v>
      </c>
      <c r="AM78" s="709"/>
      <c r="AN78" s="607">
        <f t="shared" si="69"/>
        <v>0</v>
      </c>
      <c r="AO78" s="709"/>
      <c r="AP78" s="607">
        <f t="shared" si="69"/>
        <v>0</v>
      </c>
      <c r="AQ78" s="709"/>
      <c r="AR78" s="709">
        <f t="shared" si="64"/>
        <v>0</v>
      </c>
      <c r="AT78" s="709">
        <v>0</v>
      </c>
      <c r="AU78" s="709"/>
      <c r="AV78" s="720"/>
      <c r="AW78" s="709"/>
      <c r="AX78" s="709">
        <v>0</v>
      </c>
      <c r="AY78" s="709"/>
      <c r="AZ78" s="607">
        <f t="shared" si="70"/>
        <v>0</v>
      </c>
      <c r="BA78" s="709"/>
      <c r="BB78" s="607">
        <f t="shared" si="71"/>
        <v>0</v>
      </c>
      <c r="BC78" s="709"/>
      <c r="BD78" s="607">
        <f t="shared" si="72"/>
        <v>0</v>
      </c>
      <c r="BE78" s="709"/>
      <c r="BF78" s="709">
        <f t="shared" si="65"/>
        <v>0</v>
      </c>
      <c r="BG78" s="709"/>
      <c r="BH78" s="709">
        <f t="shared" si="66"/>
        <v>0</v>
      </c>
      <c r="BJ78" s="592">
        <f t="shared" si="62"/>
        <v>436</v>
      </c>
    </row>
    <row r="79" spans="1:62">
      <c r="A79" s="592">
        <f t="shared" si="63"/>
        <v>437</v>
      </c>
      <c r="B79" s="726" t="s">
        <v>1471</v>
      </c>
      <c r="F79" s="712" t="s">
        <v>1404</v>
      </c>
      <c r="H79" s="720"/>
      <c r="J79" s="720"/>
      <c r="K79" s="709"/>
      <c r="L79" s="720"/>
      <c r="M79" s="709"/>
      <c r="N79" s="720"/>
      <c r="O79" s="709"/>
      <c r="R79" s="710" t="s">
        <v>1405</v>
      </c>
      <c r="T79" s="709">
        <v>0</v>
      </c>
      <c r="U79" s="709"/>
      <c r="V79" s="709">
        <f t="shared" si="67"/>
        <v>0</v>
      </c>
      <c r="W79" s="709"/>
      <c r="X79" s="709">
        <v>0</v>
      </c>
      <c r="Y79" s="709"/>
      <c r="Z79" s="709">
        <f t="shared" si="68"/>
        <v>0</v>
      </c>
      <c r="AA79" s="709"/>
      <c r="AB79" s="609" t="s">
        <v>1406</v>
      </c>
      <c r="AC79" s="709"/>
      <c r="AD79" s="709">
        <v>0</v>
      </c>
      <c r="AE79" s="709"/>
      <c r="AF79" s="720"/>
      <c r="AG79" s="709"/>
      <c r="AH79" s="709">
        <v>0</v>
      </c>
      <c r="AI79" s="709"/>
      <c r="AJ79" s="609" t="s">
        <v>1407</v>
      </c>
      <c r="AK79" s="709"/>
      <c r="AL79" s="607">
        <f t="shared" si="69"/>
        <v>0</v>
      </c>
      <c r="AM79" s="709"/>
      <c r="AN79" s="607">
        <f t="shared" si="69"/>
        <v>0</v>
      </c>
      <c r="AO79" s="709"/>
      <c r="AP79" s="607">
        <f t="shared" si="69"/>
        <v>0</v>
      </c>
      <c r="AQ79" s="709"/>
      <c r="AR79" s="709">
        <f t="shared" si="64"/>
        <v>0</v>
      </c>
      <c r="AT79" s="709">
        <v>0</v>
      </c>
      <c r="AU79" s="709"/>
      <c r="AV79" s="720"/>
      <c r="AW79" s="709"/>
      <c r="AX79" s="709">
        <v>0</v>
      </c>
      <c r="AY79" s="709"/>
      <c r="AZ79" s="607">
        <f t="shared" si="70"/>
        <v>0</v>
      </c>
      <c r="BA79" s="709"/>
      <c r="BB79" s="607">
        <f t="shared" si="71"/>
        <v>0</v>
      </c>
      <c r="BC79" s="709"/>
      <c r="BD79" s="607">
        <f t="shared" si="72"/>
        <v>0</v>
      </c>
      <c r="BE79" s="709"/>
      <c r="BF79" s="709">
        <f t="shared" si="65"/>
        <v>0</v>
      </c>
      <c r="BG79" s="709"/>
      <c r="BH79" s="709">
        <f t="shared" si="66"/>
        <v>0</v>
      </c>
      <c r="BJ79" s="592">
        <f t="shared" si="62"/>
        <v>437</v>
      </c>
    </row>
    <row r="80" spans="1:62">
      <c r="A80" s="592">
        <f t="shared" si="63"/>
        <v>438</v>
      </c>
      <c r="B80" s="726" t="s">
        <v>1472</v>
      </c>
      <c r="F80" s="712" t="s">
        <v>1404</v>
      </c>
      <c r="H80" s="720"/>
      <c r="J80" s="720"/>
      <c r="K80" s="709"/>
      <c r="L80" s="720"/>
      <c r="M80" s="709"/>
      <c r="N80" s="720"/>
      <c r="O80" s="709"/>
      <c r="R80" s="710" t="s">
        <v>1405</v>
      </c>
      <c r="T80" s="709">
        <v>0</v>
      </c>
      <c r="U80" s="709"/>
      <c r="V80" s="709">
        <f t="shared" si="67"/>
        <v>0</v>
      </c>
      <c r="W80" s="709"/>
      <c r="X80" s="709">
        <v>0</v>
      </c>
      <c r="Y80" s="709"/>
      <c r="Z80" s="709">
        <f t="shared" si="68"/>
        <v>0</v>
      </c>
      <c r="AA80" s="709"/>
      <c r="AB80" s="609" t="s">
        <v>1406</v>
      </c>
      <c r="AC80" s="709"/>
      <c r="AD80" s="709">
        <v>0</v>
      </c>
      <c r="AE80" s="709"/>
      <c r="AF80" s="720"/>
      <c r="AG80" s="709"/>
      <c r="AH80" s="709">
        <v>0</v>
      </c>
      <c r="AI80" s="709"/>
      <c r="AJ80" s="609" t="s">
        <v>1407</v>
      </c>
      <c r="AK80" s="709"/>
      <c r="AL80" s="607">
        <f t="shared" si="69"/>
        <v>0</v>
      </c>
      <c r="AM80" s="709"/>
      <c r="AN80" s="607">
        <f t="shared" si="69"/>
        <v>0</v>
      </c>
      <c r="AO80" s="709"/>
      <c r="AP80" s="607">
        <f t="shared" si="69"/>
        <v>0</v>
      </c>
      <c r="AQ80" s="709"/>
      <c r="AR80" s="709">
        <f t="shared" si="64"/>
        <v>0</v>
      </c>
      <c r="AT80" s="709">
        <v>0</v>
      </c>
      <c r="AU80" s="709"/>
      <c r="AV80" s="720"/>
      <c r="AW80" s="709"/>
      <c r="AX80" s="709">
        <v>0</v>
      </c>
      <c r="AY80" s="709"/>
      <c r="AZ80" s="607">
        <f t="shared" si="70"/>
        <v>0</v>
      </c>
      <c r="BA80" s="709"/>
      <c r="BB80" s="607">
        <f t="shared" si="71"/>
        <v>0</v>
      </c>
      <c r="BC80" s="709"/>
      <c r="BD80" s="607">
        <f t="shared" si="72"/>
        <v>0</v>
      </c>
      <c r="BE80" s="709"/>
      <c r="BF80" s="709">
        <f t="shared" si="65"/>
        <v>0</v>
      </c>
      <c r="BG80" s="709"/>
      <c r="BH80" s="709">
        <f t="shared" si="66"/>
        <v>0</v>
      </c>
      <c r="BJ80" s="592">
        <f t="shared" si="62"/>
        <v>438</v>
      </c>
    </row>
    <row r="81" spans="1:62">
      <c r="A81" s="592">
        <f t="shared" si="63"/>
        <v>439</v>
      </c>
      <c r="B81" s="726" t="s">
        <v>1473</v>
      </c>
      <c r="F81" s="712" t="s">
        <v>1404</v>
      </c>
      <c r="H81" s="720"/>
      <c r="J81" s="720"/>
      <c r="K81" s="709"/>
      <c r="L81" s="720"/>
      <c r="M81" s="709"/>
      <c r="N81" s="720"/>
      <c r="O81" s="709"/>
      <c r="R81" s="710" t="s">
        <v>1405</v>
      </c>
      <c r="T81" s="709">
        <v>0</v>
      </c>
      <c r="U81" s="709"/>
      <c r="V81" s="709">
        <f t="shared" si="67"/>
        <v>0</v>
      </c>
      <c r="W81" s="709"/>
      <c r="X81" s="709">
        <v>0</v>
      </c>
      <c r="Y81" s="709"/>
      <c r="Z81" s="709">
        <f t="shared" si="68"/>
        <v>0</v>
      </c>
      <c r="AA81" s="709"/>
      <c r="AB81" s="609" t="s">
        <v>1406</v>
      </c>
      <c r="AC81" s="709"/>
      <c r="AD81" s="709">
        <v>0</v>
      </c>
      <c r="AE81" s="709"/>
      <c r="AF81" s="720"/>
      <c r="AG81" s="709"/>
      <c r="AH81" s="709">
        <v>0</v>
      </c>
      <c r="AI81" s="709"/>
      <c r="AJ81" s="609" t="s">
        <v>1407</v>
      </c>
      <c r="AK81" s="709"/>
      <c r="AL81" s="607">
        <f t="shared" si="69"/>
        <v>0</v>
      </c>
      <c r="AM81" s="709"/>
      <c r="AN81" s="607">
        <f t="shared" si="69"/>
        <v>0</v>
      </c>
      <c r="AO81" s="709"/>
      <c r="AP81" s="607">
        <f t="shared" si="69"/>
        <v>0</v>
      </c>
      <c r="AQ81" s="709"/>
      <c r="AR81" s="709">
        <f t="shared" si="64"/>
        <v>0</v>
      </c>
      <c r="AT81" s="709">
        <v>0</v>
      </c>
      <c r="AU81" s="709"/>
      <c r="AV81" s="720"/>
      <c r="AW81" s="709"/>
      <c r="AX81" s="709">
        <v>0</v>
      </c>
      <c r="AY81" s="709"/>
      <c r="AZ81" s="607">
        <f t="shared" si="70"/>
        <v>0</v>
      </c>
      <c r="BA81" s="709"/>
      <c r="BB81" s="607">
        <f t="shared" si="71"/>
        <v>0</v>
      </c>
      <c r="BC81" s="709"/>
      <c r="BD81" s="607">
        <f t="shared" si="72"/>
        <v>0</v>
      </c>
      <c r="BE81" s="709"/>
      <c r="BF81" s="709">
        <f t="shared" si="65"/>
        <v>0</v>
      </c>
      <c r="BG81" s="709"/>
      <c r="BH81" s="709">
        <f t="shared" si="66"/>
        <v>0</v>
      </c>
      <c r="BJ81" s="592">
        <f t="shared" si="62"/>
        <v>439</v>
      </c>
    </row>
    <row r="82" spans="1:62">
      <c r="A82" s="592">
        <f t="shared" si="63"/>
        <v>440</v>
      </c>
      <c r="B82" s="726" t="s">
        <v>1474</v>
      </c>
      <c r="F82" s="712" t="s">
        <v>1404</v>
      </c>
      <c r="H82" s="720"/>
      <c r="J82" s="720"/>
      <c r="K82" s="709"/>
      <c r="L82" s="720"/>
      <c r="M82" s="709"/>
      <c r="N82" s="720"/>
      <c r="O82" s="709"/>
      <c r="R82" s="710" t="s">
        <v>1405</v>
      </c>
      <c r="T82" s="709">
        <v>0</v>
      </c>
      <c r="U82" s="709"/>
      <c r="V82" s="709">
        <f t="shared" si="67"/>
        <v>0</v>
      </c>
      <c r="W82" s="709"/>
      <c r="X82" s="709">
        <v>0</v>
      </c>
      <c r="Y82" s="709"/>
      <c r="Z82" s="709">
        <f t="shared" si="68"/>
        <v>0</v>
      </c>
      <c r="AA82" s="709"/>
      <c r="AB82" s="609" t="s">
        <v>1406</v>
      </c>
      <c r="AC82" s="709"/>
      <c r="AD82" s="709">
        <v>0</v>
      </c>
      <c r="AE82" s="709"/>
      <c r="AF82" s="720"/>
      <c r="AG82" s="709"/>
      <c r="AH82" s="709">
        <v>0</v>
      </c>
      <c r="AI82" s="709"/>
      <c r="AJ82" s="609" t="s">
        <v>1407</v>
      </c>
      <c r="AK82" s="709"/>
      <c r="AL82" s="607">
        <f t="shared" si="69"/>
        <v>0</v>
      </c>
      <c r="AM82" s="709"/>
      <c r="AN82" s="607">
        <f t="shared" si="69"/>
        <v>0</v>
      </c>
      <c r="AO82" s="709"/>
      <c r="AP82" s="607">
        <f t="shared" si="69"/>
        <v>0</v>
      </c>
      <c r="AQ82" s="709"/>
      <c r="AR82" s="709">
        <f t="shared" si="64"/>
        <v>0</v>
      </c>
      <c r="AT82" s="709">
        <v>0</v>
      </c>
      <c r="AU82" s="709"/>
      <c r="AV82" s="720"/>
      <c r="AW82" s="709"/>
      <c r="AX82" s="709">
        <v>0</v>
      </c>
      <c r="AY82" s="709"/>
      <c r="AZ82" s="607">
        <f t="shared" si="70"/>
        <v>0</v>
      </c>
      <c r="BA82" s="709"/>
      <c r="BB82" s="607">
        <f t="shared" si="71"/>
        <v>0</v>
      </c>
      <c r="BC82" s="709"/>
      <c r="BD82" s="607">
        <f t="shared" si="72"/>
        <v>0</v>
      </c>
      <c r="BE82" s="709"/>
      <c r="BF82" s="709">
        <f t="shared" si="65"/>
        <v>0</v>
      </c>
      <c r="BG82" s="709"/>
      <c r="BH82" s="709">
        <f t="shared" si="66"/>
        <v>0</v>
      </c>
      <c r="BJ82" s="592">
        <f t="shared" si="62"/>
        <v>440</v>
      </c>
    </row>
    <row r="83" spans="1:62">
      <c r="A83" s="592">
        <f t="shared" si="63"/>
        <v>441</v>
      </c>
      <c r="B83" s="726" t="s">
        <v>1475</v>
      </c>
      <c r="F83" s="712" t="s">
        <v>1404</v>
      </c>
      <c r="H83" s="720"/>
      <c r="J83" s="720"/>
      <c r="K83" s="709"/>
      <c r="L83" s="720"/>
      <c r="M83" s="709"/>
      <c r="N83" s="720"/>
      <c r="O83" s="709"/>
      <c r="R83" s="710" t="s">
        <v>1405</v>
      </c>
      <c r="T83" s="709">
        <v>0</v>
      </c>
      <c r="U83" s="709"/>
      <c r="V83" s="709">
        <f t="shared" si="67"/>
        <v>0</v>
      </c>
      <c r="W83" s="709"/>
      <c r="X83" s="709">
        <v>0</v>
      </c>
      <c r="Y83" s="709"/>
      <c r="Z83" s="709">
        <f t="shared" si="68"/>
        <v>0</v>
      </c>
      <c r="AA83" s="709"/>
      <c r="AB83" s="609" t="s">
        <v>1406</v>
      </c>
      <c r="AC83" s="709"/>
      <c r="AD83" s="709">
        <v>0</v>
      </c>
      <c r="AE83" s="709"/>
      <c r="AF83" s="720"/>
      <c r="AG83" s="709"/>
      <c r="AH83" s="709">
        <v>0</v>
      </c>
      <c r="AI83" s="709"/>
      <c r="AJ83" s="609" t="s">
        <v>1407</v>
      </c>
      <c r="AK83" s="709"/>
      <c r="AL83" s="607">
        <f t="shared" si="69"/>
        <v>0</v>
      </c>
      <c r="AM83" s="709"/>
      <c r="AN83" s="607">
        <f t="shared" si="69"/>
        <v>0</v>
      </c>
      <c r="AO83" s="709"/>
      <c r="AP83" s="607">
        <f t="shared" si="69"/>
        <v>0</v>
      </c>
      <c r="AQ83" s="709"/>
      <c r="AR83" s="709">
        <f t="shared" si="64"/>
        <v>0</v>
      </c>
      <c r="AT83" s="709">
        <v>0</v>
      </c>
      <c r="AU83" s="709"/>
      <c r="AV83" s="720"/>
      <c r="AW83" s="709"/>
      <c r="AX83" s="709">
        <v>0</v>
      </c>
      <c r="AY83" s="709"/>
      <c r="AZ83" s="607">
        <f t="shared" si="70"/>
        <v>0</v>
      </c>
      <c r="BA83" s="709"/>
      <c r="BB83" s="607">
        <f t="shared" si="71"/>
        <v>0</v>
      </c>
      <c r="BC83" s="709"/>
      <c r="BD83" s="607">
        <f t="shared" si="72"/>
        <v>0</v>
      </c>
      <c r="BE83" s="709"/>
      <c r="BF83" s="709">
        <f t="shared" si="65"/>
        <v>0</v>
      </c>
      <c r="BG83" s="709"/>
      <c r="BH83" s="709">
        <f t="shared" si="66"/>
        <v>0</v>
      </c>
      <c r="BJ83" s="592">
        <f t="shared" si="62"/>
        <v>441</v>
      </c>
    </row>
    <row r="84" spans="1:62">
      <c r="A84" s="592">
        <f t="shared" si="63"/>
        <v>442</v>
      </c>
      <c r="B84" s="726" t="s">
        <v>1476</v>
      </c>
      <c r="F84" s="712" t="s">
        <v>1404</v>
      </c>
      <c r="H84" s="720"/>
      <c r="J84" s="720"/>
      <c r="K84" s="709"/>
      <c r="L84" s="720"/>
      <c r="M84" s="709"/>
      <c r="N84" s="720"/>
      <c r="O84" s="709"/>
      <c r="R84" s="710" t="s">
        <v>1405</v>
      </c>
      <c r="T84" s="709">
        <v>0</v>
      </c>
      <c r="U84" s="709"/>
      <c r="V84" s="709">
        <f t="shared" si="67"/>
        <v>0</v>
      </c>
      <c r="W84" s="709"/>
      <c r="X84" s="709">
        <v>0</v>
      </c>
      <c r="Y84" s="709"/>
      <c r="Z84" s="709">
        <f t="shared" si="68"/>
        <v>0</v>
      </c>
      <c r="AA84" s="709"/>
      <c r="AB84" s="609" t="s">
        <v>1406</v>
      </c>
      <c r="AC84" s="709"/>
      <c r="AD84" s="709">
        <v>0</v>
      </c>
      <c r="AE84" s="709"/>
      <c r="AF84" s="720"/>
      <c r="AG84" s="709"/>
      <c r="AH84" s="709">
        <v>0</v>
      </c>
      <c r="AI84" s="709"/>
      <c r="AJ84" s="609" t="s">
        <v>1407</v>
      </c>
      <c r="AK84" s="709"/>
      <c r="AL84" s="607">
        <f t="shared" si="69"/>
        <v>0</v>
      </c>
      <c r="AM84" s="709"/>
      <c r="AN84" s="607">
        <f t="shared" si="69"/>
        <v>0</v>
      </c>
      <c r="AO84" s="709"/>
      <c r="AP84" s="607">
        <f t="shared" si="69"/>
        <v>0</v>
      </c>
      <c r="AQ84" s="709"/>
      <c r="AR84" s="709">
        <f t="shared" si="64"/>
        <v>0</v>
      </c>
      <c r="AT84" s="709">
        <v>0</v>
      </c>
      <c r="AU84" s="709"/>
      <c r="AV84" s="720"/>
      <c r="AW84" s="709"/>
      <c r="AX84" s="709">
        <v>0</v>
      </c>
      <c r="AY84" s="709"/>
      <c r="AZ84" s="607">
        <f t="shared" si="70"/>
        <v>0</v>
      </c>
      <c r="BA84" s="709"/>
      <c r="BB84" s="607">
        <f t="shared" si="71"/>
        <v>0</v>
      </c>
      <c r="BC84" s="709"/>
      <c r="BD84" s="607">
        <f t="shared" si="72"/>
        <v>0</v>
      </c>
      <c r="BE84" s="709"/>
      <c r="BF84" s="709">
        <f t="shared" si="65"/>
        <v>0</v>
      </c>
      <c r="BG84" s="709"/>
      <c r="BH84" s="709">
        <f t="shared" si="66"/>
        <v>0</v>
      </c>
      <c r="BJ84" s="592">
        <f t="shared" si="62"/>
        <v>442</v>
      </c>
    </row>
    <row r="85" spans="1:62">
      <c r="A85" s="592">
        <f t="shared" si="63"/>
        <v>443</v>
      </c>
      <c r="B85" s="726" t="s">
        <v>1477</v>
      </c>
      <c r="F85" s="712" t="s">
        <v>1404</v>
      </c>
      <c r="H85" s="720"/>
      <c r="J85" s="720"/>
      <c r="K85" s="709"/>
      <c r="L85" s="720"/>
      <c r="M85" s="709"/>
      <c r="N85" s="720"/>
      <c r="O85" s="709"/>
      <c r="R85" s="710" t="s">
        <v>1405</v>
      </c>
      <c r="T85" s="709">
        <v>0</v>
      </c>
      <c r="U85" s="709"/>
      <c r="V85" s="709">
        <f t="shared" si="67"/>
        <v>0</v>
      </c>
      <c r="W85" s="709"/>
      <c r="X85" s="709">
        <v>0</v>
      </c>
      <c r="Y85" s="709"/>
      <c r="Z85" s="709">
        <f t="shared" si="68"/>
        <v>0</v>
      </c>
      <c r="AA85" s="709"/>
      <c r="AB85" s="609" t="s">
        <v>1406</v>
      </c>
      <c r="AC85" s="709"/>
      <c r="AD85" s="709">
        <v>0</v>
      </c>
      <c r="AE85" s="709"/>
      <c r="AF85" s="720"/>
      <c r="AG85" s="709"/>
      <c r="AH85" s="709">
        <v>0</v>
      </c>
      <c r="AI85" s="709"/>
      <c r="AJ85" s="609" t="s">
        <v>1407</v>
      </c>
      <c r="AK85" s="709"/>
      <c r="AL85" s="607">
        <f t="shared" si="69"/>
        <v>0</v>
      </c>
      <c r="AM85" s="709"/>
      <c r="AN85" s="607">
        <f t="shared" si="69"/>
        <v>0</v>
      </c>
      <c r="AO85" s="709"/>
      <c r="AP85" s="607">
        <f t="shared" si="69"/>
        <v>0</v>
      </c>
      <c r="AQ85" s="709"/>
      <c r="AR85" s="709">
        <f t="shared" si="64"/>
        <v>0</v>
      </c>
      <c r="AT85" s="709">
        <v>0</v>
      </c>
      <c r="AU85" s="709"/>
      <c r="AV85" s="720"/>
      <c r="AW85" s="709"/>
      <c r="AX85" s="709">
        <v>0</v>
      </c>
      <c r="AY85" s="709"/>
      <c r="AZ85" s="607">
        <f t="shared" si="70"/>
        <v>0</v>
      </c>
      <c r="BA85" s="709"/>
      <c r="BB85" s="607">
        <f t="shared" si="71"/>
        <v>0</v>
      </c>
      <c r="BC85" s="709"/>
      <c r="BD85" s="607">
        <f t="shared" si="72"/>
        <v>0</v>
      </c>
      <c r="BE85" s="709"/>
      <c r="BF85" s="709">
        <f t="shared" si="65"/>
        <v>0</v>
      </c>
      <c r="BG85" s="709"/>
      <c r="BH85" s="709">
        <f t="shared" si="66"/>
        <v>0</v>
      </c>
      <c r="BJ85" s="592">
        <f t="shared" si="62"/>
        <v>443</v>
      </c>
    </row>
    <row r="86" spans="1:62">
      <c r="A86" s="592">
        <f t="shared" si="63"/>
        <v>444</v>
      </c>
      <c r="B86" s="726" t="s">
        <v>1478</v>
      </c>
      <c r="F86" s="712" t="s">
        <v>1404</v>
      </c>
      <c r="H86" s="720"/>
      <c r="J86" s="720"/>
      <c r="K86" s="709"/>
      <c r="L86" s="720"/>
      <c r="M86" s="709"/>
      <c r="N86" s="720"/>
      <c r="O86" s="709"/>
      <c r="R86" s="710" t="s">
        <v>1405</v>
      </c>
      <c r="T86" s="709">
        <v>0</v>
      </c>
      <c r="U86" s="709"/>
      <c r="V86" s="709">
        <f t="shared" si="67"/>
        <v>0</v>
      </c>
      <c r="W86" s="709"/>
      <c r="X86" s="709">
        <v>0</v>
      </c>
      <c r="Y86" s="709"/>
      <c r="Z86" s="709">
        <f t="shared" si="68"/>
        <v>0</v>
      </c>
      <c r="AA86" s="709"/>
      <c r="AB86" s="609" t="s">
        <v>1406</v>
      </c>
      <c r="AC86" s="709"/>
      <c r="AD86" s="709">
        <v>0</v>
      </c>
      <c r="AE86" s="709"/>
      <c r="AF86" s="720"/>
      <c r="AG86" s="709"/>
      <c r="AH86" s="709">
        <v>0</v>
      </c>
      <c r="AI86" s="709"/>
      <c r="AJ86" s="609" t="s">
        <v>1407</v>
      </c>
      <c r="AK86" s="709"/>
      <c r="AL86" s="607">
        <f t="shared" si="69"/>
        <v>0</v>
      </c>
      <c r="AM86" s="709"/>
      <c r="AN86" s="607">
        <f t="shared" si="69"/>
        <v>0</v>
      </c>
      <c r="AO86" s="709"/>
      <c r="AP86" s="607">
        <f t="shared" si="69"/>
        <v>0</v>
      </c>
      <c r="AQ86" s="709"/>
      <c r="AR86" s="709">
        <f t="shared" si="64"/>
        <v>0</v>
      </c>
      <c r="AT86" s="709">
        <v>0</v>
      </c>
      <c r="AU86" s="709"/>
      <c r="AV86" s="720"/>
      <c r="AW86" s="709"/>
      <c r="AX86" s="709">
        <v>0</v>
      </c>
      <c r="AY86" s="709"/>
      <c r="AZ86" s="607">
        <f t="shared" si="70"/>
        <v>0</v>
      </c>
      <c r="BA86" s="709"/>
      <c r="BB86" s="607">
        <f t="shared" si="71"/>
        <v>0</v>
      </c>
      <c r="BC86" s="709"/>
      <c r="BD86" s="607">
        <f t="shared" si="72"/>
        <v>0</v>
      </c>
      <c r="BE86" s="709"/>
      <c r="BF86" s="709">
        <f t="shared" si="65"/>
        <v>0</v>
      </c>
      <c r="BG86" s="709"/>
      <c r="BH86" s="709">
        <f t="shared" si="66"/>
        <v>0</v>
      </c>
      <c r="BJ86" s="592">
        <f t="shared" si="62"/>
        <v>444</v>
      </c>
    </row>
    <row r="87" spans="1:62">
      <c r="A87" s="592">
        <f t="shared" si="63"/>
        <v>445</v>
      </c>
      <c r="B87" s="726" t="s">
        <v>1479</v>
      </c>
      <c r="F87" s="712" t="s">
        <v>1404</v>
      </c>
      <c r="H87" s="720"/>
      <c r="J87" s="720"/>
      <c r="K87" s="709"/>
      <c r="L87" s="720"/>
      <c r="M87" s="709"/>
      <c r="N87" s="720"/>
      <c r="O87" s="709"/>
      <c r="R87" s="710" t="s">
        <v>1405</v>
      </c>
      <c r="T87" s="709">
        <v>0</v>
      </c>
      <c r="U87" s="709"/>
      <c r="V87" s="709">
        <f t="shared" si="67"/>
        <v>0</v>
      </c>
      <c r="W87" s="709"/>
      <c r="X87" s="709">
        <v>0</v>
      </c>
      <c r="Y87" s="709"/>
      <c r="Z87" s="709">
        <f t="shared" si="68"/>
        <v>0</v>
      </c>
      <c r="AA87" s="709"/>
      <c r="AB87" s="609" t="s">
        <v>1406</v>
      </c>
      <c r="AC87" s="709"/>
      <c r="AD87" s="709">
        <v>0</v>
      </c>
      <c r="AE87" s="709"/>
      <c r="AF87" s="720"/>
      <c r="AG87" s="709"/>
      <c r="AH87" s="709">
        <v>0</v>
      </c>
      <c r="AI87" s="709"/>
      <c r="AJ87" s="609" t="s">
        <v>1407</v>
      </c>
      <c r="AK87" s="709"/>
      <c r="AL87" s="607">
        <f t="shared" si="69"/>
        <v>0</v>
      </c>
      <c r="AM87" s="709"/>
      <c r="AN87" s="607">
        <f t="shared" si="69"/>
        <v>0</v>
      </c>
      <c r="AO87" s="709"/>
      <c r="AP87" s="607">
        <f t="shared" si="69"/>
        <v>0</v>
      </c>
      <c r="AQ87" s="709"/>
      <c r="AR87" s="709">
        <f t="shared" si="64"/>
        <v>0</v>
      </c>
      <c r="AT87" s="709">
        <v>0</v>
      </c>
      <c r="AU87" s="709"/>
      <c r="AV87" s="720"/>
      <c r="AW87" s="709"/>
      <c r="AX87" s="709">
        <v>0</v>
      </c>
      <c r="AY87" s="709"/>
      <c r="AZ87" s="607">
        <f t="shared" si="70"/>
        <v>0</v>
      </c>
      <c r="BA87" s="709"/>
      <c r="BB87" s="607">
        <f t="shared" si="71"/>
        <v>0</v>
      </c>
      <c r="BC87" s="709"/>
      <c r="BD87" s="607">
        <f t="shared" si="72"/>
        <v>0</v>
      </c>
      <c r="BE87" s="709"/>
      <c r="BF87" s="709">
        <f t="shared" si="65"/>
        <v>0</v>
      </c>
      <c r="BG87" s="709"/>
      <c r="BH87" s="709">
        <f t="shared" si="66"/>
        <v>0</v>
      </c>
      <c r="BJ87" s="592">
        <f t="shared" si="62"/>
        <v>445</v>
      </c>
    </row>
    <row r="88" spans="1:62">
      <c r="A88" s="592">
        <f t="shared" si="63"/>
        <v>446</v>
      </c>
      <c r="B88" s="726" t="s">
        <v>1480</v>
      </c>
      <c r="F88" s="712" t="s">
        <v>1404</v>
      </c>
      <c r="H88" s="720"/>
      <c r="J88" s="720"/>
      <c r="K88" s="709"/>
      <c r="L88" s="720"/>
      <c r="M88" s="709"/>
      <c r="N88" s="720"/>
      <c r="O88" s="709"/>
      <c r="R88" s="710" t="s">
        <v>1405</v>
      </c>
      <c r="T88" s="709">
        <v>0</v>
      </c>
      <c r="U88" s="709"/>
      <c r="V88" s="709">
        <f t="shared" si="67"/>
        <v>0</v>
      </c>
      <c r="W88" s="709"/>
      <c r="X88" s="709">
        <v>0</v>
      </c>
      <c r="Y88" s="709"/>
      <c r="Z88" s="709">
        <f t="shared" si="68"/>
        <v>0</v>
      </c>
      <c r="AA88" s="709"/>
      <c r="AB88" s="609" t="s">
        <v>1406</v>
      </c>
      <c r="AC88" s="709"/>
      <c r="AD88" s="709">
        <v>0</v>
      </c>
      <c r="AE88" s="709"/>
      <c r="AF88" s="720"/>
      <c r="AG88" s="709"/>
      <c r="AH88" s="709">
        <v>0</v>
      </c>
      <c r="AI88" s="709"/>
      <c r="AJ88" s="609" t="s">
        <v>1407</v>
      </c>
      <c r="AK88" s="709"/>
      <c r="AL88" s="607">
        <f t="shared" si="69"/>
        <v>0</v>
      </c>
      <c r="AM88" s="709"/>
      <c r="AN88" s="607">
        <f t="shared" si="69"/>
        <v>0</v>
      </c>
      <c r="AO88" s="709"/>
      <c r="AP88" s="607">
        <f t="shared" si="69"/>
        <v>0</v>
      </c>
      <c r="AQ88" s="709"/>
      <c r="AR88" s="709">
        <f t="shared" si="64"/>
        <v>0</v>
      </c>
      <c r="AT88" s="709">
        <v>0</v>
      </c>
      <c r="AU88" s="709"/>
      <c r="AV88" s="720"/>
      <c r="AW88" s="709"/>
      <c r="AX88" s="709">
        <v>0</v>
      </c>
      <c r="AY88" s="709"/>
      <c r="AZ88" s="607">
        <f t="shared" si="70"/>
        <v>0</v>
      </c>
      <c r="BA88" s="709"/>
      <c r="BB88" s="607">
        <f t="shared" si="71"/>
        <v>0</v>
      </c>
      <c r="BC88" s="709"/>
      <c r="BD88" s="607">
        <f t="shared" si="72"/>
        <v>0</v>
      </c>
      <c r="BE88" s="709"/>
      <c r="BF88" s="709">
        <f t="shared" si="65"/>
        <v>0</v>
      </c>
      <c r="BG88" s="709"/>
      <c r="BH88" s="709">
        <f t="shared" si="66"/>
        <v>0</v>
      </c>
      <c r="BJ88" s="592">
        <f t="shared" si="62"/>
        <v>446</v>
      </c>
    </row>
    <row r="89" spans="1:62">
      <c r="A89" s="592">
        <f t="shared" si="63"/>
        <v>447</v>
      </c>
      <c r="B89" s="726" t="s">
        <v>1481</v>
      </c>
      <c r="F89" s="712" t="s">
        <v>1404</v>
      </c>
      <c r="H89" s="720"/>
      <c r="J89" s="720"/>
      <c r="K89" s="709"/>
      <c r="L89" s="720"/>
      <c r="M89" s="709"/>
      <c r="N89" s="720"/>
      <c r="O89" s="709"/>
      <c r="R89" s="710" t="s">
        <v>1405</v>
      </c>
      <c r="T89" s="709">
        <v>0</v>
      </c>
      <c r="U89" s="709"/>
      <c r="V89" s="709">
        <f t="shared" si="67"/>
        <v>0</v>
      </c>
      <c r="W89" s="709"/>
      <c r="X89" s="709">
        <v>0</v>
      </c>
      <c r="Y89" s="709"/>
      <c r="Z89" s="709">
        <f t="shared" si="68"/>
        <v>0</v>
      </c>
      <c r="AA89" s="709"/>
      <c r="AB89" s="609" t="s">
        <v>1406</v>
      </c>
      <c r="AC89" s="709"/>
      <c r="AD89" s="709">
        <v>0</v>
      </c>
      <c r="AE89" s="709"/>
      <c r="AF89" s="720"/>
      <c r="AG89" s="709"/>
      <c r="AH89" s="709">
        <v>0</v>
      </c>
      <c r="AI89" s="709"/>
      <c r="AJ89" s="609" t="s">
        <v>1407</v>
      </c>
      <c r="AK89" s="709"/>
      <c r="AL89" s="607">
        <f t="shared" si="69"/>
        <v>0</v>
      </c>
      <c r="AM89" s="709"/>
      <c r="AN89" s="607">
        <f t="shared" si="69"/>
        <v>0</v>
      </c>
      <c r="AO89" s="709"/>
      <c r="AP89" s="607">
        <f t="shared" si="69"/>
        <v>0</v>
      </c>
      <c r="AQ89" s="709"/>
      <c r="AR89" s="709">
        <f t="shared" si="64"/>
        <v>0</v>
      </c>
      <c r="AT89" s="709">
        <v>0</v>
      </c>
      <c r="AU89" s="709"/>
      <c r="AV89" s="720"/>
      <c r="AW89" s="709"/>
      <c r="AX89" s="709">
        <v>0</v>
      </c>
      <c r="AY89" s="709"/>
      <c r="AZ89" s="607">
        <f t="shared" si="70"/>
        <v>0</v>
      </c>
      <c r="BA89" s="709"/>
      <c r="BB89" s="607">
        <f t="shared" si="71"/>
        <v>0</v>
      </c>
      <c r="BC89" s="709"/>
      <c r="BD89" s="607">
        <f t="shared" si="72"/>
        <v>0</v>
      </c>
      <c r="BE89" s="709"/>
      <c r="BF89" s="709">
        <f t="shared" si="65"/>
        <v>0</v>
      </c>
      <c r="BG89" s="709"/>
      <c r="BH89" s="709">
        <f t="shared" si="66"/>
        <v>0</v>
      </c>
      <c r="BJ89" s="592">
        <f t="shared" si="62"/>
        <v>447</v>
      </c>
    </row>
    <row r="90" spans="1:62">
      <c r="A90" s="592">
        <f t="shared" si="63"/>
        <v>448</v>
      </c>
      <c r="B90" s="726" t="s">
        <v>1482</v>
      </c>
      <c r="F90" s="712" t="s">
        <v>1404</v>
      </c>
      <c r="H90" s="720"/>
      <c r="J90" s="720"/>
      <c r="K90" s="709"/>
      <c r="L90" s="720"/>
      <c r="M90" s="709"/>
      <c r="N90" s="720"/>
      <c r="O90" s="709"/>
      <c r="R90" s="710" t="s">
        <v>1405</v>
      </c>
      <c r="T90" s="709">
        <v>0</v>
      </c>
      <c r="U90" s="709"/>
      <c r="V90" s="709">
        <f t="shared" si="67"/>
        <v>0</v>
      </c>
      <c r="W90" s="709"/>
      <c r="X90" s="709">
        <v>0</v>
      </c>
      <c r="Y90" s="709"/>
      <c r="Z90" s="709">
        <f t="shared" si="68"/>
        <v>0</v>
      </c>
      <c r="AA90" s="709"/>
      <c r="AB90" s="609" t="s">
        <v>1406</v>
      </c>
      <c r="AC90" s="709"/>
      <c r="AD90" s="709">
        <v>0</v>
      </c>
      <c r="AE90" s="709"/>
      <c r="AF90" s="720"/>
      <c r="AG90" s="709"/>
      <c r="AH90" s="709">
        <v>0</v>
      </c>
      <c r="AI90" s="709"/>
      <c r="AJ90" s="609" t="s">
        <v>1407</v>
      </c>
      <c r="AK90" s="709"/>
      <c r="AL90" s="607">
        <f t="shared" si="69"/>
        <v>0</v>
      </c>
      <c r="AM90" s="709"/>
      <c r="AN90" s="607">
        <f t="shared" si="69"/>
        <v>0</v>
      </c>
      <c r="AO90" s="709"/>
      <c r="AP90" s="607">
        <f t="shared" si="69"/>
        <v>0</v>
      </c>
      <c r="AQ90" s="709"/>
      <c r="AR90" s="709">
        <f t="shared" si="64"/>
        <v>0</v>
      </c>
      <c r="AT90" s="709">
        <v>0</v>
      </c>
      <c r="AU90" s="709"/>
      <c r="AV90" s="720"/>
      <c r="AW90" s="709"/>
      <c r="AX90" s="709">
        <v>0</v>
      </c>
      <c r="AY90" s="709"/>
      <c r="AZ90" s="607">
        <f t="shared" si="70"/>
        <v>0</v>
      </c>
      <c r="BA90" s="709"/>
      <c r="BB90" s="607">
        <f t="shared" si="71"/>
        <v>0</v>
      </c>
      <c r="BC90" s="709"/>
      <c r="BD90" s="607">
        <f t="shared" si="72"/>
        <v>0</v>
      </c>
      <c r="BE90" s="709"/>
      <c r="BF90" s="709">
        <f t="shared" si="65"/>
        <v>0</v>
      </c>
      <c r="BG90" s="709"/>
      <c r="BH90" s="709">
        <f t="shared" si="66"/>
        <v>0</v>
      </c>
      <c r="BJ90" s="592">
        <f t="shared" si="62"/>
        <v>448</v>
      </c>
    </row>
    <row r="91" spans="1:62">
      <c r="A91" s="592">
        <f t="shared" si="63"/>
        <v>449</v>
      </c>
      <c r="B91" s="726" t="s">
        <v>1483</v>
      </c>
      <c r="F91" s="712" t="s">
        <v>1404</v>
      </c>
      <c r="H91" s="720"/>
      <c r="J91" s="720"/>
      <c r="K91" s="709"/>
      <c r="L91" s="720"/>
      <c r="M91" s="709"/>
      <c r="N91" s="720"/>
      <c r="O91" s="709"/>
      <c r="R91" s="710" t="s">
        <v>1405</v>
      </c>
      <c r="T91" s="709">
        <v>0</v>
      </c>
      <c r="U91" s="709"/>
      <c r="V91" s="709">
        <f t="shared" si="67"/>
        <v>0</v>
      </c>
      <c r="W91" s="709"/>
      <c r="X91" s="709">
        <v>0</v>
      </c>
      <c r="Y91" s="709"/>
      <c r="Z91" s="709">
        <f t="shared" si="68"/>
        <v>0</v>
      </c>
      <c r="AA91" s="709"/>
      <c r="AB91" s="609" t="s">
        <v>1406</v>
      </c>
      <c r="AC91" s="709"/>
      <c r="AD91" s="709">
        <v>0</v>
      </c>
      <c r="AE91" s="709"/>
      <c r="AF91" s="720"/>
      <c r="AG91" s="709"/>
      <c r="AH91" s="709">
        <v>0</v>
      </c>
      <c r="AI91" s="709"/>
      <c r="AJ91" s="609" t="s">
        <v>1407</v>
      </c>
      <c r="AK91" s="709"/>
      <c r="AL91" s="607">
        <f t="shared" si="69"/>
        <v>0</v>
      </c>
      <c r="AM91" s="709"/>
      <c r="AN91" s="607">
        <f t="shared" si="69"/>
        <v>0</v>
      </c>
      <c r="AO91" s="709"/>
      <c r="AP91" s="607">
        <f t="shared" si="69"/>
        <v>0</v>
      </c>
      <c r="AQ91" s="709"/>
      <c r="AR91" s="709">
        <f t="shared" si="64"/>
        <v>0</v>
      </c>
      <c r="AT91" s="709">
        <v>0</v>
      </c>
      <c r="AU91" s="709"/>
      <c r="AV91" s="720"/>
      <c r="AW91" s="709"/>
      <c r="AX91" s="709">
        <v>0</v>
      </c>
      <c r="AY91" s="709"/>
      <c r="AZ91" s="607">
        <f t="shared" si="70"/>
        <v>0</v>
      </c>
      <c r="BA91" s="709"/>
      <c r="BB91" s="607">
        <f t="shared" si="71"/>
        <v>0</v>
      </c>
      <c r="BC91" s="709"/>
      <c r="BD91" s="607">
        <f t="shared" si="72"/>
        <v>0</v>
      </c>
      <c r="BE91" s="709"/>
      <c r="BF91" s="709">
        <f t="shared" si="65"/>
        <v>0</v>
      </c>
      <c r="BG91" s="709"/>
      <c r="BH91" s="709">
        <f t="shared" si="66"/>
        <v>0</v>
      </c>
      <c r="BJ91" s="592">
        <f t="shared" si="62"/>
        <v>449</v>
      </c>
    </row>
    <row r="92" spans="1:62">
      <c r="A92" s="592">
        <f t="shared" si="63"/>
        <v>450</v>
      </c>
      <c r="B92" s="726" t="s">
        <v>1484</v>
      </c>
      <c r="F92" s="712" t="s">
        <v>1404</v>
      </c>
      <c r="H92" s="720"/>
      <c r="J92" s="720"/>
      <c r="K92" s="709"/>
      <c r="L92" s="720"/>
      <c r="M92" s="709"/>
      <c r="N92" s="720"/>
      <c r="O92" s="709"/>
      <c r="R92" s="710" t="s">
        <v>1405</v>
      </c>
      <c r="T92" s="709">
        <v>0</v>
      </c>
      <c r="U92" s="709"/>
      <c r="V92" s="709">
        <f t="shared" si="67"/>
        <v>0</v>
      </c>
      <c r="W92" s="709"/>
      <c r="X92" s="709">
        <v>0</v>
      </c>
      <c r="Y92" s="709"/>
      <c r="Z92" s="709">
        <f t="shared" si="68"/>
        <v>0</v>
      </c>
      <c r="AA92" s="709"/>
      <c r="AB92" s="609" t="s">
        <v>1406</v>
      </c>
      <c r="AC92" s="709"/>
      <c r="AD92" s="709">
        <v>0</v>
      </c>
      <c r="AE92" s="709"/>
      <c r="AF92" s="720"/>
      <c r="AG92" s="709"/>
      <c r="AH92" s="709">
        <v>0</v>
      </c>
      <c r="AI92" s="709"/>
      <c r="AJ92" s="609" t="s">
        <v>1407</v>
      </c>
      <c r="AK92" s="709"/>
      <c r="AL92" s="607">
        <f t="shared" si="69"/>
        <v>0</v>
      </c>
      <c r="AM92" s="709"/>
      <c r="AN92" s="607">
        <f t="shared" si="69"/>
        <v>0</v>
      </c>
      <c r="AO92" s="709"/>
      <c r="AP92" s="607">
        <f t="shared" si="69"/>
        <v>0</v>
      </c>
      <c r="AQ92" s="709"/>
      <c r="AR92" s="709">
        <f t="shared" si="64"/>
        <v>0</v>
      </c>
      <c r="AT92" s="709">
        <v>0</v>
      </c>
      <c r="AU92" s="709"/>
      <c r="AV92" s="720"/>
      <c r="AW92" s="709"/>
      <c r="AX92" s="709">
        <v>0</v>
      </c>
      <c r="AY92" s="709"/>
      <c r="AZ92" s="607">
        <f t="shared" si="70"/>
        <v>0</v>
      </c>
      <c r="BA92" s="709"/>
      <c r="BB92" s="607">
        <f t="shared" si="71"/>
        <v>0</v>
      </c>
      <c r="BC92" s="709"/>
      <c r="BD92" s="607">
        <f t="shared" si="72"/>
        <v>0</v>
      </c>
      <c r="BE92" s="709"/>
      <c r="BF92" s="709">
        <f t="shared" si="65"/>
        <v>0</v>
      </c>
      <c r="BG92" s="709"/>
      <c r="BH92" s="709">
        <f t="shared" si="66"/>
        <v>0</v>
      </c>
      <c r="BJ92" s="592">
        <f t="shared" si="62"/>
        <v>450</v>
      </c>
    </row>
    <row r="93" spans="1:62">
      <c r="A93" s="592">
        <f t="shared" si="63"/>
        <v>451</v>
      </c>
      <c r="B93" s="726" t="s">
        <v>1485</v>
      </c>
      <c r="F93" s="712" t="s">
        <v>1404</v>
      </c>
      <c r="H93" s="720"/>
      <c r="J93" s="720"/>
      <c r="K93" s="709"/>
      <c r="L93" s="720"/>
      <c r="M93" s="709"/>
      <c r="N93" s="720"/>
      <c r="O93" s="709"/>
      <c r="R93" s="710" t="s">
        <v>1405</v>
      </c>
      <c r="T93" s="709">
        <v>0</v>
      </c>
      <c r="U93" s="709"/>
      <c r="V93" s="709">
        <f t="shared" si="67"/>
        <v>0</v>
      </c>
      <c r="W93" s="709"/>
      <c r="X93" s="709">
        <v>0</v>
      </c>
      <c r="Y93" s="709"/>
      <c r="Z93" s="709">
        <f t="shared" si="68"/>
        <v>0</v>
      </c>
      <c r="AA93" s="709"/>
      <c r="AB93" s="609" t="s">
        <v>1406</v>
      </c>
      <c r="AC93" s="709"/>
      <c r="AD93" s="709">
        <v>0</v>
      </c>
      <c r="AE93" s="709"/>
      <c r="AF93" s="720"/>
      <c r="AG93" s="709"/>
      <c r="AH93" s="709">
        <v>0</v>
      </c>
      <c r="AI93" s="709"/>
      <c r="AJ93" s="609" t="s">
        <v>1407</v>
      </c>
      <c r="AK93" s="709"/>
      <c r="AL93" s="607">
        <f t="shared" si="69"/>
        <v>0</v>
      </c>
      <c r="AM93" s="709"/>
      <c r="AN93" s="607">
        <f t="shared" si="69"/>
        <v>0</v>
      </c>
      <c r="AO93" s="709"/>
      <c r="AP93" s="607">
        <f t="shared" si="69"/>
        <v>0</v>
      </c>
      <c r="AQ93" s="709"/>
      <c r="AR93" s="709">
        <f t="shared" si="64"/>
        <v>0</v>
      </c>
      <c r="AT93" s="709">
        <v>0</v>
      </c>
      <c r="AU93" s="709"/>
      <c r="AV93" s="720"/>
      <c r="AW93" s="709"/>
      <c r="AX93" s="709">
        <v>0</v>
      </c>
      <c r="AY93" s="709"/>
      <c r="AZ93" s="607">
        <f t="shared" si="70"/>
        <v>0</v>
      </c>
      <c r="BA93" s="709"/>
      <c r="BB93" s="607">
        <f t="shared" si="71"/>
        <v>0</v>
      </c>
      <c r="BC93" s="709"/>
      <c r="BD93" s="607">
        <f t="shared" si="72"/>
        <v>0</v>
      </c>
      <c r="BE93" s="709"/>
      <c r="BF93" s="709">
        <f t="shared" si="65"/>
        <v>0</v>
      </c>
      <c r="BG93" s="709"/>
      <c r="BH93" s="709">
        <f t="shared" si="66"/>
        <v>0</v>
      </c>
      <c r="BJ93" s="592">
        <f t="shared" si="62"/>
        <v>451</v>
      </c>
    </row>
    <row r="94" spans="1:62">
      <c r="A94" s="592">
        <f t="shared" si="63"/>
        <v>452</v>
      </c>
      <c r="B94" s="726" t="s">
        <v>1486</v>
      </c>
      <c r="F94" s="712" t="s">
        <v>1404</v>
      </c>
      <c r="H94" s="720"/>
      <c r="J94" s="720"/>
      <c r="K94" s="709"/>
      <c r="L94" s="720"/>
      <c r="M94" s="709"/>
      <c r="N94" s="720"/>
      <c r="O94" s="709"/>
      <c r="R94" s="710" t="s">
        <v>1405</v>
      </c>
      <c r="T94" s="709">
        <v>0</v>
      </c>
      <c r="U94" s="709"/>
      <c r="V94" s="709">
        <f t="shared" si="67"/>
        <v>0</v>
      </c>
      <c r="W94" s="709"/>
      <c r="X94" s="709">
        <v>0</v>
      </c>
      <c r="Y94" s="709"/>
      <c r="Z94" s="709">
        <f t="shared" si="68"/>
        <v>0</v>
      </c>
      <c r="AA94" s="709"/>
      <c r="AB94" s="609" t="s">
        <v>1406</v>
      </c>
      <c r="AC94" s="709"/>
      <c r="AD94" s="709">
        <v>0</v>
      </c>
      <c r="AE94" s="709"/>
      <c r="AF94" s="720"/>
      <c r="AG94" s="709"/>
      <c r="AH94" s="709">
        <v>0</v>
      </c>
      <c r="AI94" s="709"/>
      <c r="AJ94" s="609" t="s">
        <v>1407</v>
      </c>
      <c r="AK94" s="709"/>
      <c r="AL94" s="607">
        <f t="shared" si="69"/>
        <v>0</v>
      </c>
      <c r="AM94" s="709"/>
      <c r="AN94" s="607">
        <f t="shared" si="69"/>
        <v>0</v>
      </c>
      <c r="AO94" s="709"/>
      <c r="AP94" s="607">
        <f t="shared" si="69"/>
        <v>0</v>
      </c>
      <c r="AQ94" s="709"/>
      <c r="AR94" s="709">
        <f t="shared" si="64"/>
        <v>0</v>
      </c>
      <c r="AT94" s="709">
        <v>0</v>
      </c>
      <c r="AU94" s="709"/>
      <c r="AV94" s="720"/>
      <c r="AW94" s="709"/>
      <c r="AX94" s="709">
        <v>0</v>
      </c>
      <c r="AY94" s="709"/>
      <c r="AZ94" s="607">
        <f t="shared" si="70"/>
        <v>0</v>
      </c>
      <c r="BA94" s="709"/>
      <c r="BB94" s="607">
        <f t="shared" si="71"/>
        <v>0</v>
      </c>
      <c r="BC94" s="709"/>
      <c r="BD94" s="607">
        <f t="shared" si="72"/>
        <v>0</v>
      </c>
      <c r="BE94" s="709"/>
      <c r="BF94" s="709">
        <f t="shared" si="65"/>
        <v>0</v>
      </c>
      <c r="BG94" s="709"/>
      <c r="BH94" s="709">
        <f t="shared" si="66"/>
        <v>0</v>
      </c>
      <c r="BJ94" s="592">
        <f t="shared" si="62"/>
        <v>452</v>
      </c>
    </row>
    <row r="95" spans="1:62">
      <c r="A95" s="592">
        <f t="shared" si="63"/>
        <v>453</v>
      </c>
      <c r="B95" s="726" t="s">
        <v>1487</v>
      </c>
      <c r="F95" s="712" t="s">
        <v>1404</v>
      </c>
      <c r="H95" s="720"/>
      <c r="J95" s="720"/>
      <c r="K95" s="709"/>
      <c r="L95" s="720"/>
      <c r="M95" s="709"/>
      <c r="N95" s="720"/>
      <c r="O95" s="709"/>
      <c r="R95" s="710" t="s">
        <v>1405</v>
      </c>
      <c r="T95" s="709">
        <v>0</v>
      </c>
      <c r="U95" s="709"/>
      <c r="V95" s="709">
        <f t="shared" si="67"/>
        <v>0</v>
      </c>
      <c r="W95" s="709"/>
      <c r="X95" s="709">
        <v>0</v>
      </c>
      <c r="Y95" s="709"/>
      <c r="Z95" s="709">
        <f t="shared" si="68"/>
        <v>0</v>
      </c>
      <c r="AA95" s="709"/>
      <c r="AB95" s="609" t="s">
        <v>1406</v>
      </c>
      <c r="AC95" s="709"/>
      <c r="AD95" s="709">
        <v>0</v>
      </c>
      <c r="AE95" s="709"/>
      <c r="AF95" s="720"/>
      <c r="AG95" s="709"/>
      <c r="AH95" s="709">
        <v>0</v>
      </c>
      <c r="AI95" s="709"/>
      <c r="AJ95" s="609" t="s">
        <v>1407</v>
      </c>
      <c r="AK95" s="709"/>
      <c r="AL95" s="607">
        <f t="shared" si="69"/>
        <v>0</v>
      </c>
      <c r="AM95" s="709"/>
      <c r="AN95" s="607">
        <f t="shared" si="69"/>
        <v>0</v>
      </c>
      <c r="AO95" s="709"/>
      <c r="AP95" s="607">
        <f t="shared" si="69"/>
        <v>0</v>
      </c>
      <c r="AQ95" s="709"/>
      <c r="AR95" s="709">
        <f t="shared" si="64"/>
        <v>0</v>
      </c>
      <c r="AT95" s="709">
        <v>0</v>
      </c>
      <c r="AU95" s="709"/>
      <c r="AV95" s="720"/>
      <c r="AW95" s="709"/>
      <c r="AX95" s="709">
        <v>0</v>
      </c>
      <c r="AY95" s="709"/>
      <c r="AZ95" s="607">
        <f t="shared" si="70"/>
        <v>0</v>
      </c>
      <c r="BA95" s="709"/>
      <c r="BB95" s="607">
        <f t="shared" si="71"/>
        <v>0</v>
      </c>
      <c r="BC95" s="709"/>
      <c r="BD95" s="607">
        <f t="shared" si="72"/>
        <v>0</v>
      </c>
      <c r="BE95" s="709"/>
      <c r="BF95" s="709">
        <f t="shared" si="65"/>
        <v>0</v>
      </c>
      <c r="BG95" s="709"/>
      <c r="BH95" s="709">
        <f t="shared" si="66"/>
        <v>0</v>
      </c>
      <c r="BJ95" s="592">
        <f t="shared" si="62"/>
        <v>453</v>
      </c>
    </row>
    <row r="96" spans="1:62">
      <c r="A96" s="592">
        <f t="shared" si="63"/>
        <v>454</v>
      </c>
      <c r="B96" s="726" t="s">
        <v>1488</v>
      </c>
      <c r="F96" s="712" t="s">
        <v>1404</v>
      </c>
      <c r="H96" s="720"/>
      <c r="J96" s="720"/>
      <c r="K96" s="709"/>
      <c r="L96" s="720"/>
      <c r="M96" s="709"/>
      <c r="N96" s="720"/>
      <c r="O96" s="709"/>
      <c r="R96" s="710" t="s">
        <v>1405</v>
      </c>
      <c r="T96" s="709">
        <v>0</v>
      </c>
      <c r="U96" s="709"/>
      <c r="V96" s="709">
        <f t="shared" si="67"/>
        <v>0</v>
      </c>
      <c r="W96" s="709"/>
      <c r="X96" s="709">
        <v>0</v>
      </c>
      <c r="Y96" s="709"/>
      <c r="Z96" s="709">
        <f t="shared" si="68"/>
        <v>0</v>
      </c>
      <c r="AA96" s="709"/>
      <c r="AB96" s="609" t="s">
        <v>1406</v>
      </c>
      <c r="AC96" s="709"/>
      <c r="AD96" s="709">
        <v>0</v>
      </c>
      <c r="AE96" s="709"/>
      <c r="AF96" s="720"/>
      <c r="AG96" s="709"/>
      <c r="AH96" s="709">
        <v>0</v>
      </c>
      <c r="AI96" s="709"/>
      <c r="AJ96" s="609" t="s">
        <v>1407</v>
      </c>
      <c r="AK96" s="709"/>
      <c r="AL96" s="607">
        <f t="shared" si="69"/>
        <v>0</v>
      </c>
      <c r="AM96" s="709"/>
      <c r="AN96" s="607">
        <f t="shared" si="69"/>
        <v>0</v>
      </c>
      <c r="AO96" s="709"/>
      <c r="AP96" s="607">
        <f t="shared" si="69"/>
        <v>0</v>
      </c>
      <c r="AQ96" s="709"/>
      <c r="AR96" s="709">
        <f t="shared" si="64"/>
        <v>0</v>
      </c>
      <c r="AT96" s="709">
        <v>0</v>
      </c>
      <c r="AU96" s="709"/>
      <c r="AV96" s="720"/>
      <c r="AW96" s="709"/>
      <c r="AX96" s="709">
        <v>0</v>
      </c>
      <c r="AY96" s="709"/>
      <c r="AZ96" s="607">
        <f t="shared" si="70"/>
        <v>0</v>
      </c>
      <c r="BA96" s="709"/>
      <c r="BB96" s="607">
        <f t="shared" si="71"/>
        <v>0</v>
      </c>
      <c r="BC96" s="709"/>
      <c r="BD96" s="607">
        <f t="shared" si="72"/>
        <v>0</v>
      </c>
      <c r="BE96" s="709"/>
      <c r="BF96" s="709">
        <f t="shared" si="65"/>
        <v>0</v>
      </c>
      <c r="BG96" s="709"/>
      <c r="BH96" s="709">
        <f t="shared" si="66"/>
        <v>0</v>
      </c>
      <c r="BJ96" s="592">
        <f t="shared" si="62"/>
        <v>454</v>
      </c>
    </row>
    <row r="97" spans="1:62">
      <c r="A97" s="592">
        <f t="shared" si="63"/>
        <v>455</v>
      </c>
      <c r="B97" s="726" t="s">
        <v>1489</v>
      </c>
      <c r="F97" s="712" t="s">
        <v>1404</v>
      </c>
      <c r="H97" s="720"/>
      <c r="J97" s="720"/>
      <c r="K97" s="709"/>
      <c r="L97" s="720"/>
      <c r="M97" s="709"/>
      <c r="N97" s="720"/>
      <c r="O97" s="709"/>
      <c r="R97" s="710" t="s">
        <v>1405</v>
      </c>
      <c r="T97" s="709">
        <v>0</v>
      </c>
      <c r="U97" s="709"/>
      <c r="V97" s="709">
        <f t="shared" si="67"/>
        <v>0</v>
      </c>
      <c r="W97" s="709"/>
      <c r="X97" s="709">
        <v>0</v>
      </c>
      <c r="Y97" s="709"/>
      <c r="Z97" s="709">
        <f t="shared" si="68"/>
        <v>0</v>
      </c>
      <c r="AA97" s="709"/>
      <c r="AB97" s="609" t="s">
        <v>1406</v>
      </c>
      <c r="AC97" s="709"/>
      <c r="AD97" s="709">
        <v>0</v>
      </c>
      <c r="AE97" s="709"/>
      <c r="AF97" s="720"/>
      <c r="AG97" s="709"/>
      <c r="AH97" s="709">
        <v>0</v>
      </c>
      <c r="AI97" s="709"/>
      <c r="AJ97" s="609" t="s">
        <v>1407</v>
      </c>
      <c r="AK97" s="709"/>
      <c r="AL97" s="607">
        <f t="shared" si="69"/>
        <v>0</v>
      </c>
      <c r="AM97" s="709"/>
      <c r="AN97" s="607">
        <f t="shared" si="69"/>
        <v>0</v>
      </c>
      <c r="AO97" s="709"/>
      <c r="AP97" s="607">
        <f t="shared" si="69"/>
        <v>0</v>
      </c>
      <c r="AQ97" s="709"/>
      <c r="AR97" s="709">
        <f t="shared" si="64"/>
        <v>0</v>
      </c>
      <c r="AT97" s="709">
        <v>0</v>
      </c>
      <c r="AU97" s="709"/>
      <c r="AV97" s="720"/>
      <c r="AW97" s="709"/>
      <c r="AX97" s="709">
        <v>0</v>
      </c>
      <c r="AY97" s="709"/>
      <c r="AZ97" s="607">
        <f t="shared" si="70"/>
        <v>0</v>
      </c>
      <c r="BA97" s="709"/>
      <c r="BB97" s="607">
        <f t="shared" si="71"/>
        <v>0</v>
      </c>
      <c r="BC97" s="709"/>
      <c r="BD97" s="607">
        <f t="shared" si="72"/>
        <v>0</v>
      </c>
      <c r="BE97" s="709"/>
      <c r="BF97" s="709">
        <f t="shared" si="65"/>
        <v>0</v>
      </c>
      <c r="BG97" s="709"/>
      <c r="BH97" s="709">
        <f t="shared" si="66"/>
        <v>0</v>
      </c>
      <c r="BJ97" s="592">
        <f t="shared" si="62"/>
        <v>455</v>
      </c>
    </row>
    <row r="98" spans="1:62">
      <c r="A98" s="592">
        <f t="shared" si="63"/>
        <v>456</v>
      </c>
      <c r="B98" s="727" t="s">
        <v>127</v>
      </c>
      <c r="H98" s="720"/>
      <c r="J98" s="720"/>
      <c r="K98" s="709"/>
      <c r="L98" s="720"/>
      <c r="M98" s="709"/>
      <c r="N98" s="720"/>
      <c r="O98" s="709"/>
      <c r="R98" s="711"/>
      <c r="T98" s="709">
        <v>0</v>
      </c>
      <c r="U98" s="709"/>
      <c r="V98" s="709">
        <f t="shared" si="67"/>
        <v>0</v>
      </c>
      <c r="W98" s="709"/>
      <c r="X98" s="709">
        <v>0</v>
      </c>
      <c r="Y98" s="709"/>
      <c r="Z98" s="709">
        <f t="shared" si="68"/>
        <v>0</v>
      </c>
      <c r="AA98" s="709"/>
      <c r="AB98" s="609"/>
      <c r="AC98" s="709"/>
      <c r="AD98" s="709">
        <v>0</v>
      </c>
      <c r="AE98" s="709"/>
      <c r="AF98" s="720"/>
      <c r="AG98" s="709"/>
      <c r="AH98" s="709">
        <v>0</v>
      </c>
      <c r="AI98" s="709"/>
      <c r="AJ98" s="709"/>
      <c r="AK98" s="709"/>
      <c r="AL98" s="607">
        <f t="shared" si="69"/>
        <v>0</v>
      </c>
      <c r="AM98" s="709"/>
      <c r="AN98" s="607">
        <f t="shared" si="69"/>
        <v>0</v>
      </c>
      <c r="AO98" s="709"/>
      <c r="AP98" s="607">
        <f t="shared" si="69"/>
        <v>0</v>
      </c>
      <c r="AQ98" s="709"/>
      <c r="AR98" s="709">
        <f t="shared" si="64"/>
        <v>0</v>
      </c>
      <c r="AT98" s="709">
        <v>0</v>
      </c>
      <c r="AU98" s="709"/>
      <c r="AV98" s="720"/>
      <c r="AW98" s="709"/>
      <c r="AX98" s="709">
        <v>0</v>
      </c>
      <c r="AY98" s="709"/>
      <c r="AZ98" s="607">
        <f t="shared" si="70"/>
        <v>0</v>
      </c>
      <c r="BA98" s="709"/>
      <c r="BB98" s="607">
        <f t="shared" si="71"/>
        <v>0</v>
      </c>
      <c r="BC98" s="709"/>
      <c r="BD98" s="607">
        <f t="shared" si="72"/>
        <v>0</v>
      </c>
      <c r="BE98" s="709"/>
      <c r="BF98" s="709">
        <f t="shared" si="65"/>
        <v>0</v>
      </c>
      <c r="BG98" s="709"/>
      <c r="BH98" s="709">
        <f t="shared" si="66"/>
        <v>0</v>
      </c>
      <c r="BJ98" s="592">
        <f t="shared" si="62"/>
        <v>456</v>
      </c>
    </row>
    <row r="99" spans="1:62">
      <c r="A99" s="592">
        <f t="shared" si="63"/>
        <v>457</v>
      </c>
      <c r="B99" s="727" t="s">
        <v>127</v>
      </c>
      <c r="H99" s="720"/>
      <c r="J99" s="720"/>
      <c r="K99" s="709"/>
      <c r="L99" s="720"/>
      <c r="M99" s="709"/>
      <c r="N99" s="720"/>
      <c r="O99" s="709"/>
      <c r="R99" s="711"/>
      <c r="T99" s="709">
        <v>0</v>
      </c>
      <c r="U99" s="709"/>
      <c r="V99" s="709">
        <f t="shared" si="67"/>
        <v>0</v>
      </c>
      <c r="W99" s="709"/>
      <c r="X99" s="709">
        <v>0</v>
      </c>
      <c r="Y99" s="709"/>
      <c r="Z99" s="709">
        <f t="shared" si="68"/>
        <v>0</v>
      </c>
      <c r="AA99" s="709"/>
      <c r="AB99" s="609"/>
      <c r="AC99" s="709"/>
      <c r="AD99" s="709">
        <v>0</v>
      </c>
      <c r="AE99" s="709"/>
      <c r="AF99" s="720"/>
      <c r="AG99" s="709"/>
      <c r="AH99" s="709">
        <v>0</v>
      </c>
      <c r="AI99" s="709"/>
      <c r="AJ99" s="709"/>
      <c r="AK99" s="709"/>
      <c r="AL99" s="607">
        <f t="shared" si="69"/>
        <v>0</v>
      </c>
      <c r="AM99" s="709"/>
      <c r="AN99" s="607">
        <f t="shared" si="69"/>
        <v>0</v>
      </c>
      <c r="AO99" s="709"/>
      <c r="AP99" s="607">
        <f t="shared" si="69"/>
        <v>0</v>
      </c>
      <c r="AQ99" s="709"/>
      <c r="AR99" s="709">
        <f t="shared" si="64"/>
        <v>0</v>
      </c>
      <c r="AT99" s="709">
        <v>0</v>
      </c>
      <c r="AU99" s="709"/>
      <c r="AV99" s="720"/>
      <c r="AW99" s="709"/>
      <c r="AX99" s="709">
        <v>0</v>
      </c>
      <c r="AY99" s="709"/>
      <c r="AZ99" s="607">
        <f t="shared" si="70"/>
        <v>0</v>
      </c>
      <c r="BA99" s="709"/>
      <c r="BB99" s="607">
        <f t="shared" si="71"/>
        <v>0</v>
      </c>
      <c r="BC99" s="709"/>
      <c r="BD99" s="607">
        <f t="shared" si="72"/>
        <v>0</v>
      </c>
      <c r="BE99" s="709"/>
      <c r="BF99" s="709">
        <f t="shared" si="65"/>
        <v>0</v>
      </c>
      <c r="BG99" s="709"/>
      <c r="BH99" s="709">
        <f t="shared" si="66"/>
        <v>0</v>
      </c>
      <c r="BJ99" s="592">
        <f t="shared" si="62"/>
        <v>457</v>
      </c>
    </row>
    <row r="100" spans="1:62">
      <c r="A100" s="592"/>
      <c r="B100" s="703"/>
      <c r="H100" s="709"/>
      <c r="J100" s="709"/>
      <c r="K100" s="709"/>
      <c r="L100" s="709"/>
      <c r="M100" s="709"/>
      <c r="N100" s="709"/>
      <c r="O100" s="709"/>
      <c r="R100" s="711"/>
      <c r="T100" s="709"/>
      <c r="U100" s="709"/>
      <c r="V100" s="709"/>
      <c r="W100" s="709"/>
      <c r="X100" s="709"/>
      <c r="Y100" s="709"/>
      <c r="Z100" s="709"/>
      <c r="AA100" s="709"/>
      <c r="AB100" s="609"/>
      <c r="AC100" s="709"/>
      <c r="AD100" s="709"/>
      <c r="AE100" s="709"/>
      <c r="AF100" s="709"/>
      <c r="AG100" s="709"/>
      <c r="AH100" s="709"/>
      <c r="AI100" s="709"/>
      <c r="AJ100" s="709"/>
      <c r="AK100" s="709"/>
      <c r="AL100" s="709"/>
      <c r="AM100" s="709"/>
      <c r="AN100" s="709"/>
      <c r="AO100" s="709"/>
      <c r="AP100" s="709"/>
      <c r="AQ100" s="709"/>
      <c r="AR100" s="709"/>
      <c r="AT100" s="709"/>
      <c r="AU100" s="709"/>
      <c r="AV100" s="709"/>
      <c r="AW100" s="709"/>
      <c r="AX100" s="709"/>
      <c r="AY100" s="709"/>
      <c r="AZ100" s="709"/>
      <c r="BA100" s="709"/>
      <c r="BB100" s="709"/>
      <c r="BC100" s="709"/>
      <c r="BD100" s="709"/>
      <c r="BE100" s="709"/>
      <c r="BF100" s="709"/>
      <c r="BG100" s="709"/>
      <c r="BH100" s="709"/>
      <c r="BJ100" s="592"/>
    </row>
    <row r="101" spans="1:62">
      <c r="A101" s="322" t="s">
        <v>100</v>
      </c>
      <c r="R101" s="711"/>
      <c r="Z101" s="709"/>
      <c r="AB101" s="712"/>
      <c r="BJ101" s="723" t="s">
        <v>100</v>
      </c>
    </row>
    <row r="102" spans="1:62">
      <c r="A102" s="592">
        <v>500</v>
      </c>
      <c r="B102" s="700" t="s">
        <v>1490</v>
      </c>
      <c r="H102" s="718">
        <f>ROUND(SUM(H103:H112),0)</f>
        <v>0</v>
      </c>
      <c r="J102" s="718">
        <f>ROUND(SUM(J103:J112),0)</f>
        <v>0</v>
      </c>
      <c r="K102" s="709"/>
      <c r="L102" s="718">
        <f>ROUND(SUM(L103:L112),0)</f>
        <v>0</v>
      </c>
      <c r="M102" s="709"/>
      <c r="N102" s="718">
        <f>ROUND(SUM(N103:N112),0)</f>
        <v>0</v>
      </c>
      <c r="O102" s="709"/>
      <c r="Q102" s="592"/>
      <c r="R102" s="711"/>
      <c r="S102" s="592"/>
      <c r="T102" s="718">
        <f>ROUND(SUM(T103:T112),0)</f>
        <v>0</v>
      </c>
      <c r="U102" s="709"/>
      <c r="V102" s="718">
        <f>ROUND(SUM(V103:V112),0)</f>
        <v>0</v>
      </c>
      <c r="W102" s="709"/>
      <c r="X102" s="718">
        <f>ROUND(SUM(X103:X112),0)</f>
        <v>0</v>
      </c>
      <c r="Y102" s="709"/>
      <c r="Z102" s="718">
        <f>ROUND(SUM(Z103:Z112),0)</f>
        <v>0</v>
      </c>
      <c r="AA102" s="709"/>
      <c r="AB102" s="609"/>
      <c r="AC102" s="709"/>
      <c r="AD102" s="718">
        <f>SUM(AD103:AD112)</f>
        <v>0</v>
      </c>
      <c r="AE102" s="709"/>
      <c r="AF102" s="718">
        <f>SUM(AF103:AF112)</f>
        <v>0</v>
      </c>
      <c r="AG102" s="709"/>
      <c r="AH102" s="718">
        <f>SUM(AH103:AH112)</f>
        <v>0</v>
      </c>
      <c r="AI102" s="709"/>
      <c r="AJ102" s="709"/>
      <c r="AK102" s="709"/>
      <c r="AL102" s="718">
        <f>SUM(AL103:AL112)</f>
        <v>0</v>
      </c>
      <c r="AM102" s="709"/>
      <c r="AN102" s="718">
        <f>SUM(AN103:AN112)</f>
        <v>0</v>
      </c>
      <c r="AO102" s="709"/>
      <c r="AP102" s="718">
        <f>SUM(AP103:AP112)</f>
        <v>0</v>
      </c>
      <c r="AQ102" s="709"/>
      <c r="AR102" s="718">
        <f>SUM(AR103:AR112)</f>
        <v>0</v>
      </c>
      <c r="AT102" s="718">
        <f>SUM(AT103:AT112)</f>
        <v>0</v>
      </c>
      <c r="AU102" s="709"/>
      <c r="AV102" s="718">
        <f>SUM(AV103:AV112)</f>
        <v>0</v>
      </c>
      <c r="AW102" s="709"/>
      <c r="AX102" s="718">
        <f>SUM(AX103:AX112)</f>
        <v>0</v>
      </c>
      <c r="AY102" s="709"/>
      <c r="AZ102" s="718">
        <f>SUM(AZ103:AZ112)</f>
        <v>0</v>
      </c>
      <c r="BA102" s="709"/>
      <c r="BB102" s="718">
        <f>SUM(BB103:BB112)</f>
        <v>0</v>
      </c>
      <c r="BC102" s="709"/>
      <c r="BD102" s="718">
        <f>SUM(BD103:BD112)</f>
        <v>0</v>
      </c>
      <c r="BE102" s="709"/>
      <c r="BF102" s="718">
        <f>SUM(BF103:BF112)</f>
        <v>0</v>
      </c>
      <c r="BG102" s="709"/>
      <c r="BH102" s="718">
        <f>ROUND(SUM(BH103:BH112),0)</f>
        <v>0</v>
      </c>
      <c r="BJ102" s="592">
        <f t="shared" ref="BJ102:BJ112" si="73">A102</f>
        <v>500</v>
      </c>
    </row>
    <row r="103" spans="1:62">
      <c r="A103" s="592">
        <f t="shared" ref="A103:A106" si="74">A102+1</f>
        <v>501</v>
      </c>
      <c r="B103" s="637" t="s">
        <v>1491</v>
      </c>
      <c r="F103" s="703" t="s">
        <v>1420</v>
      </c>
      <c r="H103" s="720"/>
      <c r="J103" s="720"/>
      <c r="K103" s="709"/>
      <c r="L103" s="720"/>
      <c r="M103" s="709"/>
      <c r="N103" s="720"/>
      <c r="O103" s="709"/>
      <c r="R103" s="710" t="s">
        <v>1415</v>
      </c>
      <c r="T103" s="709">
        <v>0</v>
      </c>
      <c r="U103" s="709"/>
      <c r="V103" s="709">
        <v>0</v>
      </c>
      <c r="W103" s="709"/>
      <c r="X103" s="709">
        <f>+N103</f>
        <v>0</v>
      </c>
      <c r="Y103" s="709"/>
      <c r="Z103" s="709">
        <f t="shared" si="68"/>
        <v>0</v>
      </c>
      <c r="AA103" s="709"/>
      <c r="AB103" s="609" t="s">
        <v>1492</v>
      </c>
      <c r="AC103" s="709"/>
      <c r="AD103" s="709">
        <v>0</v>
      </c>
      <c r="AE103" s="709"/>
      <c r="AF103" s="709">
        <v>0</v>
      </c>
      <c r="AG103" s="709"/>
      <c r="AH103" s="720"/>
      <c r="AI103" s="709"/>
      <c r="AJ103" s="609" t="s">
        <v>1416</v>
      </c>
      <c r="AK103" s="709"/>
      <c r="AL103" s="607">
        <f>+T103-AD103</f>
        <v>0</v>
      </c>
      <c r="AM103" s="709"/>
      <c r="AN103" s="607">
        <f>+V103-AF103</f>
        <v>0</v>
      </c>
      <c r="AO103" s="709"/>
      <c r="AP103" s="607">
        <f>+X103-AH103</f>
        <v>0</v>
      </c>
      <c r="AQ103" s="709"/>
      <c r="AR103" s="709">
        <f t="shared" ref="AR103:AR112" si="75">SUM(AL103:AP103)</f>
        <v>0</v>
      </c>
      <c r="AT103" s="709">
        <v>0</v>
      </c>
      <c r="AU103" s="709"/>
      <c r="AV103" s="709">
        <v>0</v>
      </c>
      <c r="AW103" s="709"/>
      <c r="AX103" s="720"/>
      <c r="AY103" s="709"/>
      <c r="AZ103" s="607">
        <f>+AL103-AT103</f>
        <v>0</v>
      </c>
      <c r="BA103" s="709"/>
      <c r="BB103" s="607">
        <f>+AN103-AV103</f>
        <v>0</v>
      </c>
      <c r="BC103" s="709"/>
      <c r="BD103" s="607">
        <f>+AP103-AX103</f>
        <v>0</v>
      </c>
      <c r="BE103" s="709"/>
      <c r="BF103" s="709">
        <f>SUM(AZ103:BD103)</f>
        <v>0</v>
      </c>
      <c r="BG103" s="709"/>
      <c r="BH103" s="709">
        <f t="shared" ref="BH103:BH110" si="76">+BF103*$BH$9</f>
        <v>0</v>
      </c>
      <c r="BJ103" s="592">
        <f t="shared" si="73"/>
        <v>501</v>
      </c>
    </row>
    <row r="104" spans="1:62">
      <c r="A104" s="592">
        <f t="shared" si="74"/>
        <v>502</v>
      </c>
      <c r="B104" s="637" t="s">
        <v>1127</v>
      </c>
      <c r="F104" s="703" t="s">
        <v>1420</v>
      </c>
      <c r="H104" s="720"/>
      <c r="J104" s="720"/>
      <c r="K104" s="709"/>
      <c r="L104" s="720"/>
      <c r="M104" s="709"/>
      <c r="N104" s="720"/>
      <c r="O104" s="709"/>
      <c r="R104" s="710" t="s">
        <v>1415</v>
      </c>
      <c r="T104" s="709">
        <v>0</v>
      </c>
      <c r="U104" s="709"/>
      <c r="V104" s="709">
        <v>0</v>
      </c>
      <c r="W104" s="709"/>
      <c r="X104" s="709">
        <f>+N104</f>
        <v>0</v>
      </c>
      <c r="Y104" s="709"/>
      <c r="Z104" s="709">
        <f t="shared" si="68"/>
        <v>0</v>
      </c>
      <c r="AA104" s="709"/>
      <c r="AB104" s="609" t="s">
        <v>1492</v>
      </c>
      <c r="AC104" s="709"/>
      <c r="AD104" s="709">
        <v>0</v>
      </c>
      <c r="AE104" s="709"/>
      <c r="AF104" s="709">
        <v>0</v>
      </c>
      <c r="AG104" s="709"/>
      <c r="AH104" s="720"/>
      <c r="AI104" s="709"/>
      <c r="AJ104" s="609" t="s">
        <v>1416</v>
      </c>
      <c r="AK104" s="709"/>
      <c r="AL104" s="607">
        <f t="shared" ref="AL104:AP112" si="77">+T104-AD104</f>
        <v>0</v>
      </c>
      <c r="AM104" s="709"/>
      <c r="AN104" s="607">
        <f t="shared" si="77"/>
        <v>0</v>
      </c>
      <c r="AO104" s="709"/>
      <c r="AP104" s="607">
        <f t="shared" si="77"/>
        <v>0</v>
      </c>
      <c r="AQ104" s="709"/>
      <c r="AR104" s="709">
        <f t="shared" si="75"/>
        <v>0</v>
      </c>
      <c r="AT104" s="709">
        <v>0</v>
      </c>
      <c r="AU104" s="709"/>
      <c r="AV104" s="709">
        <v>0</v>
      </c>
      <c r="AW104" s="709"/>
      <c r="AX104" s="720"/>
      <c r="AY104" s="709"/>
      <c r="AZ104" s="607">
        <f t="shared" ref="AZ104:BD112" si="78">+AL104-AT104</f>
        <v>0</v>
      </c>
      <c r="BA104" s="709"/>
      <c r="BB104" s="607">
        <f t="shared" si="78"/>
        <v>0</v>
      </c>
      <c r="BC104" s="709"/>
      <c r="BD104" s="607">
        <f t="shared" si="78"/>
        <v>0</v>
      </c>
      <c r="BE104" s="709"/>
      <c r="BF104" s="709">
        <f t="shared" ref="BF104:BF112" si="79">SUM(AZ104:BD104)</f>
        <v>0</v>
      </c>
      <c r="BG104" s="709"/>
      <c r="BH104" s="709">
        <f t="shared" si="76"/>
        <v>0</v>
      </c>
      <c r="BJ104" s="592">
        <f t="shared" si="73"/>
        <v>502</v>
      </c>
    </row>
    <row r="105" spans="1:62">
      <c r="A105" s="592">
        <f t="shared" si="74"/>
        <v>503</v>
      </c>
      <c r="B105" s="726" t="s">
        <v>1495</v>
      </c>
      <c r="F105" s="703" t="s">
        <v>1404</v>
      </c>
      <c r="H105" s="720"/>
      <c r="J105" s="720"/>
      <c r="K105" s="709"/>
      <c r="L105" s="720"/>
      <c r="M105" s="709"/>
      <c r="N105" s="720"/>
      <c r="O105" s="709"/>
      <c r="R105" s="710" t="s">
        <v>1405</v>
      </c>
      <c r="T105" s="709">
        <v>0</v>
      </c>
      <c r="U105" s="709"/>
      <c r="V105" s="709">
        <v>0</v>
      </c>
      <c r="W105" s="709"/>
      <c r="X105" s="709">
        <f>N105</f>
        <v>0</v>
      </c>
      <c r="Y105" s="709"/>
      <c r="Z105" s="709">
        <f>SUM(T105:X105)</f>
        <v>0</v>
      </c>
      <c r="AA105" s="709"/>
      <c r="AB105" s="609" t="s">
        <v>1492</v>
      </c>
      <c r="AC105" s="709"/>
      <c r="AD105" s="709">
        <v>0</v>
      </c>
      <c r="AE105" s="709"/>
      <c r="AF105" s="709">
        <v>0</v>
      </c>
      <c r="AG105" s="709"/>
      <c r="AH105" s="720"/>
      <c r="AI105" s="709"/>
      <c r="AJ105" s="609" t="s">
        <v>1407</v>
      </c>
      <c r="AK105" s="709"/>
      <c r="AL105" s="607">
        <f t="shared" si="77"/>
        <v>0</v>
      </c>
      <c r="AM105" s="709"/>
      <c r="AN105" s="607">
        <f t="shared" si="77"/>
        <v>0</v>
      </c>
      <c r="AO105" s="709"/>
      <c r="AP105" s="607">
        <f t="shared" si="77"/>
        <v>0</v>
      </c>
      <c r="AQ105" s="709"/>
      <c r="AR105" s="709">
        <f t="shared" si="75"/>
        <v>0</v>
      </c>
      <c r="AT105" s="709">
        <v>0</v>
      </c>
      <c r="AU105" s="709"/>
      <c r="AV105" s="709">
        <v>0</v>
      </c>
      <c r="AW105" s="709"/>
      <c r="AX105" s="720"/>
      <c r="AY105" s="709"/>
      <c r="AZ105" s="607">
        <f t="shared" si="78"/>
        <v>0</v>
      </c>
      <c r="BA105" s="709"/>
      <c r="BB105" s="607">
        <f t="shared" si="78"/>
        <v>0</v>
      </c>
      <c r="BC105" s="709"/>
      <c r="BD105" s="607">
        <f t="shared" si="78"/>
        <v>0</v>
      </c>
      <c r="BE105" s="709"/>
      <c r="BF105" s="709">
        <f t="shared" si="79"/>
        <v>0</v>
      </c>
      <c r="BG105" s="709"/>
      <c r="BH105" s="709">
        <f t="shared" si="76"/>
        <v>0</v>
      </c>
      <c r="BJ105" s="592">
        <f t="shared" si="73"/>
        <v>503</v>
      </c>
    </row>
    <row r="106" spans="1:62">
      <c r="A106" s="592">
        <f t="shared" si="74"/>
        <v>504</v>
      </c>
      <c r="B106" s="726" t="s">
        <v>1496</v>
      </c>
      <c r="F106" s="712" t="s">
        <v>1404</v>
      </c>
      <c r="H106" s="720"/>
      <c r="J106" s="720"/>
      <c r="K106" s="709"/>
      <c r="L106" s="720"/>
      <c r="M106" s="709"/>
      <c r="N106" s="720"/>
      <c r="O106" s="709"/>
      <c r="R106" s="710" t="s">
        <v>1405</v>
      </c>
      <c r="T106" s="709">
        <v>0</v>
      </c>
      <c r="U106" s="709"/>
      <c r="V106" s="709">
        <v>0</v>
      </c>
      <c r="W106" s="709"/>
      <c r="X106" s="709">
        <f>N106</f>
        <v>0</v>
      </c>
      <c r="Y106" s="709"/>
      <c r="Z106" s="709">
        <f>SUM(T106:X106)</f>
        <v>0</v>
      </c>
      <c r="AA106" s="709"/>
      <c r="AB106" s="609" t="s">
        <v>1492</v>
      </c>
      <c r="AC106" s="709"/>
      <c r="AD106" s="709">
        <v>0</v>
      </c>
      <c r="AE106" s="709"/>
      <c r="AF106" s="709">
        <v>0</v>
      </c>
      <c r="AG106" s="709"/>
      <c r="AH106" s="720"/>
      <c r="AI106" s="709"/>
      <c r="AJ106" s="609" t="s">
        <v>1407</v>
      </c>
      <c r="AK106" s="709"/>
      <c r="AL106" s="607">
        <f t="shared" si="77"/>
        <v>0</v>
      </c>
      <c r="AM106" s="709"/>
      <c r="AN106" s="607">
        <f t="shared" si="77"/>
        <v>0</v>
      </c>
      <c r="AO106" s="709"/>
      <c r="AP106" s="607">
        <f t="shared" si="77"/>
        <v>0</v>
      </c>
      <c r="AQ106" s="709"/>
      <c r="AR106" s="709">
        <f t="shared" si="75"/>
        <v>0</v>
      </c>
      <c r="AT106" s="709">
        <v>0</v>
      </c>
      <c r="AU106" s="709"/>
      <c r="AV106" s="709">
        <v>0</v>
      </c>
      <c r="AW106" s="709"/>
      <c r="AX106" s="720"/>
      <c r="AY106" s="709"/>
      <c r="AZ106" s="607">
        <f t="shared" si="78"/>
        <v>0</v>
      </c>
      <c r="BA106" s="709"/>
      <c r="BB106" s="607">
        <f t="shared" si="78"/>
        <v>0</v>
      </c>
      <c r="BC106" s="709"/>
      <c r="BD106" s="607">
        <f t="shared" si="78"/>
        <v>0</v>
      </c>
      <c r="BE106" s="709"/>
      <c r="BF106" s="709">
        <f t="shared" si="79"/>
        <v>0</v>
      </c>
      <c r="BG106" s="709"/>
      <c r="BH106" s="709">
        <f t="shared" si="76"/>
        <v>0</v>
      </c>
      <c r="BJ106" s="592">
        <f t="shared" si="73"/>
        <v>504</v>
      </c>
    </row>
    <row r="107" spans="1:62">
      <c r="A107" s="592">
        <f>+A106+1</f>
        <v>505</v>
      </c>
      <c r="B107" s="726" t="s">
        <v>1497</v>
      </c>
      <c r="F107" s="712" t="s">
        <v>1404</v>
      </c>
      <c r="H107" s="720"/>
      <c r="J107" s="720"/>
      <c r="K107" s="709"/>
      <c r="L107" s="720"/>
      <c r="M107" s="709"/>
      <c r="N107" s="720"/>
      <c r="O107" s="709"/>
      <c r="R107" s="710" t="s">
        <v>1405</v>
      </c>
      <c r="T107" s="709">
        <v>0</v>
      </c>
      <c r="U107" s="709"/>
      <c r="V107" s="709">
        <v>0</v>
      </c>
      <c r="W107" s="709"/>
      <c r="X107" s="709">
        <f>N107</f>
        <v>0</v>
      </c>
      <c r="Y107" s="709"/>
      <c r="Z107" s="709">
        <f>SUM(T107:X107)</f>
        <v>0</v>
      </c>
      <c r="AA107" s="709"/>
      <c r="AB107" s="609" t="s">
        <v>1492</v>
      </c>
      <c r="AC107" s="709"/>
      <c r="AD107" s="709">
        <v>0</v>
      </c>
      <c r="AE107" s="709"/>
      <c r="AF107" s="709">
        <v>0</v>
      </c>
      <c r="AG107" s="709"/>
      <c r="AH107" s="720"/>
      <c r="AI107" s="709"/>
      <c r="AJ107" s="609" t="s">
        <v>1407</v>
      </c>
      <c r="AK107" s="709"/>
      <c r="AL107" s="607">
        <f t="shared" si="77"/>
        <v>0</v>
      </c>
      <c r="AM107" s="709"/>
      <c r="AN107" s="607">
        <f t="shared" si="77"/>
        <v>0</v>
      </c>
      <c r="AO107" s="709"/>
      <c r="AP107" s="607">
        <f t="shared" si="77"/>
        <v>0</v>
      </c>
      <c r="AQ107" s="709"/>
      <c r="AR107" s="709">
        <f t="shared" si="75"/>
        <v>0</v>
      </c>
      <c r="AT107" s="709">
        <v>0</v>
      </c>
      <c r="AU107" s="709"/>
      <c r="AV107" s="709">
        <v>0</v>
      </c>
      <c r="AW107" s="709"/>
      <c r="AX107" s="720"/>
      <c r="AY107" s="709"/>
      <c r="AZ107" s="607">
        <f t="shared" si="78"/>
        <v>0</v>
      </c>
      <c r="BA107" s="709"/>
      <c r="BB107" s="607">
        <f t="shared" si="78"/>
        <v>0</v>
      </c>
      <c r="BC107" s="709"/>
      <c r="BD107" s="607">
        <f t="shared" si="78"/>
        <v>0</v>
      </c>
      <c r="BE107" s="709"/>
      <c r="BF107" s="709">
        <f t="shared" si="79"/>
        <v>0</v>
      </c>
      <c r="BG107" s="709"/>
      <c r="BH107" s="709">
        <f t="shared" si="76"/>
        <v>0</v>
      </c>
      <c r="BJ107" s="592">
        <f t="shared" si="73"/>
        <v>505</v>
      </c>
    </row>
    <row r="108" spans="1:62">
      <c r="A108" s="592">
        <f>+A107+1</f>
        <v>506</v>
      </c>
      <c r="B108" s="726" t="s">
        <v>1498</v>
      </c>
      <c r="F108" s="712" t="s">
        <v>1404</v>
      </c>
      <c r="H108" s="720"/>
      <c r="J108" s="720"/>
      <c r="K108" s="709"/>
      <c r="L108" s="720"/>
      <c r="M108" s="709"/>
      <c r="N108" s="720"/>
      <c r="O108" s="709"/>
      <c r="R108" s="710" t="s">
        <v>1405</v>
      </c>
      <c r="T108" s="709">
        <v>0</v>
      </c>
      <c r="U108" s="709"/>
      <c r="V108" s="709">
        <v>0</v>
      </c>
      <c r="W108" s="709"/>
      <c r="X108" s="709">
        <f>N108</f>
        <v>0</v>
      </c>
      <c r="Y108" s="709"/>
      <c r="Z108" s="709">
        <f>SUM(T108:X108)</f>
        <v>0</v>
      </c>
      <c r="AA108" s="709"/>
      <c r="AB108" s="609" t="s">
        <v>1492</v>
      </c>
      <c r="AC108" s="709"/>
      <c r="AD108" s="709">
        <v>0</v>
      </c>
      <c r="AE108" s="709"/>
      <c r="AF108" s="709">
        <v>0</v>
      </c>
      <c r="AG108" s="709"/>
      <c r="AH108" s="720"/>
      <c r="AI108" s="709"/>
      <c r="AJ108" s="609" t="s">
        <v>1407</v>
      </c>
      <c r="AK108" s="709"/>
      <c r="AL108" s="607">
        <f t="shared" si="77"/>
        <v>0</v>
      </c>
      <c r="AM108" s="709"/>
      <c r="AN108" s="607">
        <f t="shared" si="77"/>
        <v>0</v>
      </c>
      <c r="AO108" s="709"/>
      <c r="AP108" s="607">
        <f t="shared" si="77"/>
        <v>0</v>
      </c>
      <c r="AQ108" s="709"/>
      <c r="AR108" s="709">
        <f t="shared" si="75"/>
        <v>0</v>
      </c>
      <c r="AT108" s="709">
        <v>0</v>
      </c>
      <c r="AU108" s="709"/>
      <c r="AV108" s="709">
        <v>0</v>
      </c>
      <c r="AW108" s="709"/>
      <c r="AX108" s="720"/>
      <c r="AY108" s="709"/>
      <c r="AZ108" s="607">
        <f t="shared" si="78"/>
        <v>0</v>
      </c>
      <c r="BA108" s="709"/>
      <c r="BB108" s="607">
        <f t="shared" si="78"/>
        <v>0</v>
      </c>
      <c r="BC108" s="709"/>
      <c r="BD108" s="607">
        <f t="shared" si="78"/>
        <v>0</v>
      </c>
      <c r="BE108" s="709"/>
      <c r="BF108" s="709">
        <f t="shared" si="79"/>
        <v>0</v>
      </c>
      <c r="BG108" s="709"/>
      <c r="BH108" s="709">
        <f t="shared" si="76"/>
        <v>0</v>
      </c>
      <c r="BJ108" s="592">
        <f t="shared" si="73"/>
        <v>506</v>
      </c>
    </row>
    <row r="109" spans="1:62">
      <c r="A109" s="592">
        <f t="shared" ref="A109:A111" si="80">+A108+1</f>
        <v>507</v>
      </c>
      <c r="B109" s="726" t="s">
        <v>1499</v>
      </c>
      <c r="F109" s="712" t="s">
        <v>1404</v>
      </c>
      <c r="H109" s="720"/>
      <c r="J109" s="720"/>
      <c r="K109" s="709"/>
      <c r="L109" s="720"/>
      <c r="M109" s="709"/>
      <c r="N109" s="720"/>
      <c r="O109" s="709"/>
      <c r="R109" s="710" t="s">
        <v>1405</v>
      </c>
      <c r="T109" s="709">
        <v>0</v>
      </c>
      <c r="U109" s="709"/>
      <c r="V109" s="709">
        <v>0</v>
      </c>
      <c r="W109" s="709"/>
      <c r="X109" s="709">
        <f t="shared" ref="X109:X112" si="81">N109</f>
        <v>0</v>
      </c>
      <c r="Y109" s="709"/>
      <c r="Z109" s="709">
        <f t="shared" ref="Z109:Z112" si="82">SUM(T109:X109)</f>
        <v>0</v>
      </c>
      <c r="AA109" s="709"/>
      <c r="AB109" s="609" t="s">
        <v>1492</v>
      </c>
      <c r="AC109" s="709"/>
      <c r="AD109" s="709">
        <v>0</v>
      </c>
      <c r="AE109" s="709"/>
      <c r="AF109" s="709">
        <v>0</v>
      </c>
      <c r="AG109" s="709"/>
      <c r="AH109" s="720"/>
      <c r="AI109" s="709"/>
      <c r="AJ109" s="609" t="s">
        <v>1407</v>
      </c>
      <c r="AK109" s="709"/>
      <c r="AL109" s="607">
        <f t="shared" si="77"/>
        <v>0</v>
      </c>
      <c r="AM109" s="709"/>
      <c r="AN109" s="607">
        <f t="shared" si="77"/>
        <v>0</v>
      </c>
      <c r="AO109" s="709"/>
      <c r="AP109" s="607">
        <f t="shared" si="77"/>
        <v>0</v>
      </c>
      <c r="AQ109" s="709"/>
      <c r="AR109" s="709">
        <f t="shared" si="75"/>
        <v>0</v>
      </c>
      <c r="AT109" s="709">
        <v>0</v>
      </c>
      <c r="AU109" s="709"/>
      <c r="AV109" s="709">
        <v>0</v>
      </c>
      <c r="AW109" s="709"/>
      <c r="AX109" s="720"/>
      <c r="AY109" s="709"/>
      <c r="AZ109" s="607">
        <f t="shared" si="78"/>
        <v>0</v>
      </c>
      <c r="BA109" s="709"/>
      <c r="BB109" s="607">
        <f t="shared" si="78"/>
        <v>0</v>
      </c>
      <c r="BC109" s="709"/>
      <c r="BD109" s="607">
        <f t="shared" si="78"/>
        <v>0</v>
      </c>
      <c r="BE109" s="709"/>
      <c r="BF109" s="709">
        <f t="shared" si="79"/>
        <v>0</v>
      </c>
      <c r="BG109" s="709"/>
      <c r="BH109" s="709">
        <f t="shared" si="76"/>
        <v>0</v>
      </c>
      <c r="BJ109" s="592">
        <f t="shared" si="73"/>
        <v>507</v>
      </c>
    </row>
    <row r="110" spans="1:62">
      <c r="A110" s="592">
        <f t="shared" si="80"/>
        <v>508</v>
      </c>
      <c r="B110" s="726" t="s">
        <v>1500</v>
      </c>
      <c r="F110" s="712" t="s">
        <v>1404</v>
      </c>
      <c r="H110" s="720"/>
      <c r="J110" s="720"/>
      <c r="K110" s="709"/>
      <c r="L110" s="720"/>
      <c r="M110" s="709"/>
      <c r="N110" s="720"/>
      <c r="O110" s="709"/>
      <c r="R110" s="710" t="s">
        <v>1405</v>
      </c>
      <c r="T110" s="709">
        <v>0</v>
      </c>
      <c r="U110" s="709"/>
      <c r="V110" s="709">
        <v>0</v>
      </c>
      <c r="W110" s="709"/>
      <c r="X110" s="709">
        <f t="shared" si="81"/>
        <v>0</v>
      </c>
      <c r="Y110" s="709"/>
      <c r="Z110" s="709">
        <f t="shared" si="82"/>
        <v>0</v>
      </c>
      <c r="AA110" s="709"/>
      <c r="AB110" s="609" t="s">
        <v>1492</v>
      </c>
      <c r="AC110" s="709"/>
      <c r="AD110" s="709">
        <v>0</v>
      </c>
      <c r="AE110" s="709"/>
      <c r="AF110" s="709">
        <v>0</v>
      </c>
      <c r="AG110" s="709"/>
      <c r="AH110" s="720"/>
      <c r="AI110" s="709"/>
      <c r="AJ110" s="609" t="s">
        <v>1407</v>
      </c>
      <c r="AK110" s="709"/>
      <c r="AL110" s="607">
        <f t="shared" si="77"/>
        <v>0</v>
      </c>
      <c r="AM110" s="709"/>
      <c r="AN110" s="607">
        <f t="shared" si="77"/>
        <v>0</v>
      </c>
      <c r="AO110" s="709"/>
      <c r="AP110" s="607">
        <f t="shared" si="77"/>
        <v>0</v>
      </c>
      <c r="AQ110" s="709"/>
      <c r="AR110" s="709">
        <f t="shared" si="75"/>
        <v>0</v>
      </c>
      <c r="AT110" s="709">
        <v>0</v>
      </c>
      <c r="AU110" s="709"/>
      <c r="AV110" s="709">
        <v>0</v>
      </c>
      <c r="AW110" s="709"/>
      <c r="AX110" s="720"/>
      <c r="AY110" s="709"/>
      <c r="AZ110" s="607">
        <f t="shared" si="78"/>
        <v>0</v>
      </c>
      <c r="BA110" s="709"/>
      <c r="BB110" s="607">
        <f t="shared" si="78"/>
        <v>0</v>
      </c>
      <c r="BC110" s="709"/>
      <c r="BD110" s="607">
        <f t="shared" si="78"/>
        <v>0</v>
      </c>
      <c r="BE110" s="709"/>
      <c r="BF110" s="709">
        <f t="shared" si="79"/>
        <v>0</v>
      </c>
      <c r="BG110" s="709"/>
      <c r="BH110" s="709">
        <f t="shared" si="76"/>
        <v>0</v>
      </c>
      <c r="BJ110" s="592">
        <f t="shared" si="73"/>
        <v>508</v>
      </c>
    </row>
    <row r="111" spans="1:62">
      <c r="A111" s="592">
        <f t="shared" si="80"/>
        <v>509</v>
      </c>
      <c r="B111" s="726"/>
      <c r="H111" s="720"/>
      <c r="J111" s="720"/>
      <c r="K111" s="709"/>
      <c r="L111" s="720"/>
      <c r="M111" s="709"/>
      <c r="N111" s="720"/>
      <c r="O111" s="709"/>
      <c r="T111" s="709">
        <v>0</v>
      </c>
      <c r="U111" s="709"/>
      <c r="V111" s="709">
        <v>0</v>
      </c>
      <c r="W111" s="709"/>
      <c r="X111" s="709">
        <f t="shared" si="81"/>
        <v>0</v>
      </c>
      <c r="Y111" s="709"/>
      <c r="Z111" s="709">
        <f t="shared" si="82"/>
        <v>0</v>
      </c>
      <c r="AA111" s="709"/>
      <c r="AB111" s="709"/>
      <c r="AC111" s="709"/>
      <c r="AD111" s="709">
        <v>0</v>
      </c>
      <c r="AE111" s="709"/>
      <c r="AF111" s="709">
        <v>0</v>
      </c>
      <c r="AG111" s="709"/>
      <c r="AH111" s="720"/>
      <c r="AI111" s="709"/>
      <c r="AJ111" s="709"/>
      <c r="AK111" s="709"/>
      <c r="AL111" s="607">
        <f t="shared" si="77"/>
        <v>0</v>
      </c>
      <c r="AM111" s="709"/>
      <c r="AN111" s="607">
        <f t="shared" si="77"/>
        <v>0</v>
      </c>
      <c r="AO111" s="709"/>
      <c r="AP111" s="607">
        <f t="shared" si="77"/>
        <v>0</v>
      </c>
      <c r="AQ111" s="709"/>
      <c r="AR111" s="709">
        <f t="shared" si="75"/>
        <v>0</v>
      </c>
      <c r="AT111" s="709">
        <v>0</v>
      </c>
      <c r="AU111" s="709"/>
      <c r="AV111" s="709">
        <v>0</v>
      </c>
      <c r="AW111" s="709"/>
      <c r="AX111" s="720"/>
      <c r="AY111" s="709"/>
      <c r="AZ111" s="607">
        <f t="shared" si="78"/>
        <v>0</v>
      </c>
      <c r="BA111" s="709"/>
      <c r="BB111" s="607">
        <f t="shared" si="78"/>
        <v>0</v>
      </c>
      <c r="BC111" s="709"/>
      <c r="BD111" s="607">
        <f t="shared" si="78"/>
        <v>0</v>
      </c>
      <c r="BE111" s="709"/>
      <c r="BF111" s="709">
        <f t="shared" si="79"/>
        <v>0</v>
      </c>
      <c r="BG111" s="709"/>
      <c r="BH111" s="709"/>
      <c r="BJ111" s="592">
        <f t="shared" si="73"/>
        <v>509</v>
      </c>
    </row>
    <row r="112" spans="1:62">
      <c r="A112" s="592">
        <f>+A109+1</f>
        <v>508</v>
      </c>
      <c r="B112" s="726"/>
      <c r="H112" s="720"/>
      <c r="J112" s="720"/>
      <c r="K112" s="709"/>
      <c r="L112" s="720"/>
      <c r="M112" s="709"/>
      <c r="N112" s="720"/>
      <c r="O112" s="709"/>
      <c r="T112" s="709">
        <v>0</v>
      </c>
      <c r="U112" s="709"/>
      <c r="V112" s="709">
        <v>0</v>
      </c>
      <c r="W112" s="709"/>
      <c r="X112" s="709">
        <f t="shared" si="81"/>
        <v>0</v>
      </c>
      <c r="Y112" s="709"/>
      <c r="Z112" s="709">
        <f t="shared" si="82"/>
        <v>0</v>
      </c>
      <c r="AA112" s="709"/>
      <c r="AB112" s="709"/>
      <c r="AC112" s="709"/>
      <c r="AD112" s="709">
        <v>0</v>
      </c>
      <c r="AE112" s="709"/>
      <c r="AF112" s="709">
        <v>0</v>
      </c>
      <c r="AG112" s="709"/>
      <c r="AH112" s="720"/>
      <c r="AI112" s="709"/>
      <c r="AJ112" s="709"/>
      <c r="AK112" s="709"/>
      <c r="AL112" s="607">
        <f t="shared" si="77"/>
        <v>0</v>
      </c>
      <c r="AM112" s="709"/>
      <c r="AN112" s="607">
        <f t="shared" si="77"/>
        <v>0</v>
      </c>
      <c r="AO112" s="709"/>
      <c r="AP112" s="607">
        <f t="shared" si="77"/>
        <v>0</v>
      </c>
      <c r="AQ112" s="709"/>
      <c r="AR112" s="709">
        <f t="shared" si="75"/>
        <v>0</v>
      </c>
      <c r="AT112" s="709">
        <v>0</v>
      </c>
      <c r="AU112" s="709"/>
      <c r="AV112" s="709">
        <v>0</v>
      </c>
      <c r="AW112" s="709"/>
      <c r="AX112" s="720"/>
      <c r="AY112" s="709"/>
      <c r="AZ112" s="607">
        <f t="shared" si="78"/>
        <v>0</v>
      </c>
      <c r="BA112" s="709"/>
      <c r="BB112" s="607">
        <f t="shared" si="78"/>
        <v>0</v>
      </c>
      <c r="BC112" s="709"/>
      <c r="BD112" s="607">
        <f t="shared" si="78"/>
        <v>0</v>
      </c>
      <c r="BE112" s="709"/>
      <c r="BF112" s="709">
        <f t="shared" si="79"/>
        <v>0</v>
      </c>
      <c r="BG112" s="709"/>
      <c r="BH112" s="709"/>
      <c r="BJ112" s="592">
        <f t="shared" si="73"/>
        <v>508</v>
      </c>
    </row>
    <row r="113" spans="1:62">
      <c r="A113" s="592"/>
      <c r="B113" s="703"/>
      <c r="H113" s="709"/>
      <c r="J113" s="709"/>
      <c r="K113" s="709"/>
      <c r="L113" s="709"/>
      <c r="M113" s="709"/>
      <c r="N113" s="709"/>
      <c r="O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T113" s="709"/>
      <c r="AU113" s="709"/>
      <c r="AV113" s="709"/>
      <c r="AW113" s="709"/>
      <c r="AX113" s="709"/>
      <c r="AY113" s="709"/>
      <c r="AZ113" s="709"/>
      <c r="BA113" s="709"/>
      <c r="BB113" s="709"/>
      <c r="BC113" s="709"/>
      <c r="BD113" s="709"/>
      <c r="BE113" s="709"/>
      <c r="BF113" s="709"/>
      <c r="BG113" s="709"/>
      <c r="BH113" s="709"/>
      <c r="BJ113" s="592"/>
    </row>
    <row r="114" spans="1:62">
      <c r="A114" s="322" t="s">
        <v>100</v>
      </c>
      <c r="BJ114" s="723" t="s">
        <v>100</v>
      </c>
    </row>
    <row r="115" spans="1:62">
      <c r="A115" s="592">
        <v>600</v>
      </c>
      <c r="B115" s="700" t="s">
        <v>1501</v>
      </c>
      <c r="H115" s="718">
        <f>ROUND(SUM(H116:H120),0)</f>
        <v>0</v>
      </c>
      <c r="J115" s="718">
        <f>ROUND(SUM(J116:J120),0)</f>
        <v>0</v>
      </c>
      <c r="K115" s="709"/>
      <c r="L115" s="718">
        <f>ROUND(SUM(L116:L120),0)</f>
        <v>0</v>
      </c>
      <c r="M115" s="709"/>
      <c r="N115" s="718">
        <f>ROUND(SUM(N116:N120),0)</f>
        <v>0</v>
      </c>
      <c r="O115" s="709"/>
      <c r="Q115" s="592"/>
      <c r="R115" s="592"/>
      <c r="S115" s="592"/>
      <c r="T115" s="718">
        <f>ROUND(SUM(T116:T120),0)</f>
        <v>0</v>
      </c>
      <c r="U115" s="709"/>
      <c r="V115" s="718">
        <f>ROUND(SUM(V116:V120),0)</f>
        <v>0</v>
      </c>
      <c r="W115" s="709"/>
      <c r="X115" s="718">
        <f>ROUND(SUM(X116:X120),0)</f>
        <v>0</v>
      </c>
      <c r="Y115" s="709"/>
      <c r="Z115" s="718">
        <f>ROUND(SUM(Z116:Z120),0)</f>
        <v>0</v>
      </c>
      <c r="AA115" s="709"/>
      <c r="AB115" s="709"/>
      <c r="AC115" s="709"/>
      <c r="AD115" s="718">
        <f>SUM(AD116:AD120)</f>
        <v>0</v>
      </c>
      <c r="AE115" s="709"/>
      <c r="AF115" s="718">
        <f>SUM(AF116:AF120)</f>
        <v>0</v>
      </c>
      <c r="AG115" s="709"/>
      <c r="AH115" s="718">
        <f>SUM(AH116:AH120)</f>
        <v>0</v>
      </c>
      <c r="AI115" s="709"/>
      <c r="AJ115" s="709"/>
      <c r="AK115" s="709"/>
      <c r="AL115" s="718">
        <f>SUM(AL116:AL120)</f>
        <v>0</v>
      </c>
      <c r="AM115" s="709"/>
      <c r="AN115" s="718">
        <f>SUM(AN116:AN120)</f>
        <v>0</v>
      </c>
      <c r="AO115" s="709"/>
      <c r="AP115" s="718">
        <f>SUM(AP116:AP120)</f>
        <v>0</v>
      </c>
      <c r="AQ115" s="709"/>
      <c r="AR115" s="718">
        <f>SUM(AR116:AR120)</f>
        <v>0</v>
      </c>
      <c r="AT115" s="718">
        <f>SUM(AT116:AT120)</f>
        <v>0</v>
      </c>
      <c r="AU115" s="709"/>
      <c r="AV115" s="718">
        <f>SUM(AV116:AV120)</f>
        <v>0</v>
      </c>
      <c r="AW115" s="709"/>
      <c r="AX115" s="718">
        <f>SUM(AX116:AX120)</f>
        <v>0</v>
      </c>
      <c r="AY115" s="709"/>
      <c r="AZ115" s="718">
        <f>SUM(AZ116:AZ120)</f>
        <v>0</v>
      </c>
      <c r="BA115" s="709"/>
      <c r="BB115" s="718">
        <f>SUM(BB116:BB120)</f>
        <v>0</v>
      </c>
      <c r="BC115" s="709"/>
      <c r="BD115" s="718">
        <f>SUM(BD116:BD120)</f>
        <v>0</v>
      </c>
      <c r="BE115" s="709"/>
      <c r="BF115" s="718">
        <f>SUM(BF116:BF120)</f>
        <v>0</v>
      </c>
      <c r="BG115" s="709"/>
      <c r="BH115" s="718">
        <f>ROUND(SUM(BH116:BH120),0)</f>
        <v>0</v>
      </c>
      <c r="BJ115" s="592">
        <f t="shared" ref="BJ115:BJ120" si="83">A115</f>
        <v>600</v>
      </c>
    </row>
    <row r="116" spans="1:62">
      <c r="A116" s="592">
        <f t="shared" ref="A116:A119" si="84">A115+1</f>
        <v>601</v>
      </c>
      <c r="B116" s="637" t="s">
        <v>1502</v>
      </c>
      <c r="F116" s="712" t="s">
        <v>1420</v>
      </c>
      <c r="H116" s="720"/>
      <c r="J116" s="720"/>
      <c r="K116" s="709"/>
      <c r="L116" s="720"/>
      <c r="M116" s="709"/>
      <c r="N116" s="720"/>
      <c r="O116" s="709"/>
      <c r="R116" s="710" t="s">
        <v>1415</v>
      </c>
      <c r="T116" s="709">
        <f>+N116</f>
        <v>0</v>
      </c>
      <c r="U116" s="709"/>
      <c r="V116" s="709">
        <v>0</v>
      </c>
      <c r="W116" s="709"/>
      <c r="X116" s="709">
        <v>0</v>
      </c>
      <c r="Y116" s="709"/>
      <c r="Z116" s="709">
        <f>SUM(T116:X116)</f>
        <v>0</v>
      </c>
      <c r="AA116" s="709"/>
      <c r="AB116" s="609" t="s">
        <v>1406</v>
      </c>
      <c r="AC116" s="709"/>
      <c r="AD116" s="720"/>
      <c r="AE116" s="709"/>
      <c r="AF116" s="709">
        <v>0</v>
      </c>
      <c r="AG116" s="709"/>
      <c r="AH116" s="709">
        <v>0</v>
      </c>
      <c r="AI116" s="709"/>
      <c r="AJ116" s="609" t="s">
        <v>1416</v>
      </c>
      <c r="AK116" s="709"/>
      <c r="AL116" s="607">
        <f>+T116-AD116</f>
        <v>0</v>
      </c>
      <c r="AM116" s="709"/>
      <c r="AN116" s="607">
        <f>+V116-AF116</f>
        <v>0</v>
      </c>
      <c r="AO116" s="709"/>
      <c r="AP116" s="607">
        <f>+X116-AH116</f>
        <v>0</v>
      </c>
      <c r="AQ116" s="709"/>
      <c r="AR116" s="709">
        <f t="shared" ref="AR116:AR121" si="85">SUM(AL116:AP116)</f>
        <v>0</v>
      </c>
      <c r="AT116" s="720"/>
      <c r="AU116" s="709"/>
      <c r="AV116" s="709">
        <v>0</v>
      </c>
      <c r="AW116" s="709"/>
      <c r="AX116" s="709">
        <v>0</v>
      </c>
      <c r="AY116" s="709"/>
      <c r="AZ116" s="607">
        <f>+AL116-AT116</f>
        <v>0</v>
      </c>
      <c r="BA116" s="709"/>
      <c r="BB116" s="607">
        <f>+AN116-AV116</f>
        <v>0</v>
      </c>
      <c r="BC116" s="709"/>
      <c r="BD116" s="607">
        <f>+AP116-AX116</f>
        <v>0</v>
      </c>
      <c r="BE116" s="709"/>
      <c r="BF116" s="709">
        <f>SUM(AZ116:BD116)</f>
        <v>0</v>
      </c>
      <c r="BG116" s="709"/>
      <c r="BH116" s="709">
        <f>+BF116*$BH$9</f>
        <v>0</v>
      </c>
      <c r="BJ116" s="592">
        <f t="shared" si="83"/>
        <v>601</v>
      </c>
    </row>
    <row r="117" spans="1:62">
      <c r="A117" s="592">
        <f t="shared" si="84"/>
        <v>602</v>
      </c>
      <c r="B117" s="637" t="s">
        <v>1531</v>
      </c>
      <c r="F117" s="712" t="s">
        <v>1420</v>
      </c>
      <c r="H117" s="720"/>
      <c r="J117" s="720"/>
      <c r="K117" s="709"/>
      <c r="L117" s="720"/>
      <c r="M117" s="709"/>
      <c r="N117" s="720"/>
      <c r="O117" s="709"/>
      <c r="R117" s="710" t="s">
        <v>1415</v>
      </c>
      <c r="T117" s="709">
        <f t="shared" ref="T117:T120" si="86">+N117</f>
        <v>0</v>
      </c>
      <c r="U117" s="709"/>
      <c r="V117" s="709">
        <v>0</v>
      </c>
      <c r="W117" s="709"/>
      <c r="X117" s="709">
        <v>0</v>
      </c>
      <c r="Y117" s="709"/>
      <c r="Z117" s="709">
        <f t="shared" ref="Z117:Z120" si="87">SUM(T117:X117)</f>
        <v>0</v>
      </c>
      <c r="AA117" s="709"/>
      <c r="AB117" s="609" t="s">
        <v>1406</v>
      </c>
      <c r="AC117" s="709"/>
      <c r="AD117" s="720"/>
      <c r="AE117" s="709"/>
      <c r="AF117" s="709">
        <v>0</v>
      </c>
      <c r="AG117" s="709"/>
      <c r="AH117" s="709">
        <v>0</v>
      </c>
      <c r="AI117" s="709"/>
      <c r="AJ117" s="609" t="s">
        <v>1416</v>
      </c>
      <c r="AK117" s="709"/>
      <c r="AL117" s="607">
        <f t="shared" ref="AL117:AP121" si="88">+T117-AD117</f>
        <v>0</v>
      </c>
      <c r="AM117" s="709"/>
      <c r="AN117" s="607">
        <f t="shared" si="88"/>
        <v>0</v>
      </c>
      <c r="AO117" s="709"/>
      <c r="AP117" s="607">
        <f t="shared" si="88"/>
        <v>0</v>
      </c>
      <c r="AQ117" s="709"/>
      <c r="AR117" s="709">
        <f t="shared" si="85"/>
        <v>0</v>
      </c>
      <c r="AT117" s="720"/>
      <c r="AU117" s="709"/>
      <c r="AV117" s="709">
        <v>0</v>
      </c>
      <c r="AW117" s="709"/>
      <c r="AX117" s="709">
        <v>0</v>
      </c>
      <c r="AY117" s="709"/>
      <c r="AZ117" s="607">
        <f t="shared" ref="AZ117:BD121" si="89">+AL117-AT117</f>
        <v>0</v>
      </c>
      <c r="BA117" s="709"/>
      <c r="BB117" s="607">
        <f t="shared" si="89"/>
        <v>0</v>
      </c>
      <c r="BC117" s="709"/>
      <c r="BD117" s="607">
        <f t="shared" si="89"/>
        <v>0</v>
      </c>
      <c r="BE117" s="709"/>
      <c r="BF117" s="709">
        <f t="shared" ref="BF117:BF120" si="90">SUM(AZ117:BD117)</f>
        <v>0</v>
      </c>
      <c r="BG117" s="709"/>
      <c r="BH117" s="709">
        <f>+BF117*$BH$9</f>
        <v>0</v>
      </c>
      <c r="BJ117" s="592">
        <f t="shared" si="83"/>
        <v>602</v>
      </c>
    </row>
    <row r="118" spans="1:62">
      <c r="A118" s="592">
        <f t="shared" si="84"/>
        <v>603</v>
      </c>
      <c r="B118" s="727" t="s">
        <v>127</v>
      </c>
      <c r="H118" s="720"/>
      <c r="J118" s="720"/>
      <c r="K118" s="709"/>
      <c r="L118" s="720"/>
      <c r="M118" s="709"/>
      <c r="N118" s="720"/>
      <c r="O118" s="709"/>
      <c r="T118" s="709">
        <f t="shared" si="86"/>
        <v>0</v>
      </c>
      <c r="U118" s="709"/>
      <c r="V118" s="709">
        <v>0</v>
      </c>
      <c r="W118" s="709"/>
      <c r="X118" s="709">
        <v>0</v>
      </c>
      <c r="Y118" s="709"/>
      <c r="Z118" s="709">
        <f t="shared" si="87"/>
        <v>0</v>
      </c>
      <c r="AA118" s="709"/>
      <c r="AB118" s="709"/>
      <c r="AC118" s="709"/>
      <c r="AD118" s="720"/>
      <c r="AE118" s="709"/>
      <c r="AF118" s="709">
        <v>0</v>
      </c>
      <c r="AG118" s="709"/>
      <c r="AH118" s="709">
        <v>0</v>
      </c>
      <c r="AI118" s="709"/>
      <c r="AJ118" s="709"/>
      <c r="AK118" s="709"/>
      <c r="AL118" s="607">
        <f t="shared" si="88"/>
        <v>0</v>
      </c>
      <c r="AM118" s="709"/>
      <c r="AN118" s="607">
        <f t="shared" si="88"/>
        <v>0</v>
      </c>
      <c r="AO118" s="709"/>
      <c r="AP118" s="607">
        <f t="shared" si="88"/>
        <v>0</v>
      </c>
      <c r="AQ118" s="709"/>
      <c r="AR118" s="709">
        <f t="shared" si="85"/>
        <v>0</v>
      </c>
      <c r="AT118" s="720"/>
      <c r="AU118" s="709"/>
      <c r="AV118" s="709">
        <v>0</v>
      </c>
      <c r="AW118" s="709"/>
      <c r="AX118" s="709">
        <v>0</v>
      </c>
      <c r="AY118" s="709"/>
      <c r="AZ118" s="607">
        <f t="shared" si="89"/>
        <v>0</v>
      </c>
      <c r="BA118" s="709"/>
      <c r="BB118" s="607">
        <f t="shared" si="89"/>
        <v>0</v>
      </c>
      <c r="BC118" s="709"/>
      <c r="BD118" s="607">
        <f t="shared" si="89"/>
        <v>0</v>
      </c>
      <c r="BE118" s="709"/>
      <c r="BF118" s="709">
        <f t="shared" si="90"/>
        <v>0</v>
      </c>
      <c r="BG118" s="709"/>
      <c r="BH118" s="709">
        <f>+BF118*$BH$9</f>
        <v>0</v>
      </c>
      <c r="BJ118" s="592">
        <f t="shared" si="83"/>
        <v>603</v>
      </c>
    </row>
    <row r="119" spans="1:62">
      <c r="A119" s="592">
        <f t="shared" si="84"/>
        <v>604</v>
      </c>
      <c r="B119" s="727" t="s">
        <v>127</v>
      </c>
      <c r="H119" s="720"/>
      <c r="J119" s="720"/>
      <c r="K119" s="709"/>
      <c r="L119" s="720"/>
      <c r="M119" s="709"/>
      <c r="N119" s="720"/>
      <c r="O119" s="709"/>
      <c r="T119" s="709">
        <f t="shared" si="86"/>
        <v>0</v>
      </c>
      <c r="U119" s="709"/>
      <c r="V119" s="709">
        <v>0</v>
      </c>
      <c r="W119" s="709"/>
      <c r="X119" s="709">
        <v>0</v>
      </c>
      <c r="Y119" s="709"/>
      <c r="Z119" s="709">
        <f t="shared" si="87"/>
        <v>0</v>
      </c>
      <c r="AA119" s="709"/>
      <c r="AB119" s="709"/>
      <c r="AC119" s="709"/>
      <c r="AD119" s="720"/>
      <c r="AE119" s="709"/>
      <c r="AF119" s="709">
        <v>0</v>
      </c>
      <c r="AG119" s="709"/>
      <c r="AH119" s="709">
        <v>0</v>
      </c>
      <c r="AI119" s="709"/>
      <c r="AJ119" s="709"/>
      <c r="AK119" s="709"/>
      <c r="AL119" s="607">
        <f t="shared" si="88"/>
        <v>0</v>
      </c>
      <c r="AM119" s="709"/>
      <c r="AN119" s="607">
        <f t="shared" si="88"/>
        <v>0</v>
      </c>
      <c r="AO119" s="709"/>
      <c r="AP119" s="607">
        <f t="shared" si="88"/>
        <v>0</v>
      </c>
      <c r="AQ119" s="709"/>
      <c r="AR119" s="709">
        <f t="shared" si="85"/>
        <v>0</v>
      </c>
      <c r="AT119" s="720"/>
      <c r="AU119" s="709"/>
      <c r="AV119" s="709">
        <v>0</v>
      </c>
      <c r="AW119" s="709"/>
      <c r="AX119" s="709">
        <v>0</v>
      </c>
      <c r="AY119" s="709"/>
      <c r="AZ119" s="607">
        <f t="shared" si="89"/>
        <v>0</v>
      </c>
      <c r="BA119" s="709"/>
      <c r="BB119" s="607">
        <f t="shared" si="89"/>
        <v>0</v>
      </c>
      <c r="BC119" s="709"/>
      <c r="BD119" s="607">
        <f t="shared" si="89"/>
        <v>0</v>
      </c>
      <c r="BE119" s="709"/>
      <c r="BF119" s="709">
        <f t="shared" si="90"/>
        <v>0</v>
      </c>
      <c r="BG119" s="709"/>
      <c r="BH119" s="709">
        <f>+BF119*$BH$9</f>
        <v>0</v>
      </c>
      <c r="BJ119" s="592">
        <f t="shared" si="83"/>
        <v>604</v>
      </c>
    </row>
    <row r="120" spans="1:62">
      <c r="A120" s="592">
        <f>+A119+1</f>
        <v>605</v>
      </c>
      <c r="B120" s="727" t="s">
        <v>127</v>
      </c>
      <c r="H120" s="720"/>
      <c r="J120" s="720"/>
      <c r="K120" s="709"/>
      <c r="L120" s="720"/>
      <c r="M120" s="709"/>
      <c r="N120" s="720"/>
      <c r="O120" s="709"/>
      <c r="T120" s="709">
        <f t="shared" si="86"/>
        <v>0</v>
      </c>
      <c r="U120" s="709"/>
      <c r="V120" s="709">
        <v>0</v>
      </c>
      <c r="W120" s="709"/>
      <c r="X120" s="709">
        <v>0</v>
      </c>
      <c r="Y120" s="709"/>
      <c r="Z120" s="709">
        <f t="shared" si="87"/>
        <v>0</v>
      </c>
      <c r="AA120" s="709"/>
      <c r="AB120" s="709"/>
      <c r="AC120" s="709"/>
      <c r="AD120" s="720"/>
      <c r="AE120" s="709"/>
      <c r="AF120" s="709">
        <v>0</v>
      </c>
      <c r="AG120" s="709"/>
      <c r="AH120" s="709">
        <v>0</v>
      </c>
      <c r="AI120" s="709"/>
      <c r="AJ120" s="709"/>
      <c r="AK120" s="709"/>
      <c r="AL120" s="607">
        <f t="shared" si="88"/>
        <v>0</v>
      </c>
      <c r="AM120" s="709"/>
      <c r="AN120" s="607">
        <f t="shared" si="88"/>
        <v>0</v>
      </c>
      <c r="AO120" s="709"/>
      <c r="AP120" s="607">
        <f t="shared" si="88"/>
        <v>0</v>
      </c>
      <c r="AQ120" s="709"/>
      <c r="AR120" s="709">
        <f t="shared" si="85"/>
        <v>0</v>
      </c>
      <c r="AT120" s="720"/>
      <c r="AU120" s="709"/>
      <c r="AV120" s="709">
        <v>0</v>
      </c>
      <c r="AW120" s="709"/>
      <c r="AX120" s="709">
        <v>0</v>
      </c>
      <c r="AY120" s="709"/>
      <c r="AZ120" s="607">
        <f t="shared" si="89"/>
        <v>0</v>
      </c>
      <c r="BA120" s="709"/>
      <c r="BB120" s="607">
        <f t="shared" si="89"/>
        <v>0</v>
      </c>
      <c r="BC120" s="709"/>
      <c r="BD120" s="607">
        <f t="shared" si="89"/>
        <v>0</v>
      </c>
      <c r="BE120" s="709"/>
      <c r="BF120" s="709">
        <f t="shared" si="90"/>
        <v>0</v>
      </c>
      <c r="BG120" s="709"/>
      <c r="BH120" s="709">
        <f>+BF120*$BH$9</f>
        <v>0</v>
      </c>
      <c r="BJ120" s="592">
        <f t="shared" si="83"/>
        <v>605</v>
      </c>
    </row>
    <row r="121" spans="1:62">
      <c r="A121" s="592"/>
      <c r="B121" s="703"/>
      <c r="H121" s="709"/>
      <c r="J121" s="709"/>
      <c r="K121" s="709"/>
      <c r="L121" s="709"/>
      <c r="M121" s="709"/>
      <c r="N121" s="709"/>
      <c r="O121" s="709"/>
      <c r="T121" s="709"/>
      <c r="U121" s="709"/>
      <c r="V121" s="709"/>
      <c r="W121" s="709"/>
      <c r="X121" s="709"/>
      <c r="Y121" s="709"/>
      <c r="Z121" s="709"/>
      <c r="AA121" s="709"/>
      <c r="AB121" s="709"/>
      <c r="AC121" s="709"/>
      <c r="AD121" s="709"/>
      <c r="AE121" s="709"/>
      <c r="AF121" s="709"/>
      <c r="AG121" s="709"/>
      <c r="AH121" s="709"/>
      <c r="AI121" s="709"/>
      <c r="AJ121" s="709"/>
      <c r="AK121" s="709"/>
      <c r="AL121" s="607">
        <f t="shared" si="88"/>
        <v>0</v>
      </c>
      <c r="AM121" s="709"/>
      <c r="AN121" s="607">
        <f t="shared" si="88"/>
        <v>0</v>
      </c>
      <c r="AO121" s="709"/>
      <c r="AP121" s="607">
        <f t="shared" si="88"/>
        <v>0</v>
      </c>
      <c r="AQ121" s="709"/>
      <c r="AR121" s="709">
        <f t="shared" si="85"/>
        <v>0</v>
      </c>
      <c r="AT121" s="709"/>
      <c r="AU121" s="709"/>
      <c r="AV121" s="709"/>
      <c r="AW121" s="709"/>
      <c r="AX121" s="709"/>
      <c r="AY121" s="709"/>
      <c r="AZ121" s="607">
        <f t="shared" si="89"/>
        <v>0</v>
      </c>
      <c r="BA121" s="709"/>
      <c r="BB121" s="607">
        <f t="shared" si="89"/>
        <v>0</v>
      </c>
      <c r="BC121" s="709"/>
      <c r="BD121" s="607">
        <f t="shared" si="89"/>
        <v>0</v>
      </c>
      <c r="BE121" s="709"/>
      <c r="BF121" s="709"/>
      <c r="BG121" s="709"/>
      <c r="BH121" s="709"/>
      <c r="BJ121" s="592"/>
    </row>
    <row r="122" spans="1:62">
      <c r="A122" s="322" t="s">
        <v>100</v>
      </c>
      <c r="BJ122" s="723" t="s">
        <v>100</v>
      </c>
    </row>
    <row r="123" spans="1:62">
      <c r="A123" s="592">
        <v>700</v>
      </c>
      <c r="B123" s="725" t="s">
        <v>1421</v>
      </c>
      <c r="H123" s="718">
        <f>SUM(H124:H128)</f>
        <v>0</v>
      </c>
      <c r="J123" s="718">
        <f>SUM(J124:J128)</f>
        <v>0</v>
      </c>
      <c r="K123" s="709"/>
      <c r="L123" s="718">
        <f>SUM(L124:L128)</f>
        <v>0</v>
      </c>
      <c r="M123" s="709"/>
      <c r="N123" s="718">
        <f>SUM(N124:N128)</f>
        <v>0</v>
      </c>
      <c r="O123" s="709"/>
      <c r="Q123" s="592"/>
      <c r="R123" s="592"/>
      <c r="S123" s="592"/>
      <c r="T123" s="718">
        <f>SUM(T124:T128)</f>
        <v>0</v>
      </c>
      <c r="U123" s="709"/>
      <c r="V123" s="718">
        <f>SUM(V124:V128)</f>
        <v>0</v>
      </c>
      <c r="W123" s="709"/>
      <c r="X123" s="718">
        <f>SUM(X124:X128)</f>
        <v>0</v>
      </c>
      <c r="Y123" s="709"/>
      <c r="Z123" s="718">
        <f>SUM(Z124:Z128)</f>
        <v>0</v>
      </c>
      <c r="AA123" s="709"/>
      <c r="AB123" s="709"/>
      <c r="AC123" s="709"/>
      <c r="AD123" s="718">
        <f>SUM(AD124:AD128)</f>
        <v>0</v>
      </c>
      <c r="AE123" s="709"/>
      <c r="AF123" s="718">
        <f>SUM(AF124:AF128)</f>
        <v>0</v>
      </c>
      <c r="AG123" s="709"/>
      <c r="AH123" s="718">
        <f>SUM(AH124:AH128)</f>
        <v>0</v>
      </c>
      <c r="AI123" s="709"/>
      <c r="AJ123" s="709"/>
      <c r="AK123" s="709"/>
      <c r="AL123" s="718">
        <f>SUM(AL124:AL128)</f>
        <v>0</v>
      </c>
      <c r="AM123" s="709"/>
      <c r="AN123" s="718">
        <f>SUM(AN124:AN128)</f>
        <v>0</v>
      </c>
      <c r="AO123" s="709"/>
      <c r="AP123" s="718">
        <f>SUM(AP124:AP128)</f>
        <v>0</v>
      </c>
      <c r="AQ123" s="709"/>
      <c r="AR123" s="718">
        <f>SUM(AR124:AR128)</f>
        <v>0</v>
      </c>
      <c r="AT123" s="718">
        <f>SUM(AT124:AT128)</f>
        <v>0</v>
      </c>
      <c r="AU123" s="709"/>
      <c r="AV123" s="718">
        <f>SUM(AV124:AV128)</f>
        <v>0</v>
      </c>
      <c r="AW123" s="709"/>
      <c r="AX123" s="718">
        <f>SUM(AX124:AX128)</f>
        <v>0</v>
      </c>
      <c r="AY123" s="709"/>
      <c r="AZ123" s="718">
        <f>SUM(AZ124:AZ128)</f>
        <v>0</v>
      </c>
      <c r="BA123" s="709"/>
      <c r="BB123" s="718">
        <f>SUM(BB124:BB128)</f>
        <v>0</v>
      </c>
      <c r="BC123" s="709"/>
      <c r="BD123" s="718">
        <f>SUM(BD124:BD128)</f>
        <v>0</v>
      </c>
      <c r="BE123" s="709"/>
      <c r="BF123" s="718">
        <f>SUM(BF124:BF128)</f>
        <v>0</v>
      </c>
      <c r="BG123" s="709"/>
      <c r="BH123" s="718">
        <f>SUM(BH124:BH128)</f>
        <v>0</v>
      </c>
      <c r="BJ123" s="592">
        <f t="shared" ref="BJ123:BJ128" si="91">A123</f>
        <v>700</v>
      </c>
    </row>
    <row r="124" spans="1:62">
      <c r="A124" s="592">
        <f t="shared" ref="A124:A127" si="92">A123+1</f>
        <v>701</v>
      </c>
      <c r="B124" s="727" t="s">
        <v>1529</v>
      </c>
      <c r="H124" s="720"/>
      <c r="J124" s="720"/>
      <c r="K124" s="709"/>
      <c r="L124" s="720"/>
      <c r="M124" s="709"/>
      <c r="N124" s="720"/>
      <c r="O124" s="709"/>
      <c r="T124" s="709">
        <v>0</v>
      </c>
      <c r="U124" s="709"/>
      <c r="V124" s="709">
        <v>0</v>
      </c>
      <c r="W124" s="709"/>
      <c r="X124" s="709">
        <v>0</v>
      </c>
      <c r="Y124" s="709"/>
      <c r="Z124" s="709">
        <f>SUM(T124:X124)</f>
        <v>0</v>
      </c>
      <c r="AA124" s="709"/>
      <c r="AB124" s="709"/>
      <c r="AC124" s="709"/>
      <c r="AD124" s="720"/>
      <c r="AE124" s="709"/>
      <c r="AF124" s="720"/>
      <c r="AG124" s="709"/>
      <c r="AH124" s="720"/>
      <c r="AI124" s="709"/>
      <c r="AJ124" s="709"/>
      <c r="AK124" s="709"/>
      <c r="AL124" s="607">
        <f>+T124-AD124</f>
        <v>0</v>
      </c>
      <c r="AM124" s="709"/>
      <c r="AN124" s="607">
        <f>+V124-AF124</f>
        <v>0</v>
      </c>
      <c r="AO124" s="709"/>
      <c r="AP124" s="607">
        <f>+X124-AH124</f>
        <v>0</v>
      </c>
      <c r="AQ124" s="709"/>
      <c r="AR124" s="709">
        <f t="shared" ref="AR124:AR128" si="93">SUM(AL124:AP124)</f>
        <v>0</v>
      </c>
      <c r="AT124" s="720"/>
      <c r="AU124" s="709"/>
      <c r="AV124" s="720"/>
      <c r="AW124" s="709"/>
      <c r="AX124" s="720"/>
      <c r="AY124" s="709"/>
      <c r="AZ124" s="607">
        <f>+AL124-AT124</f>
        <v>0</v>
      </c>
      <c r="BA124" s="709"/>
      <c r="BB124" s="607">
        <f>+AN124-AV124</f>
        <v>0</v>
      </c>
      <c r="BC124" s="709"/>
      <c r="BD124" s="607">
        <f>+AP124-AX124</f>
        <v>0</v>
      </c>
      <c r="BE124" s="709"/>
      <c r="BF124" s="709">
        <f>SUM(AZ124:BD124)</f>
        <v>0</v>
      </c>
      <c r="BG124" s="709"/>
      <c r="BH124" s="709">
        <f>+BF124*$BH$9</f>
        <v>0</v>
      </c>
      <c r="BJ124" s="592">
        <f t="shared" si="91"/>
        <v>701</v>
      </c>
    </row>
    <row r="125" spans="1:62">
      <c r="A125" s="592">
        <f t="shared" si="92"/>
        <v>702</v>
      </c>
      <c r="B125" s="727" t="s">
        <v>127</v>
      </c>
      <c r="H125" s="720"/>
      <c r="J125" s="720"/>
      <c r="K125" s="709"/>
      <c r="L125" s="720"/>
      <c r="M125" s="709"/>
      <c r="N125" s="720"/>
      <c r="O125" s="709"/>
      <c r="T125" s="709">
        <v>0</v>
      </c>
      <c r="U125" s="709"/>
      <c r="V125" s="709">
        <v>0</v>
      </c>
      <c r="W125" s="709"/>
      <c r="X125" s="709">
        <v>0</v>
      </c>
      <c r="Y125" s="709"/>
      <c r="Z125" s="709">
        <f t="shared" ref="Z125:Z128" si="94">SUM(T125:X125)</f>
        <v>0</v>
      </c>
      <c r="AA125" s="709"/>
      <c r="AB125" s="709"/>
      <c r="AC125" s="709"/>
      <c r="AD125" s="720"/>
      <c r="AE125" s="709"/>
      <c r="AF125" s="720"/>
      <c r="AG125" s="709"/>
      <c r="AH125" s="720"/>
      <c r="AI125" s="709"/>
      <c r="AJ125" s="709"/>
      <c r="AK125" s="709"/>
      <c r="AL125" s="607">
        <f t="shared" ref="AL125:AP128" si="95">+T125-AD125</f>
        <v>0</v>
      </c>
      <c r="AM125" s="709"/>
      <c r="AN125" s="607">
        <f t="shared" si="95"/>
        <v>0</v>
      </c>
      <c r="AO125" s="709"/>
      <c r="AP125" s="607">
        <f t="shared" si="95"/>
        <v>0</v>
      </c>
      <c r="AQ125" s="709"/>
      <c r="AR125" s="709">
        <f t="shared" si="93"/>
        <v>0</v>
      </c>
      <c r="AT125" s="720"/>
      <c r="AU125" s="709"/>
      <c r="AV125" s="720"/>
      <c r="AW125" s="709"/>
      <c r="AX125" s="720"/>
      <c r="AY125" s="709"/>
      <c r="AZ125" s="607">
        <f t="shared" ref="AZ125:BD128" si="96">+AL125-AT125</f>
        <v>0</v>
      </c>
      <c r="BA125" s="709"/>
      <c r="BB125" s="607">
        <f t="shared" si="96"/>
        <v>0</v>
      </c>
      <c r="BC125" s="709"/>
      <c r="BD125" s="607">
        <f t="shared" si="96"/>
        <v>0</v>
      </c>
      <c r="BE125" s="709"/>
      <c r="BF125" s="709">
        <f t="shared" ref="BF125:BF128" si="97">SUM(AZ125:BD125)</f>
        <v>0</v>
      </c>
      <c r="BG125" s="709"/>
      <c r="BH125" s="709">
        <f>+BF125*$BH$9</f>
        <v>0</v>
      </c>
      <c r="BJ125" s="592">
        <f t="shared" si="91"/>
        <v>702</v>
      </c>
    </row>
    <row r="126" spans="1:62">
      <c r="A126" s="592">
        <f t="shared" si="92"/>
        <v>703</v>
      </c>
      <c r="B126" s="727" t="s">
        <v>127</v>
      </c>
      <c r="H126" s="720"/>
      <c r="J126" s="720"/>
      <c r="K126" s="709"/>
      <c r="L126" s="720"/>
      <c r="M126" s="709"/>
      <c r="N126" s="720"/>
      <c r="O126" s="709"/>
      <c r="T126" s="709">
        <v>0</v>
      </c>
      <c r="U126" s="709"/>
      <c r="V126" s="709">
        <v>0</v>
      </c>
      <c r="W126" s="709"/>
      <c r="X126" s="709">
        <v>0</v>
      </c>
      <c r="Y126" s="709"/>
      <c r="Z126" s="709">
        <f t="shared" si="94"/>
        <v>0</v>
      </c>
      <c r="AA126" s="709"/>
      <c r="AB126" s="709"/>
      <c r="AC126" s="709"/>
      <c r="AD126" s="720"/>
      <c r="AE126" s="709"/>
      <c r="AF126" s="720"/>
      <c r="AG126" s="709"/>
      <c r="AH126" s="720"/>
      <c r="AI126" s="709"/>
      <c r="AJ126" s="709"/>
      <c r="AK126" s="709"/>
      <c r="AL126" s="607">
        <f t="shared" si="95"/>
        <v>0</v>
      </c>
      <c r="AM126" s="709"/>
      <c r="AN126" s="607">
        <f t="shared" si="95"/>
        <v>0</v>
      </c>
      <c r="AO126" s="709"/>
      <c r="AP126" s="607">
        <f t="shared" si="95"/>
        <v>0</v>
      </c>
      <c r="AQ126" s="709"/>
      <c r="AR126" s="709">
        <f t="shared" si="93"/>
        <v>0</v>
      </c>
      <c r="AT126" s="720"/>
      <c r="AU126" s="709"/>
      <c r="AV126" s="720"/>
      <c r="AW126" s="709"/>
      <c r="AX126" s="720"/>
      <c r="AY126" s="709"/>
      <c r="AZ126" s="607">
        <f t="shared" si="96"/>
        <v>0</v>
      </c>
      <c r="BA126" s="709"/>
      <c r="BB126" s="607">
        <f t="shared" si="96"/>
        <v>0</v>
      </c>
      <c r="BC126" s="709"/>
      <c r="BD126" s="607">
        <f t="shared" si="96"/>
        <v>0</v>
      </c>
      <c r="BE126" s="709"/>
      <c r="BF126" s="709">
        <f t="shared" si="97"/>
        <v>0</v>
      </c>
      <c r="BG126" s="709"/>
      <c r="BH126" s="709">
        <f>+BF126*$BH$9</f>
        <v>0</v>
      </c>
      <c r="BJ126" s="592">
        <f t="shared" si="91"/>
        <v>703</v>
      </c>
    </row>
    <row r="127" spans="1:62">
      <c r="A127" s="592">
        <f t="shared" si="92"/>
        <v>704</v>
      </c>
      <c r="B127" s="727" t="s">
        <v>127</v>
      </c>
      <c r="H127" s="720"/>
      <c r="J127" s="720"/>
      <c r="K127" s="709"/>
      <c r="L127" s="720"/>
      <c r="M127" s="709"/>
      <c r="N127" s="720"/>
      <c r="O127" s="709"/>
      <c r="T127" s="709">
        <v>0</v>
      </c>
      <c r="U127" s="709"/>
      <c r="V127" s="709">
        <v>0</v>
      </c>
      <c r="W127" s="709"/>
      <c r="X127" s="709">
        <v>0</v>
      </c>
      <c r="Y127" s="709"/>
      <c r="Z127" s="709">
        <f t="shared" si="94"/>
        <v>0</v>
      </c>
      <c r="AA127" s="709"/>
      <c r="AB127" s="709"/>
      <c r="AC127" s="709"/>
      <c r="AD127" s="720"/>
      <c r="AE127" s="709"/>
      <c r="AF127" s="720"/>
      <c r="AG127" s="709"/>
      <c r="AH127" s="720"/>
      <c r="AI127" s="709"/>
      <c r="AJ127" s="709"/>
      <c r="AK127" s="709"/>
      <c r="AL127" s="607">
        <f t="shared" si="95"/>
        <v>0</v>
      </c>
      <c r="AM127" s="709"/>
      <c r="AN127" s="607">
        <f t="shared" si="95"/>
        <v>0</v>
      </c>
      <c r="AO127" s="709"/>
      <c r="AP127" s="607">
        <f t="shared" si="95"/>
        <v>0</v>
      </c>
      <c r="AQ127" s="709"/>
      <c r="AR127" s="709">
        <f t="shared" si="93"/>
        <v>0</v>
      </c>
      <c r="AT127" s="720"/>
      <c r="AU127" s="709"/>
      <c r="AV127" s="720"/>
      <c r="AW127" s="709"/>
      <c r="AX127" s="720"/>
      <c r="AY127" s="709"/>
      <c r="AZ127" s="607">
        <f t="shared" si="96"/>
        <v>0</v>
      </c>
      <c r="BA127" s="709"/>
      <c r="BB127" s="607">
        <f t="shared" si="96"/>
        <v>0</v>
      </c>
      <c r="BC127" s="709"/>
      <c r="BD127" s="607">
        <f t="shared" si="96"/>
        <v>0</v>
      </c>
      <c r="BE127" s="709"/>
      <c r="BF127" s="709">
        <f t="shared" si="97"/>
        <v>0</v>
      </c>
      <c r="BG127" s="709"/>
      <c r="BH127" s="709">
        <f>+BF127*$BH$9</f>
        <v>0</v>
      </c>
      <c r="BJ127" s="592">
        <f t="shared" si="91"/>
        <v>704</v>
      </c>
    </row>
    <row r="128" spans="1:62">
      <c r="A128" s="592">
        <f>+A127+1</f>
        <v>705</v>
      </c>
      <c r="B128" s="727" t="s">
        <v>127</v>
      </c>
      <c r="H128" s="720"/>
      <c r="J128" s="720"/>
      <c r="K128" s="709"/>
      <c r="L128" s="720"/>
      <c r="M128" s="709"/>
      <c r="N128" s="720"/>
      <c r="O128" s="709"/>
      <c r="T128" s="709">
        <v>0</v>
      </c>
      <c r="U128" s="709"/>
      <c r="V128" s="709">
        <v>0</v>
      </c>
      <c r="W128" s="709"/>
      <c r="X128" s="709">
        <v>0</v>
      </c>
      <c r="Y128" s="709"/>
      <c r="Z128" s="709">
        <f t="shared" si="94"/>
        <v>0</v>
      </c>
      <c r="AA128" s="709"/>
      <c r="AB128" s="709"/>
      <c r="AC128" s="709"/>
      <c r="AD128" s="720"/>
      <c r="AE128" s="709"/>
      <c r="AF128" s="720"/>
      <c r="AG128" s="709"/>
      <c r="AH128" s="720"/>
      <c r="AI128" s="709"/>
      <c r="AJ128" s="709"/>
      <c r="AK128" s="709"/>
      <c r="AL128" s="607">
        <f t="shared" si="95"/>
        <v>0</v>
      </c>
      <c r="AM128" s="709"/>
      <c r="AN128" s="607">
        <f t="shared" si="95"/>
        <v>0</v>
      </c>
      <c r="AO128" s="709"/>
      <c r="AP128" s="607">
        <f t="shared" si="95"/>
        <v>0</v>
      </c>
      <c r="AQ128" s="709"/>
      <c r="AR128" s="709">
        <f t="shared" si="93"/>
        <v>0</v>
      </c>
      <c r="AT128" s="720"/>
      <c r="AU128" s="709"/>
      <c r="AV128" s="720"/>
      <c r="AW128" s="709"/>
      <c r="AX128" s="720"/>
      <c r="AY128" s="709"/>
      <c r="AZ128" s="607">
        <f t="shared" si="96"/>
        <v>0</v>
      </c>
      <c r="BA128" s="709"/>
      <c r="BB128" s="607">
        <f t="shared" si="96"/>
        <v>0</v>
      </c>
      <c r="BC128" s="709"/>
      <c r="BD128" s="607">
        <f t="shared" si="96"/>
        <v>0</v>
      </c>
      <c r="BE128" s="709"/>
      <c r="BF128" s="709">
        <f t="shared" si="97"/>
        <v>0</v>
      </c>
      <c r="BG128" s="709"/>
      <c r="BH128" s="709">
        <f>+BF128*$BH$9</f>
        <v>0</v>
      </c>
      <c r="BJ128" s="592">
        <f t="shared" si="91"/>
        <v>705</v>
      </c>
    </row>
    <row r="132" spans="1:6">
      <c r="A132" s="702" t="s">
        <v>111</v>
      </c>
      <c r="B132" s="840" t="s">
        <v>1532</v>
      </c>
      <c r="C132" s="840"/>
      <c r="D132" s="840"/>
    </row>
    <row r="133" spans="1:6" ht="24" customHeight="1">
      <c r="A133" s="701" t="s">
        <v>1403</v>
      </c>
      <c r="B133" s="836" t="s">
        <v>1533</v>
      </c>
      <c r="C133" s="836"/>
      <c r="D133" s="836"/>
    </row>
    <row r="134" spans="1:6">
      <c r="A134" s="701" t="s">
        <v>1408</v>
      </c>
      <c r="B134" s="836" t="s">
        <v>1534</v>
      </c>
      <c r="C134" s="836"/>
      <c r="D134" s="836"/>
    </row>
    <row r="135" spans="1:6">
      <c r="A135" s="701" t="s">
        <v>1410</v>
      </c>
      <c r="B135" s="836" t="s">
        <v>1509</v>
      </c>
      <c r="C135" s="836"/>
      <c r="D135" s="836"/>
    </row>
    <row r="136" spans="1:6">
      <c r="A136" s="701" t="s">
        <v>1413</v>
      </c>
      <c r="B136" s="836" t="s">
        <v>1510</v>
      </c>
      <c r="C136" s="836"/>
      <c r="D136" s="836"/>
    </row>
    <row r="137" spans="1:6">
      <c r="A137" s="701" t="s">
        <v>1419</v>
      </c>
      <c r="B137" s="836" t="s">
        <v>1511</v>
      </c>
      <c r="C137" s="836"/>
      <c r="D137" s="836"/>
    </row>
    <row r="138" spans="1:6" ht="12.75" customHeight="1">
      <c r="A138" s="701" t="s">
        <v>1381</v>
      </c>
      <c r="B138" s="836" t="s">
        <v>1512</v>
      </c>
      <c r="C138" s="836"/>
      <c r="D138" s="836"/>
      <c r="E138" s="729"/>
      <c r="F138" s="729"/>
    </row>
    <row r="139" spans="1:6">
      <c r="A139" s="701" t="s">
        <v>1513</v>
      </c>
      <c r="B139" s="836" t="s">
        <v>1514</v>
      </c>
      <c r="C139" s="836"/>
      <c r="D139" s="836"/>
    </row>
  </sheetData>
  <mergeCells count="17">
    <mergeCell ref="B135:D135"/>
    <mergeCell ref="B136:D136"/>
    <mergeCell ref="B137:D137"/>
    <mergeCell ref="B138:D138"/>
    <mergeCell ref="B139:D139"/>
    <mergeCell ref="B134:D134"/>
    <mergeCell ref="J4:N4"/>
    <mergeCell ref="T4:X4"/>
    <mergeCell ref="AL4:AP4"/>
    <mergeCell ref="AZ4:BD4"/>
    <mergeCell ref="AD6:AH6"/>
    <mergeCell ref="AT6:AX6"/>
    <mergeCell ref="T7:Z7"/>
    <mergeCell ref="AL7:AR7"/>
    <mergeCell ref="AZ7:BF7"/>
    <mergeCell ref="B132:D132"/>
    <mergeCell ref="B133:D133"/>
  </mergeCells>
  <pageMargins left="0.7" right="0.7" top="0.75" bottom="0.75" header="0.3" footer="0.3"/>
  <pageSetup scale="33" fitToWidth="0" orientation="portrait" horizontalDpi="1200" verticalDpi="1200" r:id="rId1"/>
  <headerFooter>
    <oddHeader>&amp;C&amp;"-,Bold"Pacific Gas and Electric Company
Formula Rate Model
Schedule 17-RegAssets-3&amp;"-,Regular"</oddHeader>
  </headerFooter>
  <colBreaks count="3" manualBreakCount="3">
    <brk id="17" max="1048575" man="1"/>
    <brk id="37" max="1048575" man="1"/>
    <brk id="51" max="1048575" man="1"/>
  </colBreaks>
  <customProperties>
    <customPr name="_pios_id" r:id="rId2"/>
    <customPr name="EpmWorksheetKeyString_GUID" r:id="rId3"/>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6"/>
  <sheetViews>
    <sheetView topLeftCell="B1" zoomScale="80" zoomScaleNormal="80" zoomScaleSheetLayoutView="55" zoomScalePageLayoutView="55" workbookViewId="0">
      <selection activeCell="B1" sqref="B1"/>
    </sheetView>
  </sheetViews>
  <sheetFormatPr defaultColWidth="9.140625" defaultRowHeight="15"/>
  <cols>
    <col min="1" max="1" width="7.140625" bestFit="1" customWidth="1"/>
    <col min="2" max="2" width="8.85546875" customWidth="1"/>
    <col min="3" max="3" width="37.140625" customWidth="1"/>
    <col min="4" max="5" width="17.85546875" bestFit="1" customWidth="1"/>
    <col min="6" max="6" width="18.28515625" bestFit="1" customWidth="1"/>
    <col min="7" max="7" width="16.7109375" bestFit="1" customWidth="1"/>
    <col min="8" max="9" width="17.7109375" bestFit="1" customWidth="1"/>
    <col min="10" max="10" width="16.42578125" bestFit="1" customWidth="1"/>
    <col min="11" max="12" width="18.28515625" bestFit="1" customWidth="1"/>
    <col min="13" max="13" width="17.85546875" customWidth="1"/>
    <col min="14" max="14" width="17.28515625" bestFit="1" customWidth="1"/>
    <col min="15" max="15" width="17.42578125" bestFit="1" customWidth="1"/>
    <col min="16" max="16" width="21.7109375" bestFit="1" customWidth="1"/>
  </cols>
  <sheetData>
    <row r="1" spans="1:17">
      <c r="B1" s="2" t="s">
        <v>51</v>
      </c>
      <c r="L1" s="6"/>
      <c r="P1" s="6" t="str">
        <f>CONCATENATE("Prior Year: ",'1-BaseTRR'!$G$2)</f>
        <v>Prior Year: 2021</v>
      </c>
    </row>
    <row r="2" spans="1:17">
      <c r="B2" s="113" t="s">
        <v>131</v>
      </c>
      <c r="C2" s="42"/>
      <c r="L2" s="6"/>
      <c r="M2" s="6"/>
    </row>
    <row r="4" spans="1:17" ht="15" customHeight="1">
      <c r="B4" s="138" t="s">
        <v>1535</v>
      </c>
      <c r="C4" s="2"/>
      <c r="D4" s="2"/>
      <c r="F4" s="425">
        <f>P10</f>
        <v>648895032.04825652</v>
      </c>
    </row>
    <row r="5" spans="1:17">
      <c r="A5" s="3"/>
      <c r="I5" s="336"/>
      <c r="N5" s="3"/>
    </row>
    <row r="6" spans="1:17">
      <c r="B6" s="3" t="s">
        <v>371</v>
      </c>
      <c r="C6" s="3" t="s">
        <v>372</v>
      </c>
      <c r="D6" s="3" t="s">
        <v>373</v>
      </c>
      <c r="E6" s="3" t="s">
        <v>374</v>
      </c>
      <c r="F6" s="3" t="s">
        <v>375</v>
      </c>
      <c r="G6" s="3" t="s">
        <v>376</v>
      </c>
      <c r="H6" s="3" t="s">
        <v>377</v>
      </c>
      <c r="I6" s="3" t="s">
        <v>378</v>
      </c>
      <c r="J6" s="3" t="s">
        <v>409</v>
      </c>
      <c r="K6" s="3" t="s">
        <v>525</v>
      </c>
      <c r="L6" s="3" t="s">
        <v>526</v>
      </c>
      <c r="M6" s="3" t="s">
        <v>527</v>
      </c>
      <c r="N6" s="3" t="s">
        <v>528</v>
      </c>
      <c r="O6" s="3" t="s">
        <v>529</v>
      </c>
      <c r="P6" s="3" t="s">
        <v>1345</v>
      </c>
      <c r="Q6" s="3"/>
    </row>
    <row r="7" spans="1:17" ht="30">
      <c r="A7" s="7" t="s">
        <v>135</v>
      </c>
      <c r="B7" s="21"/>
      <c r="C7" s="21"/>
      <c r="D7" s="21" t="s">
        <v>111</v>
      </c>
      <c r="E7" s="21" t="s">
        <v>111</v>
      </c>
      <c r="F7" s="153" t="s">
        <v>1536</v>
      </c>
      <c r="G7" s="21" t="s">
        <v>1537</v>
      </c>
      <c r="H7" s="21" t="s">
        <v>1537</v>
      </c>
      <c r="I7" s="21" t="s">
        <v>1215</v>
      </c>
      <c r="J7" s="21" t="s">
        <v>1538</v>
      </c>
      <c r="K7" s="21" t="s">
        <v>1539</v>
      </c>
      <c r="L7" s="21" t="s">
        <v>1540</v>
      </c>
      <c r="M7" s="21" t="s">
        <v>251</v>
      </c>
      <c r="N7" s="21" t="s">
        <v>1541</v>
      </c>
      <c r="O7" s="21" t="s">
        <v>1542</v>
      </c>
      <c r="P7" s="21" t="s">
        <v>1543</v>
      </c>
    </row>
    <row r="8" spans="1:17" ht="28.5" customHeight="1">
      <c r="B8" s="847" t="s">
        <v>647</v>
      </c>
      <c r="C8" s="849" t="s">
        <v>1544</v>
      </c>
      <c r="D8" s="849" t="s">
        <v>1545</v>
      </c>
      <c r="E8" s="844"/>
      <c r="F8" s="844"/>
      <c r="G8" s="841" t="s">
        <v>650</v>
      </c>
      <c r="H8" s="842"/>
      <c r="I8" s="843"/>
      <c r="J8" s="844" t="s">
        <v>1546</v>
      </c>
      <c r="K8" s="844"/>
      <c r="L8" s="844"/>
      <c r="M8" s="847" t="s">
        <v>1547</v>
      </c>
      <c r="N8" s="844" t="s">
        <v>1548</v>
      </c>
      <c r="O8" s="844"/>
      <c r="P8" s="844"/>
    </row>
    <row r="9" spans="1:17">
      <c r="A9" s="3" t="s">
        <v>100</v>
      </c>
      <c r="B9" s="848"/>
      <c r="C9" s="849"/>
      <c r="D9" s="335" t="s">
        <v>1549</v>
      </c>
      <c r="E9" s="335" t="s">
        <v>1550</v>
      </c>
      <c r="F9" s="335" t="s">
        <v>465</v>
      </c>
      <c r="G9" s="335" t="s">
        <v>1549</v>
      </c>
      <c r="H9" s="335" t="s">
        <v>1550</v>
      </c>
      <c r="I9" s="335" t="s">
        <v>465</v>
      </c>
      <c r="J9" s="335" t="s">
        <v>1549</v>
      </c>
      <c r="K9" s="335" t="s">
        <v>1550</v>
      </c>
      <c r="L9" s="335" t="s">
        <v>465</v>
      </c>
      <c r="M9" s="848"/>
      <c r="N9" s="335" t="s">
        <v>1549</v>
      </c>
      <c r="O9" s="335" t="s">
        <v>1550</v>
      </c>
      <c r="P9" s="335" t="s">
        <v>465</v>
      </c>
      <c r="Q9" s="3" t="s">
        <v>100</v>
      </c>
    </row>
    <row r="10" spans="1:17" ht="15.75" thickBot="1">
      <c r="A10" s="4">
        <v>100</v>
      </c>
      <c r="B10" s="846" t="s">
        <v>1551</v>
      </c>
      <c r="C10" s="846"/>
      <c r="D10" s="532">
        <f t="shared" ref="D10:L10" si="0">SUM(D11:D37)</f>
        <v>202782008.71000013</v>
      </c>
      <c r="E10" s="532">
        <f t="shared" si="0"/>
        <v>531634793.75999993</v>
      </c>
      <c r="F10" s="532">
        <f t="shared" si="0"/>
        <v>734416802.47000027</v>
      </c>
      <c r="G10" s="532">
        <f t="shared" si="0"/>
        <v>-5852445.3100000033</v>
      </c>
      <c r="H10" s="532">
        <f t="shared" si="0"/>
        <v>-46336300.869999997</v>
      </c>
      <c r="I10" s="532">
        <f t="shared" si="0"/>
        <v>-52188746.180000007</v>
      </c>
      <c r="J10" s="532">
        <f t="shared" si="0"/>
        <v>196929563.40000007</v>
      </c>
      <c r="K10" s="532">
        <f t="shared" si="0"/>
        <v>485298492.88999993</v>
      </c>
      <c r="L10" s="532">
        <f t="shared" si="0"/>
        <v>682228056.29000008</v>
      </c>
      <c r="M10" s="532"/>
      <c r="N10" s="532">
        <f>SUM(N11:N37)</f>
        <v>187300588.22888961</v>
      </c>
      <c r="O10" s="532">
        <f>SUM(O11:O37)</f>
        <v>461594443.81936717</v>
      </c>
      <c r="P10" s="532">
        <f>SUM(P11:P37)</f>
        <v>648895032.04825652</v>
      </c>
      <c r="Q10" s="4">
        <f>A10</f>
        <v>100</v>
      </c>
    </row>
    <row r="11" spans="1:17" ht="15.75" thickTop="1">
      <c r="A11" s="4">
        <f>A10+1</f>
        <v>101</v>
      </c>
      <c r="B11" s="161">
        <v>560</v>
      </c>
      <c r="C11" s="37" t="s">
        <v>1552</v>
      </c>
      <c r="D11" s="497">
        <v>1504678.25</v>
      </c>
      <c r="E11" s="497">
        <v>1934089.99</v>
      </c>
      <c r="F11" s="442">
        <f t="shared" ref="F11:F37" si="1">D11+E11</f>
        <v>3438768.24</v>
      </c>
      <c r="G11" s="497">
        <v>0</v>
      </c>
      <c r="H11" s="497">
        <v>0</v>
      </c>
      <c r="I11" s="442">
        <f>G11+H11</f>
        <v>0</v>
      </c>
      <c r="J11" s="442">
        <f t="shared" ref="J11:J37" si="2">D11+G11</f>
        <v>1504678.25</v>
      </c>
      <c r="K11" s="442">
        <f t="shared" ref="K11:K37" si="3">E11+H11</f>
        <v>1934089.99</v>
      </c>
      <c r="L11" s="442">
        <f t="shared" ref="L11:L37" si="4">J11+K11</f>
        <v>3438768.24</v>
      </c>
      <c r="M11" s="334">
        <f>'24-Allocators'!$C$37</f>
        <v>0.951104471035909</v>
      </c>
      <c r="N11" s="446">
        <f t="shared" ref="N11:N37" si="5">J11*M11</f>
        <v>1431106.2110454873</v>
      </c>
      <c r="O11" s="446">
        <f t="shared" ref="O11:O37" si="6">K11*M11</f>
        <v>1839521.6368747966</v>
      </c>
      <c r="P11" s="446">
        <f t="shared" ref="P11:P37" si="7">N11+O11</f>
        <v>3270627.8479202837</v>
      </c>
      <c r="Q11" s="4">
        <f t="shared" ref="Q11:Q37" si="8">A11</f>
        <v>101</v>
      </c>
    </row>
    <row r="12" spans="1:17">
      <c r="A12" s="4">
        <f t="shared" ref="A12:A37" si="9">A11+1</f>
        <v>102</v>
      </c>
      <c r="B12" s="161">
        <v>561.1</v>
      </c>
      <c r="C12" s="37" t="s">
        <v>1553</v>
      </c>
      <c r="D12" s="497">
        <v>0</v>
      </c>
      <c r="E12" s="497">
        <v>0</v>
      </c>
      <c r="F12" s="442">
        <f t="shared" si="1"/>
        <v>0</v>
      </c>
      <c r="G12" s="497">
        <v>0</v>
      </c>
      <c r="H12" s="497">
        <v>0</v>
      </c>
      <c r="I12" s="442">
        <f t="shared" ref="I12:I37" si="10">G12+H12</f>
        <v>0</v>
      </c>
      <c r="J12" s="442">
        <f t="shared" si="2"/>
        <v>0</v>
      </c>
      <c r="K12" s="442">
        <f t="shared" si="3"/>
        <v>0</v>
      </c>
      <c r="L12" s="442">
        <f t="shared" si="4"/>
        <v>0</v>
      </c>
      <c r="M12" s="334">
        <f>'24-Allocators'!$C$37</f>
        <v>0.951104471035909</v>
      </c>
      <c r="N12" s="446">
        <f t="shared" si="5"/>
        <v>0</v>
      </c>
      <c r="O12" s="446">
        <f t="shared" si="6"/>
        <v>0</v>
      </c>
      <c r="P12" s="446">
        <f t="shared" si="7"/>
        <v>0</v>
      </c>
      <c r="Q12" s="4">
        <f t="shared" si="8"/>
        <v>102</v>
      </c>
    </row>
    <row r="13" spans="1:17" ht="30">
      <c r="A13" s="4">
        <f t="shared" si="9"/>
        <v>103</v>
      </c>
      <c r="B13" s="161">
        <v>561.20000000000005</v>
      </c>
      <c r="C13" s="306" t="s">
        <v>1554</v>
      </c>
      <c r="D13" s="497">
        <v>36808540.600000001</v>
      </c>
      <c r="E13" s="497">
        <v>4333802.29</v>
      </c>
      <c r="F13" s="442">
        <f t="shared" si="1"/>
        <v>41142342.890000001</v>
      </c>
      <c r="G13" s="497">
        <v>0</v>
      </c>
      <c r="H13" s="497">
        <v>0</v>
      </c>
      <c r="I13" s="442">
        <f t="shared" si="10"/>
        <v>0</v>
      </c>
      <c r="J13" s="442">
        <f t="shared" si="2"/>
        <v>36808540.600000001</v>
      </c>
      <c r="K13" s="442">
        <f t="shared" si="3"/>
        <v>4333802.29</v>
      </c>
      <c r="L13" s="442">
        <f t="shared" si="4"/>
        <v>41142342.890000001</v>
      </c>
      <c r="M13" s="334">
        <f>'24-Allocators'!$C$37</f>
        <v>0.951104471035909</v>
      </c>
      <c r="N13" s="446">
        <f t="shared" si="5"/>
        <v>35008767.536966786</v>
      </c>
      <c r="O13" s="446">
        <f t="shared" si="6"/>
        <v>4121898.7346046614</v>
      </c>
      <c r="P13" s="446">
        <f t="shared" si="7"/>
        <v>39130666.27157145</v>
      </c>
      <c r="Q13" s="4">
        <f t="shared" si="8"/>
        <v>103</v>
      </c>
    </row>
    <row r="14" spans="1:17" ht="30">
      <c r="A14" s="4">
        <f t="shared" si="9"/>
        <v>104</v>
      </c>
      <c r="B14" s="161">
        <v>561.30000000000007</v>
      </c>
      <c r="C14" s="37" t="s">
        <v>1555</v>
      </c>
      <c r="D14" s="497">
        <v>0</v>
      </c>
      <c r="E14" s="497">
        <v>0</v>
      </c>
      <c r="F14" s="442">
        <f t="shared" si="1"/>
        <v>0</v>
      </c>
      <c r="G14" s="497">
        <v>0</v>
      </c>
      <c r="H14" s="497">
        <v>0</v>
      </c>
      <c r="I14" s="442">
        <f t="shared" si="10"/>
        <v>0</v>
      </c>
      <c r="J14" s="442">
        <f t="shared" si="2"/>
        <v>0</v>
      </c>
      <c r="K14" s="442">
        <f t="shared" si="3"/>
        <v>0</v>
      </c>
      <c r="L14" s="442">
        <f t="shared" si="4"/>
        <v>0</v>
      </c>
      <c r="M14" s="334">
        <f>'24-Allocators'!$C$37</f>
        <v>0.951104471035909</v>
      </c>
      <c r="N14" s="446">
        <f t="shared" si="5"/>
        <v>0</v>
      </c>
      <c r="O14" s="446">
        <f t="shared" si="6"/>
        <v>0</v>
      </c>
      <c r="P14" s="446">
        <f t="shared" si="7"/>
        <v>0</v>
      </c>
      <c r="Q14" s="4">
        <f t="shared" si="8"/>
        <v>104</v>
      </c>
    </row>
    <row r="15" spans="1:17" ht="30">
      <c r="A15" s="4">
        <f t="shared" si="9"/>
        <v>105</v>
      </c>
      <c r="B15" s="161">
        <v>561.40000000000009</v>
      </c>
      <c r="C15" s="306" t="s">
        <v>1556</v>
      </c>
      <c r="D15" s="497">
        <v>0</v>
      </c>
      <c r="E15" s="497">
        <v>16661312.83</v>
      </c>
      <c r="F15" s="442">
        <f t="shared" si="1"/>
        <v>16661312.83</v>
      </c>
      <c r="G15" s="497">
        <v>0</v>
      </c>
      <c r="H15" s="497">
        <v>-16661312.829999998</v>
      </c>
      <c r="I15" s="442">
        <f t="shared" si="10"/>
        <v>-16661312.829999998</v>
      </c>
      <c r="J15" s="442">
        <f t="shared" si="2"/>
        <v>0</v>
      </c>
      <c r="K15" s="442">
        <f t="shared" si="3"/>
        <v>0</v>
      </c>
      <c r="L15" s="442">
        <f t="shared" si="4"/>
        <v>0</v>
      </c>
      <c r="M15" s="334">
        <f>'24-Allocators'!$C$37</f>
        <v>0.951104471035909</v>
      </c>
      <c r="N15" s="446">
        <f t="shared" si="5"/>
        <v>0</v>
      </c>
      <c r="O15" s="446">
        <f t="shared" si="6"/>
        <v>0</v>
      </c>
      <c r="P15" s="446">
        <f t="shared" si="7"/>
        <v>0</v>
      </c>
      <c r="Q15" s="4">
        <f t="shared" si="8"/>
        <v>105</v>
      </c>
    </row>
    <row r="16" spans="1:17" ht="30">
      <c r="A16" s="4">
        <f t="shared" si="9"/>
        <v>106</v>
      </c>
      <c r="B16" s="161">
        <v>561.50000000000011</v>
      </c>
      <c r="C16" s="37" t="s">
        <v>1557</v>
      </c>
      <c r="D16" s="497">
        <v>0</v>
      </c>
      <c r="E16" s="497">
        <v>0</v>
      </c>
      <c r="F16" s="442">
        <f t="shared" si="1"/>
        <v>0</v>
      </c>
      <c r="G16" s="497">
        <v>0</v>
      </c>
      <c r="H16" s="497">
        <v>0</v>
      </c>
      <c r="I16" s="442">
        <f t="shared" si="10"/>
        <v>0</v>
      </c>
      <c r="J16" s="442">
        <f t="shared" si="2"/>
        <v>0</v>
      </c>
      <c r="K16" s="442">
        <f t="shared" si="3"/>
        <v>0</v>
      </c>
      <c r="L16" s="442">
        <f t="shared" si="4"/>
        <v>0</v>
      </c>
      <c r="M16" s="334">
        <f>'24-Allocators'!$C$37</f>
        <v>0.951104471035909</v>
      </c>
      <c r="N16" s="446">
        <f t="shared" si="5"/>
        <v>0</v>
      </c>
      <c r="O16" s="446">
        <f t="shared" si="6"/>
        <v>0</v>
      </c>
      <c r="P16" s="446">
        <f t="shared" si="7"/>
        <v>0</v>
      </c>
      <c r="Q16" s="4">
        <f t="shared" si="8"/>
        <v>106</v>
      </c>
    </row>
    <row r="17" spans="1:17">
      <c r="A17" s="4">
        <f t="shared" si="9"/>
        <v>107</v>
      </c>
      <c r="B17" s="161">
        <v>561.60000000000014</v>
      </c>
      <c r="C17" s="37" t="s">
        <v>1558</v>
      </c>
      <c r="D17" s="497">
        <v>0</v>
      </c>
      <c r="E17" s="497">
        <v>0</v>
      </c>
      <c r="F17" s="442">
        <f t="shared" si="1"/>
        <v>0</v>
      </c>
      <c r="G17" s="497">
        <v>0</v>
      </c>
      <c r="H17" s="497">
        <v>0</v>
      </c>
      <c r="I17" s="442">
        <f t="shared" si="10"/>
        <v>0</v>
      </c>
      <c r="J17" s="442">
        <f t="shared" si="2"/>
        <v>0</v>
      </c>
      <c r="K17" s="442">
        <f t="shared" si="3"/>
        <v>0</v>
      </c>
      <c r="L17" s="442">
        <f t="shared" si="4"/>
        <v>0</v>
      </c>
      <c r="M17" s="334">
        <f>'24-Allocators'!$C$37</f>
        <v>0.951104471035909</v>
      </c>
      <c r="N17" s="446">
        <f t="shared" si="5"/>
        <v>0</v>
      </c>
      <c r="O17" s="446">
        <f t="shared" si="6"/>
        <v>0</v>
      </c>
      <c r="P17" s="446">
        <f t="shared" si="7"/>
        <v>0</v>
      </c>
      <c r="Q17" s="4">
        <f t="shared" si="8"/>
        <v>107</v>
      </c>
    </row>
    <row r="18" spans="1:17">
      <c r="A18" s="4">
        <f t="shared" si="9"/>
        <v>108</v>
      </c>
      <c r="B18" s="161">
        <v>561.70000000000016</v>
      </c>
      <c r="C18" s="37" t="s">
        <v>1559</v>
      </c>
      <c r="D18" s="497">
        <v>0</v>
      </c>
      <c r="E18" s="497">
        <v>0</v>
      </c>
      <c r="F18" s="442">
        <f t="shared" si="1"/>
        <v>0</v>
      </c>
      <c r="G18" s="497">
        <v>0</v>
      </c>
      <c r="H18" s="497">
        <v>0</v>
      </c>
      <c r="I18" s="442">
        <f t="shared" si="10"/>
        <v>0</v>
      </c>
      <c r="J18" s="442">
        <f t="shared" si="2"/>
        <v>0</v>
      </c>
      <c r="K18" s="442">
        <f t="shared" si="3"/>
        <v>0</v>
      </c>
      <c r="L18" s="442">
        <f t="shared" si="4"/>
        <v>0</v>
      </c>
      <c r="M18" s="334">
        <f>'24-Allocators'!$C$37</f>
        <v>0.951104471035909</v>
      </c>
      <c r="N18" s="446">
        <f t="shared" si="5"/>
        <v>0</v>
      </c>
      <c r="O18" s="446">
        <f t="shared" si="6"/>
        <v>0</v>
      </c>
      <c r="P18" s="446">
        <f t="shared" si="7"/>
        <v>0</v>
      </c>
      <c r="Q18" s="4">
        <f t="shared" si="8"/>
        <v>108</v>
      </c>
    </row>
    <row r="19" spans="1:17" ht="30">
      <c r="A19" s="4">
        <f t="shared" si="9"/>
        <v>109</v>
      </c>
      <c r="B19" s="161">
        <v>561.80000000000018</v>
      </c>
      <c r="C19" s="306" t="s">
        <v>1560</v>
      </c>
      <c r="D19" s="497">
        <v>0</v>
      </c>
      <c r="E19" s="497">
        <v>7676158.4699999997</v>
      </c>
      <c r="F19" s="442">
        <f t="shared" si="1"/>
        <v>7676158.4699999997</v>
      </c>
      <c r="G19" s="497">
        <v>0</v>
      </c>
      <c r="H19" s="497">
        <v>-7676158.4699999988</v>
      </c>
      <c r="I19" s="442">
        <f t="shared" si="10"/>
        <v>-7676158.4699999988</v>
      </c>
      <c r="J19" s="442">
        <f t="shared" si="2"/>
        <v>0</v>
      </c>
      <c r="K19" s="442">
        <f t="shared" si="3"/>
        <v>0</v>
      </c>
      <c r="L19" s="442">
        <f t="shared" si="4"/>
        <v>0</v>
      </c>
      <c r="M19" s="334">
        <f>'24-Allocators'!$C$37</f>
        <v>0.951104471035909</v>
      </c>
      <c r="N19" s="446">
        <f t="shared" si="5"/>
        <v>0</v>
      </c>
      <c r="O19" s="446">
        <f t="shared" si="6"/>
        <v>0</v>
      </c>
      <c r="P19" s="446">
        <f t="shared" si="7"/>
        <v>0</v>
      </c>
      <c r="Q19" s="4">
        <f t="shared" si="8"/>
        <v>109</v>
      </c>
    </row>
    <row r="20" spans="1:17">
      <c r="A20" s="4">
        <f t="shared" si="9"/>
        <v>110</v>
      </c>
      <c r="B20" s="161">
        <v>562</v>
      </c>
      <c r="C20" s="37" t="s">
        <v>1561</v>
      </c>
      <c r="D20" s="497">
        <v>6446670.9400000004</v>
      </c>
      <c r="E20" s="497">
        <v>3292004.35</v>
      </c>
      <c r="F20" s="442">
        <f t="shared" si="1"/>
        <v>9738675.290000001</v>
      </c>
      <c r="G20" s="497">
        <v>0</v>
      </c>
      <c r="H20" s="497">
        <v>-8034</v>
      </c>
      <c r="I20" s="442">
        <f t="shared" si="10"/>
        <v>-8034</v>
      </c>
      <c r="J20" s="442">
        <f t="shared" si="2"/>
        <v>6446670.9400000004</v>
      </c>
      <c r="K20" s="442">
        <f t="shared" si="3"/>
        <v>3283970.35</v>
      </c>
      <c r="L20" s="442">
        <f t="shared" si="4"/>
        <v>9730641.290000001</v>
      </c>
      <c r="M20" s="334">
        <f>'24-Allocators'!$C$37</f>
        <v>0.951104471035909</v>
      </c>
      <c r="N20" s="446">
        <f t="shared" si="5"/>
        <v>6131457.5543312663</v>
      </c>
      <c r="O20" s="446">
        <f t="shared" si="6"/>
        <v>3123398.8826343589</v>
      </c>
      <c r="P20" s="446">
        <f t="shared" si="7"/>
        <v>9254856.4369656257</v>
      </c>
      <c r="Q20" s="4">
        <f t="shared" si="8"/>
        <v>110</v>
      </c>
    </row>
    <row r="21" spans="1:17">
      <c r="A21" s="4">
        <f t="shared" si="9"/>
        <v>111</v>
      </c>
      <c r="B21" s="161">
        <v>562.1</v>
      </c>
      <c r="C21" s="37" t="s">
        <v>1562</v>
      </c>
      <c r="D21" s="497">
        <v>0</v>
      </c>
      <c r="E21" s="497">
        <v>0</v>
      </c>
      <c r="F21" s="442">
        <f t="shared" si="1"/>
        <v>0</v>
      </c>
      <c r="G21" s="497">
        <v>0</v>
      </c>
      <c r="H21" s="497">
        <v>0</v>
      </c>
      <c r="I21" s="442">
        <f t="shared" si="10"/>
        <v>0</v>
      </c>
      <c r="J21" s="442">
        <f t="shared" si="2"/>
        <v>0</v>
      </c>
      <c r="K21" s="442">
        <f t="shared" si="3"/>
        <v>0</v>
      </c>
      <c r="L21" s="442">
        <f t="shared" si="4"/>
        <v>0</v>
      </c>
      <c r="M21" s="334">
        <f>'24-Allocators'!$C$37</f>
        <v>0.951104471035909</v>
      </c>
      <c r="N21" s="446">
        <f t="shared" si="5"/>
        <v>0</v>
      </c>
      <c r="O21" s="446">
        <f t="shared" si="6"/>
        <v>0</v>
      </c>
      <c r="P21" s="446">
        <f t="shared" si="7"/>
        <v>0</v>
      </c>
      <c r="Q21" s="4">
        <f t="shared" si="8"/>
        <v>111</v>
      </c>
    </row>
    <row r="22" spans="1:17">
      <c r="A22" s="4">
        <f t="shared" si="9"/>
        <v>112</v>
      </c>
      <c r="B22" s="161">
        <v>563</v>
      </c>
      <c r="C22" s="37" t="s">
        <v>1563</v>
      </c>
      <c r="D22" s="497">
        <v>10341705.949999999</v>
      </c>
      <c r="E22" s="497">
        <v>105631976.42</v>
      </c>
      <c r="F22" s="442">
        <f t="shared" si="1"/>
        <v>115973682.37</v>
      </c>
      <c r="G22" s="497">
        <v>-3420.0199999999995</v>
      </c>
      <c r="H22" s="497">
        <v>-502271.66</v>
      </c>
      <c r="I22" s="442">
        <f t="shared" si="10"/>
        <v>-505691.68</v>
      </c>
      <c r="J22" s="442">
        <f t="shared" si="2"/>
        <v>10338285.93</v>
      </c>
      <c r="K22" s="442">
        <f t="shared" si="3"/>
        <v>105129704.76000001</v>
      </c>
      <c r="L22" s="442">
        <f t="shared" si="4"/>
        <v>115467990.69</v>
      </c>
      <c r="M22" s="334">
        <f>'24-Allocators'!$C$37</f>
        <v>0.951104471035909</v>
      </c>
      <c r="N22" s="446">
        <f t="shared" si="5"/>
        <v>9832789.9708706308</v>
      </c>
      <c r="O22" s="446">
        <f t="shared" si="6"/>
        <v>99989332.235921085</v>
      </c>
      <c r="P22" s="446">
        <f t="shared" si="7"/>
        <v>109822122.20679171</v>
      </c>
      <c r="Q22" s="4">
        <f t="shared" si="8"/>
        <v>112</v>
      </c>
    </row>
    <row r="23" spans="1:17">
      <c r="A23" s="4">
        <f t="shared" si="9"/>
        <v>113</v>
      </c>
      <c r="B23" s="161">
        <v>564</v>
      </c>
      <c r="C23" s="37" t="s">
        <v>1564</v>
      </c>
      <c r="D23" s="497">
        <v>286890.23999999999</v>
      </c>
      <c r="E23" s="497">
        <v>11393.44</v>
      </c>
      <c r="F23" s="442">
        <f t="shared" si="1"/>
        <v>298283.68</v>
      </c>
      <c r="G23" s="497">
        <v>-20228.53</v>
      </c>
      <c r="H23" s="497">
        <v>-1172.67</v>
      </c>
      <c r="I23" s="442">
        <f t="shared" si="10"/>
        <v>-21401.199999999997</v>
      </c>
      <c r="J23" s="442">
        <f t="shared" si="2"/>
        <v>266661.70999999996</v>
      </c>
      <c r="K23" s="442">
        <f t="shared" si="3"/>
        <v>10220.77</v>
      </c>
      <c r="L23" s="442">
        <f t="shared" si="4"/>
        <v>276882.48</v>
      </c>
      <c r="M23" s="334">
        <f>'24-Allocators'!$C$37</f>
        <v>0.951104471035909</v>
      </c>
      <c r="N23" s="446">
        <f t="shared" si="5"/>
        <v>253623.14463508094</v>
      </c>
      <c r="O23" s="446">
        <f t="shared" si="6"/>
        <v>9721.0200444296879</v>
      </c>
      <c r="P23" s="446">
        <f t="shared" si="7"/>
        <v>263344.16467951064</v>
      </c>
      <c r="Q23" s="4">
        <f t="shared" si="8"/>
        <v>113</v>
      </c>
    </row>
    <row r="24" spans="1:17">
      <c r="A24" s="4">
        <f t="shared" si="9"/>
        <v>114</v>
      </c>
      <c r="B24" s="161">
        <v>565</v>
      </c>
      <c r="C24" s="37" t="s">
        <v>1565</v>
      </c>
      <c r="D24" s="497">
        <v>0</v>
      </c>
      <c r="E24" s="497">
        <v>508787.72</v>
      </c>
      <c r="F24" s="442">
        <f t="shared" si="1"/>
        <v>508787.72</v>
      </c>
      <c r="G24" s="497">
        <v>0</v>
      </c>
      <c r="H24" s="497">
        <v>0</v>
      </c>
      <c r="I24" s="442">
        <f t="shared" si="10"/>
        <v>0</v>
      </c>
      <c r="J24" s="442">
        <f t="shared" si="2"/>
        <v>0</v>
      </c>
      <c r="K24" s="442">
        <f t="shared" si="3"/>
        <v>508787.72</v>
      </c>
      <c r="L24" s="442">
        <f t="shared" si="4"/>
        <v>508787.72</v>
      </c>
      <c r="M24" s="447">
        <v>1</v>
      </c>
      <c r="N24" s="446">
        <f t="shared" si="5"/>
        <v>0</v>
      </c>
      <c r="O24" s="446">
        <f t="shared" si="6"/>
        <v>508787.72</v>
      </c>
      <c r="P24" s="446">
        <f t="shared" si="7"/>
        <v>508787.72</v>
      </c>
      <c r="Q24" s="4">
        <f t="shared" si="8"/>
        <v>114</v>
      </c>
    </row>
    <row r="25" spans="1:17">
      <c r="A25" s="4">
        <f t="shared" si="9"/>
        <v>115</v>
      </c>
      <c r="B25" s="161">
        <v>566</v>
      </c>
      <c r="C25" s="37" t="s">
        <v>1566</v>
      </c>
      <c r="D25" s="497">
        <v>88134438.410000101</v>
      </c>
      <c r="E25" s="497">
        <v>125153638.28</v>
      </c>
      <c r="F25" s="442">
        <f t="shared" si="1"/>
        <v>213288076.69000012</v>
      </c>
      <c r="G25" s="621">
        <v>-5605858.6800000034</v>
      </c>
      <c r="H25" s="621">
        <v>-19788681.920000002</v>
      </c>
      <c r="I25" s="442">
        <f t="shared" si="10"/>
        <v>-25394540.600000005</v>
      </c>
      <c r="J25" s="442">
        <f t="shared" si="2"/>
        <v>82528579.730000094</v>
      </c>
      <c r="K25" s="442">
        <f t="shared" si="3"/>
        <v>105364956.36</v>
      </c>
      <c r="L25" s="442">
        <f t="shared" si="4"/>
        <v>187893536.09000009</v>
      </c>
      <c r="M25" s="334">
        <f>'24-Allocators'!$C$37</f>
        <v>0.951104471035909</v>
      </c>
      <c r="N25" s="446">
        <f t="shared" si="5"/>
        <v>78493301.169446588</v>
      </c>
      <c r="O25" s="446">
        <f t="shared" si="6"/>
        <v>100213081.08449943</v>
      </c>
      <c r="P25" s="446">
        <f t="shared" si="7"/>
        <v>178706382.25394601</v>
      </c>
      <c r="Q25" s="4">
        <f t="shared" si="8"/>
        <v>115</v>
      </c>
    </row>
    <row r="26" spans="1:17">
      <c r="A26" s="4">
        <f t="shared" si="9"/>
        <v>116</v>
      </c>
      <c r="B26" s="161">
        <v>567</v>
      </c>
      <c r="C26" s="37" t="s">
        <v>1567</v>
      </c>
      <c r="D26" s="497">
        <v>0</v>
      </c>
      <c r="E26" s="497">
        <v>0</v>
      </c>
      <c r="F26" s="442">
        <f t="shared" si="1"/>
        <v>0</v>
      </c>
      <c r="G26" s="497">
        <v>0</v>
      </c>
      <c r="H26" s="497">
        <v>0</v>
      </c>
      <c r="I26" s="442">
        <f t="shared" si="10"/>
        <v>0</v>
      </c>
      <c r="J26" s="442">
        <f t="shared" si="2"/>
        <v>0</v>
      </c>
      <c r="K26" s="442">
        <f t="shared" si="3"/>
        <v>0</v>
      </c>
      <c r="L26" s="442">
        <f t="shared" si="4"/>
        <v>0</v>
      </c>
      <c r="M26" s="334">
        <f>'24-Allocators'!$C$37</f>
        <v>0.951104471035909</v>
      </c>
      <c r="N26" s="446">
        <f t="shared" si="5"/>
        <v>0</v>
      </c>
      <c r="O26" s="446">
        <f t="shared" si="6"/>
        <v>0</v>
      </c>
      <c r="P26" s="446">
        <f t="shared" si="7"/>
        <v>0</v>
      </c>
      <c r="Q26" s="4">
        <f t="shared" si="8"/>
        <v>116</v>
      </c>
    </row>
    <row r="27" spans="1:17" ht="30">
      <c r="A27" s="4">
        <f t="shared" si="9"/>
        <v>117</v>
      </c>
      <c r="B27" s="161">
        <v>568</v>
      </c>
      <c r="C27" s="37" t="s">
        <v>1568</v>
      </c>
      <c r="D27" s="497">
        <v>1096464.23</v>
      </c>
      <c r="E27" s="497">
        <v>992076</v>
      </c>
      <c r="F27" s="442">
        <f t="shared" si="1"/>
        <v>2088540.23</v>
      </c>
      <c r="G27" s="497">
        <v>0</v>
      </c>
      <c r="H27" s="497">
        <v>0</v>
      </c>
      <c r="I27" s="442">
        <f t="shared" si="10"/>
        <v>0</v>
      </c>
      <c r="J27" s="442">
        <f t="shared" si="2"/>
        <v>1096464.23</v>
      </c>
      <c r="K27" s="442">
        <f t="shared" si="3"/>
        <v>992076</v>
      </c>
      <c r="L27" s="442">
        <f t="shared" si="4"/>
        <v>2088540.23</v>
      </c>
      <c r="M27" s="334">
        <f>'24-Allocators'!$C$37</f>
        <v>0.951104471035909</v>
      </c>
      <c r="N27" s="446">
        <f t="shared" si="5"/>
        <v>1042852.0314839452</v>
      </c>
      <c r="O27" s="446">
        <f t="shared" si="6"/>
        <v>943567.91920742043</v>
      </c>
      <c r="P27" s="446">
        <f t="shared" si="7"/>
        <v>1986419.9506913656</v>
      </c>
      <c r="Q27" s="4">
        <f t="shared" si="8"/>
        <v>117</v>
      </c>
    </row>
    <row r="28" spans="1:17">
      <c r="A28" s="4">
        <f t="shared" si="9"/>
        <v>118</v>
      </c>
      <c r="B28" s="161">
        <v>569</v>
      </c>
      <c r="C28" s="37" t="s">
        <v>1569</v>
      </c>
      <c r="D28" s="497">
        <v>48416.3</v>
      </c>
      <c r="E28" s="497">
        <v>1601698.88</v>
      </c>
      <c r="F28" s="442">
        <f t="shared" si="1"/>
        <v>1650115.18</v>
      </c>
      <c r="G28" s="497">
        <v>0</v>
      </c>
      <c r="H28" s="497">
        <v>0</v>
      </c>
      <c r="I28" s="442">
        <f t="shared" si="10"/>
        <v>0</v>
      </c>
      <c r="J28" s="442">
        <f t="shared" si="2"/>
        <v>48416.3</v>
      </c>
      <c r="K28" s="442">
        <f t="shared" si="3"/>
        <v>1601698.88</v>
      </c>
      <c r="L28" s="442">
        <f t="shared" si="4"/>
        <v>1650115.18</v>
      </c>
      <c r="M28" s="334">
        <f>'24-Allocators'!$C$37</f>
        <v>0.951104471035909</v>
      </c>
      <c r="N28" s="446">
        <f t="shared" si="5"/>
        <v>46048.959401015883</v>
      </c>
      <c r="O28" s="446">
        <f t="shared" si="6"/>
        <v>1523382.9660212079</v>
      </c>
      <c r="P28" s="446">
        <f t="shared" si="7"/>
        <v>1569431.9254222238</v>
      </c>
      <c r="Q28" s="4">
        <f t="shared" si="8"/>
        <v>118</v>
      </c>
    </row>
    <row r="29" spans="1:17">
      <c r="A29" s="4">
        <f t="shared" si="9"/>
        <v>119</v>
      </c>
      <c r="B29" s="161">
        <f>B28+0.1</f>
        <v>569.1</v>
      </c>
      <c r="C29" s="37" t="s">
        <v>1570</v>
      </c>
      <c r="D29" s="497">
        <v>0</v>
      </c>
      <c r="E29" s="497">
        <v>0</v>
      </c>
      <c r="F29" s="442">
        <f t="shared" si="1"/>
        <v>0</v>
      </c>
      <c r="G29" s="497">
        <v>0</v>
      </c>
      <c r="H29" s="497">
        <v>0</v>
      </c>
      <c r="I29" s="442">
        <f t="shared" si="10"/>
        <v>0</v>
      </c>
      <c r="J29" s="442">
        <f t="shared" si="2"/>
        <v>0</v>
      </c>
      <c r="K29" s="442">
        <f t="shared" si="3"/>
        <v>0</v>
      </c>
      <c r="L29" s="442">
        <f t="shared" si="4"/>
        <v>0</v>
      </c>
      <c r="M29" s="334">
        <f>'24-Allocators'!$C$37</f>
        <v>0.951104471035909</v>
      </c>
      <c r="N29" s="446">
        <f t="shared" si="5"/>
        <v>0</v>
      </c>
      <c r="O29" s="446">
        <f t="shared" si="6"/>
        <v>0</v>
      </c>
      <c r="P29" s="446">
        <f t="shared" si="7"/>
        <v>0</v>
      </c>
      <c r="Q29" s="4">
        <f t="shared" si="8"/>
        <v>119</v>
      </c>
    </row>
    <row r="30" spans="1:17">
      <c r="A30" s="4">
        <f t="shared" si="9"/>
        <v>120</v>
      </c>
      <c r="B30" s="161">
        <f>B29+0.1</f>
        <v>569.20000000000005</v>
      </c>
      <c r="C30" s="37" t="s">
        <v>1571</v>
      </c>
      <c r="D30" s="497">
        <v>0</v>
      </c>
      <c r="E30" s="497">
        <v>80.790000000000006</v>
      </c>
      <c r="F30" s="442">
        <f t="shared" si="1"/>
        <v>80.790000000000006</v>
      </c>
      <c r="G30" s="497">
        <v>0</v>
      </c>
      <c r="H30" s="497">
        <v>0</v>
      </c>
      <c r="I30" s="442">
        <f t="shared" si="10"/>
        <v>0</v>
      </c>
      <c r="J30" s="442">
        <f t="shared" si="2"/>
        <v>0</v>
      </c>
      <c r="K30" s="442">
        <f t="shared" si="3"/>
        <v>80.790000000000006</v>
      </c>
      <c r="L30" s="442">
        <f t="shared" si="4"/>
        <v>80.790000000000006</v>
      </c>
      <c r="M30" s="334">
        <f>'24-Allocators'!$C$37</f>
        <v>0.951104471035909</v>
      </c>
      <c r="N30" s="446">
        <f t="shared" si="5"/>
        <v>0</v>
      </c>
      <c r="O30" s="446">
        <f t="shared" si="6"/>
        <v>76.839730214991093</v>
      </c>
      <c r="P30" s="446">
        <f t="shared" si="7"/>
        <v>76.839730214991093</v>
      </c>
      <c r="Q30" s="4">
        <f t="shared" si="8"/>
        <v>120</v>
      </c>
    </row>
    <row r="31" spans="1:17" ht="30">
      <c r="A31" s="4">
        <f t="shared" si="9"/>
        <v>121</v>
      </c>
      <c r="B31" s="161">
        <f>B30+0.1</f>
        <v>569.30000000000007</v>
      </c>
      <c r="C31" s="37" t="s">
        <v>1572</v>
      </c>
      <c r="D31" s="497">
        <v>0</v>
      </c>
      <c r="E31" s="497">
        <v>0</v>
      </c>
      <c r="F31" s="442">
        <f t="shared" si="1"/>
        <v>0</v>
      </c>
      <c r="G31" s="497">
        <v>0</v>
      </c>
      <c r="H31" s="497">
        <v>0</v>
      </c>
      <c r="I31" s="442">
        <f t="shared" si="10"/>
        <v>0</v>
      </c>
      <c r="J31" s="442">
        <f t="shared" si="2"/>
        <v>0</v>
      </c>
      <c r="K31" s="442">
        <f t="shared" si="3"/>
        <v>0</v>
      </c>
      <c r="L31" s="442">
        <f t="shared" si="4"/>
        <v>0</v>
      </c>
      <c r="M31" s="334">
        <f>'24-Allocators'!$C$37</f>
        <v>0.951104471035909</v>
      </c>
      <c r="N31" s="446">
        <f t="shared" si="5"/>
        <v>0</v>
      </c>
      <c r="O31" s="446">
        <f t="shared" si="6"/>
        <v>0</v>
      </c>
      <c r="P31" s="446">
        <f t="shared" si="7"/>
        <v>0</v>
      </c>
      <c r="Q31" s="4">
        <f t="shared" si="8"/>
        <v>121</v>
      </c>
    </row>
    <row r="32" spans="1:17" ht="30">
      <c r="A32" s="4">
        <f t="shared" si="9"/>
        <v>122</v>
      </c>
      <c r="B32" s="161">
        <f>B31+0.1</f>
        <v>569.40000000000009</v>
      </c>
      <c r="C32" s="37" t="s">
        <v>1573</v>
      </c>
      <c r="D32" s="497">
        <v>0</v>
      </c>
      <c r="E32" s="497">
        <v>0</v>
      </c>
      <c r="F32" s="442">
        <f t="shared" si="1"/>
        <v>0</v>
      </c>
      <c r="G32" s="497">
        <v>0</v>
      </c>
      <c r="H32" s="497">
        <v>0</v>
      </c>
      <c r="I32" s="442">
        <f t="shared" si="10"/>
        <v>0</v>
      </c>
      <c r="J32" s="442">
        <f t="shared" si="2"/>
        <v>0</v>
      </c>
      <c r="K32" s="442">
        <f t="shared" si="3"/>
        <v>0</v>
      </c>
      <c r="L32" s="442">
        <f t="shared" si="4"/>
        <v>0</v>
      </c>
      <c r="M32" s="334">
        <f>'24-Allocators'!$C$37</f>
        <v>0.951104471035909</v>
      </c>
      <c r="N32" s="446">
        <f t="shared" si="5"/>
        <v>0</v>
      </c>
      <c r="O32" s="446">
        <f t="shared" si="6"/>
        <v>0</v>
      </c>
      <c r="P32" s="446">
        <f t="shared" si="7"/>
        <v>0</v>
      </c>
      <c r="Q32" s="4">
        <f t="shared" si="8"/>
        <v>122</v>
      </c>
    </row>
    <row r="33" spans="1:17">
      <c r="A33" s="4">
        <f t="shared" si="9"/>
        <v>123</v>
      </c>
      <c r="B33" s="161">
        <v>570</v>
      </c>
      <c r="C33" s="37" t="s">
        <v>1574</v>
      </c>
      <c r="D33" s="497">
        <v>22002706.559999999</v>
      </c>
      <c r="E33" s="497">
        <v>23694587.32</v>
      </c>
      <c r="F33" s="442">
        <f t="shared" si="1"/>
        <v>45697293.879999995</v>
      </c>
      <c r="G33" s="621">
        <v>-220400.17</v>
      </c>
      <c r="H33" s="621">
        <v>-32326.78</v>
      </c>
      <c r="I33" s="442">
        <f t="shared" si="10"/>
        <v>-252726.95</v>
      </c>
      <c r="J33" s="442">
        <f t="shared" si="2"/>
        <v>21782306.389999997</v>
      </c>
      <c r="K33" s="442">
        <f t="shared" si="3"/>
        <v>23662260.539999999</v>
      </c>
      <c r="L33" s="442">
        <f t="shared" si="4"/>
        <v>45444566.929999992</v>
      </c>
      <c r="M33" s="334">
        <f>'24-Allocators'!$C$37</f>
        <v>0.951104471035909</v>
      </c>
      <c r="N33" s="446">
        <f t="shared" si="5"/>
        <v>20717248.997003049</v>
      </c>
      <c r="O33" s="446">
        <f t="shared" si="6"/>
        <v>22505281.79441056</v>
      </c>
      <c r="P33" s="446">
        <f t="shared" si="7"/>
        <v>43222530.791413605</v>
      </c>
      <c r="Q33" s="4">
        <f t="shared" si="8"/>
        <v>123</v>
      </c>
    </row>
    <row r="34" spans="1:17" ht="30">
      <c r="A34" s="4">
        <f t="shared" si="9"/>
        <v>124</v>
      </c>
      <c r="B34" s="161">
        <f>B33+0.1</f>
        <v>570.1</v>
      </c>
      <c r="C34" s="37" t="s">
        <v>1575</v>
      </c>
      <c r="D34" s="497">
        <v>0</v>
      </c>
      <c r="E34" s="497">
        <v>0</v>
      </c>
      <c r="F34" s="442">
        <f t="shared" si="1"/>
        <v>0</v>
      </c>
      <c r="G34" s="497">
        <v>0</v>
      </c>
      <c r="H34" s="497">
        <v>0</v>
      </c>
      <c r="I34" s="442">
        <f t="shared" si="10"/>
        <v>0</v>
      </c>
      <c r="J34" s="442">
        <f t="shared" si="2"/>
        <v>0</v>
      </c>
      <c r="K34" s="442">
        <f t="shared" si="3"/>
        <v>0</v>
      </c>
      <c r="L34" s="442">
        <f t="shared" si="4"/>
        <v>0</v>
      </c>
      <c r="M34" s="334">
        <f>'24-Allocators'!$C$37</f>
        <v>0.951104471035909</v>
      </c>
      <c r="N34" s="446">
        <f t="shared" si="5"/>
        <v>0</v>
      </c>
      <c r="O34" s="446">
        <f t="shared" si="6"/>
        <v>0</v>
      </c>
      <c r="P34" s="446">
        <f t="shared" si="7"/>
        <v>0</v>
      </c>
      <c r="Q34" s="4">
        <f t="shared" si="8"/>
        <v>124</v>
      </c>
    </row>
    <row r="35" spans="1:17">
      <c r="A35" s="4">
        <f t="shared" si="9"/>
        <v>125</v>
      </c>
      <c r="B35" s="161">
        <v>571</v>
      </c>
      <c r="C35" s="37" t="s">
        <v>1576</v>
      </c>
      <c r="D35" s="497">
        <v>34374240.939999998</v>
      </c>
      <c r="E35" s="497">
        <v>239474384.19999999</v>
      </c>
      <c r="F35" s="442">
        <f t="shared" si="1"/>
        <v>273848625.13999999</v>
      </c>
      <c r="G35" s="621">
        <v>1873.55</v>
      </c>
      <c r="H35" s="621">
        <v>-1665955.98</v>
      </c>
      <c r="I35" s="442">
        <f t="shared" si="10"/>
        <v>-1664082.43</v>
      </c>
      <c r="J35" s="442">
        <f t="shared" si="2"/>
        <v>34376114.489999995</v>
      </c>
      <c r="K35" s="442">
        <f t="shared" si="3"/>
        <v>237808428.22</v>
      </c>
      <c r="L35" s="442">
        <f t="shared" si="4"/>
        <v>272184542.70999998</v>
      </c>
      <c r="M35" s="334">
        <f>'24-Allocators'!$C$37</f>
        <v>0.951104471035909</v>
      </c>
      <c r="N35" s="446">
        <f t="shared" si="5"/>
        <v>32695276.18828129</v>
      </c>
      <c r="O35" s="446">
        <f t="shared" si="6"/>
        <v>226180659.33006403</v>
      </c>
      <c r="P35" s="446">
        <f t="shared" si="7"/>
        <v>258875935.51834533</v>
      </c>
      <c r="Q35" s="4">
        <f t="shared" si="8"/>
        <v>125</v>
      </c>
    </row>
    <row r="36" spans="1:17">
      <c r="A36" s="4">
        <f t="shared" si="9"/>
        <v>126</v>
      </c>
      <c r="B36" s="161">
        <v>572</v>
      </c>
      <c r="C36" s="37" t="s">
        <v>1577</v>
      </c>
      <c r="D36" s="497">
        <v>1700772.99</v>
      </c>
      <c r="E36" s="497">
        <v>527142.26</v>
      </c>
      <c r="F36" s="442">
        <f t="shared" si="1"/>
        <v>2227915.25</v>
      </c>
      <c r="G36" s="497">
        <v>0</v>
      </c>
      <c r="H36" s="497">
        <v>0</v>
      </c>
      <c r="I36" s="442">
        <f t="shared" si="10"/>
        <v>0</v>
      </c>
      <c r="J36" s="442">
        <f t="shared" si="2"/>
        <v>1700772.99</v>
      </c>
      <c r="K36" s="442">
        <f t="shared" si="3"/>
        <v>527142.26</v>
      </c>
      <c r="L36" s="442">
        <f t="shared" si="4"/>
        <v>2227915.25</v>
      </c>
      <c r="M36" s="334">
        <f>'24-Allocators'!$C$37</f>
        <v>0.951104471035909</v>
      </c>
      <c r="N36" s="446">
        <f t="shared" si="5"/>
        <v>1617612.7950061113</v>
      </c>
      <c r="O36" s="446">
        <f t="shared" si="6"/>
        <v>501367.36035797361</v>
      </c>
      <c r="P36" s="446">
        <f t="shared" si="7"/>
        <v>2118980.155364085</v>
      </c>
      <c r="Q36" s="4">
        <f t="shared" si="8"/>
        <v>126</v>
      </c>
    </row>
    <row r="37" spans="1:17" ht="30">
      <c r="A37" s="4">
        <f t="shared" si="9"/>
        <v>127</v>
      </c>
      <c r="B37" s="161">
        <v>573</v>
      </c>
      <c r="C37" s="37" t="s">
        <v>1578</v>
      </c>
      <c r="D37" s="497">
        <v>36483.300000000003</v>
      </c>
      <c r="E37" s="497">
        <v>141660.51999999999</v>
      </c>
      <c r="F37" s="442">
        <f t="shared" si="1"/>
        <v>178143.82</v>
      </c>
      <c r="G37" s="497">
        <v>-4411.46</v>
      </c>
      <c r="H37" s="497">
        <v>-386.56000000000495</v>
      </c>
      <c r="I37" s="442">
        <f t="shared" si="10"/>
        <v>-4798.020000000005</v>
      </c>
      <c r="J37" s="442">
        <f t="shared" si="2"/>
        <v>32071.840000000004</v>
      </c>
      <c r="K37" s="442">
        <f t="shared" si="3"/>
        <v>141273.96</v>
      </c>
      <c r="L37" s="442">
        <f t="shared" si="4"/>
        <v>173345.8</v>
      </c>
      <c r="M37" s="334">
        <f>'24-Allocators'!$C$37</f>
        <v>0.951104471035909</v>
      </c>
      <c r="N37" s="446">
        <f t="shared" si="5"/>
        <v>30503.670418348313</v>
      </c>
      <c r="O37" s="446">
        <f t="shared" si="6"/>
        <v>134366.29499694816</v>
      </c>
      <c r="P37" s="446">
        <f t="shared" si="7"/>
        <v>164869.96541529646</v>
      </c>
      <c r="Q37" s="4">
        <f t="shared" si="8"/>
        <v>127</v>
      </c>
    </row>
    <row r="38" spans="1:17">
      <c r="C38" s="2"/>
      <c r="D38" s="332"/>
      <c r="E38" s="332"/>
      <c r="F38" s="16"/>
      <c r="G38" s="333"/>
      <c r="H38" s="333"/>
      <c r="I38" s="332"/>
      <c r="J38" s="332"/>
      <c r="K38" s="332"/>
      <c r="L38" s="332"/>
      <c r="M38" s="4"/>
    </row>
    <row r="39" spans="1:17">
      <c r="C39" s="2"/>
      <c r="D39" s="332"/>
      <c r="E39" s="332"/>
      <c r="F39" s="16"/>
      <c r="G39" s="333"/>
      <c r="H39" s="333"/>
      <c r="I39" s="332"/>
      <c r="J39" s="332"/>
      <c r="K39" s="332"/>
      <c r="L39" s="332"/>
      <c r="M39" s="4"/>
    </row>
    <row r="40" spans="1:17">
      <c r="C40" s="2"/>
      <c r="D40" s="332"/>
      <c r="E40" s="332"/>
      <c r="F40" s="16"/>
      <c r="G40" s="333"/>
      <c r="H40" s="333"/>
      <c r="I40" s="332"/>
      <c r="J40" s="332"/>
      <c r="K40" s="332"/>
      <c r="L40" s="332"/>
      <c r="M40" s="4"/>
    </row>
    <row r="41" spans="1:17">
      <c r="B41" s="7" t="s">
        <v>306</v>
      </c>
      <c r="G41" s="19"/>
    </row>
    <row r="42" spans="1:17">
      <c r="B42" t="s">
        <v>1579</v>
      </c>
    </row>
    <row r="43" spans="1:17">
      <c r="B43" s="8" t="s">
        <v>1580</v>
      </c>
    </row>
    <row r="44" spans="1:17">
      <c r="B44" s="845" t="s">
        <v>1581</v>
      </c>
      <c r="C44" s="845"/>
      <c r="D44" s="845"/>
      <c r="E44" s="845"/>
      <c r="F44" s="845"/>
      <c r="G44" s="845"/>
      <c r="H44" s="845"/>
      <c r="I44" s="845"/>
      <c r="J44" s="845"/>
      <c r="K44" s="845"/>
      <c r="L44" s="845"/>
    </row>
    <row r="45" spans="1:17">
      <c r="B45" s="845"/>
      <c r="C45" s="845"/>
      <c r="D45" s="845"/>
      <c r="E45" s="845"/>
      <c r="F45" s="845"/>
      <c r="G45" s="845"/>
      <c r="H45" s="845"/>
      <c r="I45" s="845"/>
      <c r="J45" s="845"/>
      <c r="K45" s="845"/>
      <c r="L45" s="845"/>
    </row>
    <row r="46" spans="1:17">
      <c r="B46" t="s">
        <v>1582</v>
      </c>
    </row>
  </sheetData>
  <mergeCells count="9">
    <mergeCell ref="G8:I8"/>
    <mergeCell ref="N8:P8"/>
    <mergeCell ref="B44:L45"/>
    <mergeCell ref="B10:C10"/>
    <mergeCell ref="B8:B9"/>
    <mergeCell ref="C8:C9"/>
    <mergeCell ref="D8:F8"/>
    <mergeCell ref="J8:L8"/>
    <mergeCell ref="M8:M9"/>
  </mergeCells>
  <printOptions horizontalCentered="1"/>
  <pageMargins left="0.25" right="0.25" top="0.75" bottom="0.75" header="0.3" footer="0.3"/>
  <pageSetup scale="45" fitToHeight="0" orientation="landscape" r:id="rId1"/>
  <headerFooter>
    <oddHeader>&amp;C&amp;"-,Bold"&amp;12Pacific Gas and Electric Company
Formula Rate Model
Schedule 18-OandM</oddHeader>
  </headerFooter>
  <customProperties>
    <customPr name="_pios_id" r:id="rId2"/>
    <customPr name="EpmWorksheetKeyString_GUID" r:id="rId3"/>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A89"/>
  <sheetViews>
    <sheetView zoomScale="70" zoomScaleNormal="70" zoomScaleSheetLayoutView="70" zoomScalePageLayoutView="55" workbookViewId="0">
      <selection activeCell="I48" sqref="I48"/>
    </sheetView>
  </sheetViews>
  <sheetFormatPr defaultColWidth="9.140625" defaultRowHeight="15"/>
  <cols>
    <col min="1" max="1" width="7.28515625" style="64" bestFit="1" customWidth="1"/>
    <col min="2" max="2" width="2.7109375" style="64" customWidth="1"/>
    <col min="3" max="3" width="6.7109375" style="64" customWidth="1"/>
    <col min="4" max="4" width="61.85546875" style="64" customWidth="1"/>
    <col min="5" max="5" width="22.42578125" style="64" customWidth="1"/>
    <col min="6" max="6" width="20.7109375" style="64" customWidth="1"/>
    <col min="7" max="7" width="22" style="64" customWidth="1"/>
    <col min="8" max="8" width="22" style="64" bestFit="1" customWidth="1"/>
    <col min="9" max="9" width="23" style="89" customWidth="1"/>
    <col min="10" max="10" width="21.7109375" style="64" customWidth="1"/>
    <col min="11" max="11" width="24.42578125" style="64" customWidth="1"/>
    <col min="12" max="12" width="25" style="64" bestFit="1" customWidth="1"/>
    <col min="13" max="13" width="20.5703125" style="64" bestFit="1" customWidth="1"/>
    <col min="14" max="14" width="7.28515625" style="64" bestFit="1" customWidth="1"/>
    <col min="15" max="15" width="10.7109375" style="64" bestFit="1" customWidth="1"/>
    <col min="16" max="16384" width="9.140625" style="64"/>
  </cols>
  <sheetData>
    <row r="1" spans="1:27">
      <c r="A1" s="86"/>
      <c r="B1" s="86" t="s">
        <v>53</v>
      </c>
      <c r="M1" s="6" t="s">
        <v>1583</v>
      </c>
      <c r="N1" s="86"/>
    </row>
    <row r="2" spans="1:27">
      <c r="A2" s="86"/>
      <c r="B2" s="409" t="s">
        <v>1584</v>
      </c>
      <c r="C2" s="87"/>
      <c r="D2" s="87"/>
      <c r="K2" s="71"/>
      <c r="L2" s="169"/>
      <c r="N2" s="86"/>
    </row>
    <row r="3" spans="1:27">
      <c r="A3" s="86"/>
      <c r="K3" s="169"/>
      <c r="L3" s="169"/>
      <c r="N3" s="86"/>
    </row>
    <row r="4" spans="1:27">
      <c r="A4" s="91" t="s">
        <v>1045</v>
      </c>
      <c r="K4" s="169"/>
      <c r="L4" s="169"/>
      <c r="N4" s="91" t="s">
        <v>1045</v>
      </c>
    </row>
    <row r="5" spans="1:27">
      <c r="A5" s="71">
        <v>100</v>
      </c>
      <c r="C5" s="86" t="s">
        <v>1585</v>
      </c>
      <c r="E5" s="88" t="s">
        <v>371</v>
      </c>
      <c r="F5" s="88" t="s">
        <v>372</v>
      </c>
      <c r="G5" s="88" t="s">
        <v>373</v>
      </c>
      <c r="H5" s="88" t="s">
        <v>374</v>
      </c>
      <c r="I5" s="88" t="s">
        <v>1586</v>
      </c>
      <c r="J5" s="91" t="s">
        <v>376</v>
      </c>
      <c r="K5" s="91" t="s">
        <v>1587</v>
      </c>
      <c r="L5" s="91"/>
      <c r="N5" s="71">
        <f t="shared" ref="N5:N23" si="0">A5</f>
        <v>100</v>
      </c>
    </row>
    <row r="6" spans="1:27">
      <c r="A6" s="71">
        <f t="shared" ref="A6:A23" si="1">A5+1</f>
        <v>101</v>
      </c>
      <c r="G6" s="337" t="s">
        <v>1588</v>
      </c>
      <c r="J6" s="337" t="s">
        <v>1179</v>
      </c>
      <c r="N6" s="71">
        <f t="shared" si="0"/>
        <v>101</v>
      </c>
    </row>
    <row r="7" spans="1:27">
      <c r="A7" s="71">
        <f t="shared" si="1"/>
        <v>102</v>
      </c>
      <c r="E7" s="71" t="s">
        <v>644</v>
      </c>
      <c r="F7" s="71" t="s">
        <v>1589</v>
      </c>
      <c r="G7" s="71" t="s">
        <v>1590</v>
      </c>
      <c r="H7" s="71" t="s">
        <v>1589</v>
      </c>
      <c r="I7" s="71" t="s">
        <v>1591</v>
      </c>
      <c r="J7" s="71" t="s">
        <v>1591</v>
      </c>
      <c r="K7" s="71" t="s">
        <v>1592</v>
      </c>
      <c r="L7" s="71"/>
      <c r="N7" s="71">
        <f t="shared" si="0"/>
        <v>102</v>
      </c>
    </row>
    <row r="8" spans="1:27">
      <c r="A8" s="71">
        <f t="shared" si="1"/>
        <v>103</v>
      </c>
      <c r="B8" s="91"/>
      <c r="C8" s="91" t="s">
        <v>1593</v>
      </c>
      <c r="D8" s="91" t="s">
        <v>6</v>
      </c>
      <c r="E8" s="91" t="s">
        <v>593</v>
      </c>
      <c r="F8" s="91" t="s">
        <v>135</v>
      </c>
      <c r="G8" s="91" t="s">
        <v>593</v>
      </c>
      <c r="H8" s="91" t="s">
        <v>135</v>
      </c>
      <c r="I8" s="91" t="s">
        <v>593</v>
      </c>
      <c r="J8" s="91" t="s">
        <v>1594</v>
      </c>
      <c r="K8" s="91" t="s">
        <v>268</v>
      </c>
      <c r="L8" s="91" t="s">
        <v>594</v>
      </c>
      <c r="N8" s="71">
        <f t="shared" si="0"/>
        <v>103</v>
      </c>
      <c r="O8" s="91"/>
      <c r="P8" s="91"/>
      <c r="Q8" s="91"/>
      <c r="R8" s="91"/>
      <c r="S8" s="91"/>
      <c r="T8" s="91"/>
      <c r="U8" s="91"/>
      <c r="V8" s="91"/>
      <c r="W8" s="91"/>
      <c r="X8" s="91"/>
      <c r="Y8" s="91"/>
      <c r="Z8" s="91"/>
      <c r="AA8" s="91"/>
    </row>
    <row r="9" spans="1:27">
      <c r="A9" s="71">
        <f t="shared" si="1"/>
        <v>104</v>
      </c>
      <c r="C9" s="169">
        <v>920</v>
      </c>
      <c r="D9" s="64" t="s">
        <v>1595</v>
      </c>
      <c r="E9" s="453">
        <v>404709415</v>
      </c>
      <c r="F9" s="169" t="s">
        <v>1596</v>
      </c>
      <c r="G9" s="453"/>
      <c r="H9" s="169" t="s">
        <v>1597</v>
      </c>
      <c r="I9" s="449">
        <f t="shared" ref="I9:I22" si="2">E9+G9</f>
        <v>404709415</v>
      </c>
      <c r="J9" s="453">
        <v>27524754.390707966</v>
      </c>
      <c r="K9" s="449">
        <f t="shared" ref="K9:K22" si="3">I9-J9</f>
        <v>377184660.60929203</v>
      </c>
      <c r="L9" s="64" t="s">
        <v>1598</v>
      </c>
      <c r="N9" s="71">
        <f t="shared" si="0"/>
        <v>104</v>
      </c>
    </row>
    <row r="10" spans="1:27">
      <c r="A10" s="71">
        <f t="shared" si="1"/>
        <v>105</v>
      </c>
      <c r="C10" s="169">
        <v>921</v>
      </c>
      <c r="D10" s="64" t="s">
        <v>1599</v>
      </c>
      <c r="E10" s="453">
        <v>60800833</v>
      </c>
      <c r="F10" s="169" t="s">
        <v>1600</v>
      </c>
      <c r="G10" s="453"/>
      <c r="H10" s="169" t="s">
        <v>1601</v>
      </c>
      <c r="I10" s="449">
        <f t="shared" si="2"/>
        <v>60800833</v>
      </c>
      <c r="J10" s="453">
        <v>5729864.3201102465</v>
      </c>
      <c r="K10" s="449">
        <f t="shared" si="3"/>
        <v>55070968.679889753</v>
      </c>
      <c r="L10" s="64" t="s">
        <v>1602</v>
      </c>
      <c r="N10" s="71">
        <f t="shared" si="0"/>
        <v>105</v>
      </c>
    </row>
    <row r="11" spans="1:27">
      <c r="A11" s="71">
        <f t="shared" si="1"/>
        <v>106</v>
      </c>
      <c r="C11" s="169">
        <v>922</v>
      </c>
      <c r="D11" s="64" t="s">
        <v>1603</v>
      </c>
      <c r="E11" s="453">
        <v>-148789230</v>
      </c>
      <c r="F11" s="169" t="s">
        <v>1604</v>
      </c>
      <c r="G11" s="453"/>
      <c r="H11" s="169" t="s">
        <v>1605</v>
      </c>
      <c r="I11" s="449">
        <f t="shared" si="2"/>
        <v>-148789230</v>
      </c>
      <c r="J11" s="453">
        <v>-39864392.545218438</v>
      </c>
      <c r="K11" s="449">
        <f t="shared" si="3"/>
        <v>-108924837.45478156</v>
      </c>
      <c r="L11" s="64" t="s">
        <v>1606</v>
      </c>
      <c r="N11" s="71">
        <f t="shared" si="0"/>
        <v>106</v>
      </c>
    </row>
    <row r="12" spans="1:27">
      <c r="A12" s="71">
        <f t="shared" si="1"/>
        <v>107</v>
      </c>
      <c r="B12" s="71"/>
      <c r="C12" s="169">
        <v>923</v>
      </c>
      <c r="D12" s="64" t="s">
        <v>1607</v>
      </c>
      <c r="E12" s="453">
        <v>346863593</v>
      </c>
      <c r="F12" s="169" t="s">
        <v>1608</v>
      </c>
      <c r="G12" s="453"/>
      <c r="H12" s="169" t="s">
        <v>1609</v>
      </c>
      <c r="I12" s="449">
        <f t="shared" si="2"/>
        <v>346863593</v>
      </c>
      <c r="J12" s="453">
        <v>79382893.979107529</v>
      </c>
      <c r="K12" s="449">
        <f t="shared" si="3"/>
        <v>267480699.02089247</v>
      </c>
      <c r="L12" s="64" t="s">
        <v>1610</v>
      </c>
      <c r="N12" s="71">
        <f t="shared" si="0"/>
        <v>107</v>
      </c>
    </row>
    <row r="13" spans="1:27">
      <c r="A13" s="71">
        <f t="shared" si="1"/>
        <v>108</v>
      </c>
      <c r="B13" s="71"/>
      <c r="C13" s="169">
        <v>924</v>
      </c>
      <c r="D13" s="64" t="s">
        <v>1058</v>
      </c>
      <c r="E13" s="453">
        <v>16065669</v>
      </c>
      <c r="F13" s="169" t="s">
        <v>1611</v>
      </c>
      <c r="G13" s="453"/>
      <c r="H13" s="169" t="s">
        <v>1612</v>
      </c>
      <c r="I13" s="449">
        <f t="shared" si="2"/>
        <v>16065669</v>
      </c>
      <c r="J13" s="453">
        <v>-4956686.1300000008</v>
      </c>
      <c r="K13" s="449">
        <f t="shared" si="3"/>
        <v>21022355.130000003</v>
      </c>
      <c r="L13" s="64" t="s">
        <v>1613</v>
      </c>
      <c r="N13" s="71">
        <f t="shared" si="0"/>
        <v>108</v>
      </c>
    </row>
    <row r="14" spans="1:27">
      <c r="A14" s="71">
        <f t="shared" si="1"/>
        <v>109</v>
      </c>
      <c r="B14" s="71"/>
      <c r="C14" s="169">
        <v>925</v>
      </c>
      <c r="D14" s="64" t="s">
        <v>1118</v>
      </c>
      <c r="E14" s="453">
        <v>1781245931</v>
      </c>
      <c r="F14" s="169" t="s">
        <v>1614</v>
      </c>
      <c r="G14" s="453"/>
      <c r="H14" s="169" t="s">
        <v>1615</v>
      </c>
      <c r="I14" s="449">
        <f t="shared" si="2"/>
        <v>1781245931</v>
      </c>
      <c r="J14" s="453">
        <v>266326033.39072606</v>
      </c>
      <c r="K14" s="449">
        <f t="shared" si="3"/>
        <v>1514919897.6092739</v>
      </c>
      <c r="L14" s="64" t="s">
        <v>1616</v>
      </c>
      <c r="N14" s="71">
        <f t="shared" si="0"/>
        <v>109</v>
      </c>
    </row>
    <row r="15" spans="1:27">
      <c r="A15" s="71">
        <f t="shared" si="1"/>
        <v>110</v>
      </c>
      <c r="B15" s="71"/>
      <c r="C15" s="169">
        <v>926</v>
      </c>
      <c r="D15" s="64" t="s">
        <v>1617</v>
      </c>
      <c r="E15" s="453">
        <v>390655154</v>
      </c>
      <c r="F15" s="169" t="s">
        <v>1618</v>
      </c>
      <c r="G15" s="453"/>
      <c r="H15" s="169" t="s">
        <v>1619</v>
      </c>
      <c r="I15" s="449">
        <f t="shared" si="2"/>
        <v>390655154</v>
      </c>
      <c r="J15" s="453">
        <v>70562390.365655869</v>
      </c>
      <c r="K15" s="449">
        <f t="shared" si="3"/>
        <v>320092763.6343441</v>
      </c>
      <c r="L15" s="64" t="s">
        <v>1620</v>
      </c>
      <c r="N15" s="71">
        <f t="shared" si="0"/>
        <v>110</v>
      </c>
    </row>
    <row r="16" spans="1:27">
      <c r="A16" s="71">
        <f t="shared" si="1"/>
        <v>111</v>
      </c>
      <c r="B16" s="71"/>
      <c r="C16" s="169">
        <v>927</v>
      </c>
      <c r="D16" s="64" t="s">
        <v>1621</v>
      </c>
      <c r="E16" s="453">
        <v>101328358</v>
      </c>
      <c r="F16" s="169" t="s">
        <v>1622</v>
      </c>
      <c r="G16" s="453"/>
      <c r="H16" s="169" t="s">
        <v>1623</v>
      </c>
      <c r="I16" s="449">
        <f t="shared" si="2"/>
        <v>101328358</v>
      </c>
      <c r="J16" s="453">
        <v>101328358</v>
      </c>
      <c r="K16" s="449">
        <f t="shared" si="3"/>
        <v>0</v>
      </c>
      <c r="L16" s="64" t="s">
        <v>1624</v>
      </c>
      <c r="N16" s="71">
        <f t="shared" si="0"/>
        <v>111</v>
      </c>
    </row>
    <row r="17" spans="1:14">
      <c r="A17" s="71">
        <f t="shared" si="1"/>
        <v>112</v>
      </c>
      <c r="B17" s="71"/>
      <c r="C17" s="169">
        <v>928</v>
      </c>
      <c r="D17" s="64" t="s">
        <v>1625</v>
      </c>
      <c r="E17" s="453">
        <v>0</v>
      </c>
      <c r="F17" s="169" t="s">
        <v>1626</v>
      </c>
      <c r="G17" s="453"/>
      <c r="H17" s="169" t="s">
        <v>1627</v>
      </c>
      <c r="I17" s="449">
        <f t="shared" si="2"/>
        <v>0</v>
      </c>
      <c r="J17" s="453">
        <v>0</v>
      </c>
      <c r="K17" s="449">
        <f t="shared" si="3"/>
        <v>0</v>
      </c>
      <c r="L17" s="86" t="s">
        <v>1180</v>
      </c>
      <c r="N17" s="71">
        <f t="shared" si="0"/>
        <v>112</v>
      </c>
    </row>
    <row r="18" spans="1:14">
      <c r="A18" s="71">
        <f t="shared" si="1"/>
        <v>113</v>
      </c>
      <c r="B18" s="71"/>
      <c r="C18" s="169">
        <v>929</v>
      </c>
      <c r="D18" s="64" t="s">
        <v>1628</v>
      </c>
      <c r="E18" s="453">
        <v>0</v>
      </c>
      <c r="F18" s="169" t="s">
        <v>1629</v>
      </c>
      <c r="G18" s="453"/>
      <c r="H18" s="169" t="s">
        <v>1630</v>
      </c>
      <c r="I18" s="449">
        <f t="shared" si="2"/>
        <v>0</v>
      </c>
      <c r="J18" s="453">
        <v>0</v>
      </c>
      <c r="K18" s="449">
        <f t="shared" si="3"/>
        <v>0</v>
      </c>
      <c r="L18" s="86" t="s">
        <v>1180</v>
      </c>
      <c r="N18" s="71">
        <f t="shared" si="0"/>
        <v>113</v>
      </c>
    </row>
    <row r="19" spans="1:14">
      <c r="A19" s="71">
        <f t="shared" si="1"/>
        <v>114</v>
      </c>
      <c r="B19" s="71"/>
      <c r="C19" s="169">
        <v>930.1</v>
      </c>
      <c r="D19" s="64" t="s">
        <v>1631</v>
      </c>
      <c r="E19" s="444">
        <f>579767</f>
        <v>579767</v>
      </c>
      <c r="F19" s="169" t="s">
        <v>1632</v>
      </c>
      <c r="G19" s="453"/>
      <c r="H19" s="169" t="s">
        <v>1633</v>
      </c>
      <c r="I19" s="449">
        <f t="shared" si="2"/>
        <v>579767</v>
      </c>
      <c r="J19" s="453">
        <v>0</v>
      </c>
      <c r="K19" s="449">
        <f t="shared" si="3"/>
        <v>579767</v>
      </c>
      <c r="L19" s="64" t="s">
        <v>1634</v>
      </c>
      <c r="N19" s="71">
        <f t="shared" si="0"/>
        <v>114</v>
      </c>
    </row>
    <row r="20" spans="1:14">
      <c r="A20" s="71">
        <f t="shared" si="1"/>
        <v>115</v>
      </c>
      <c r="B20" s="71"/>
      <c r="C20" s="169">
        <v>930.2</v>
      </c>
      <c r="D20" s="64" t="s">
        <v>1635</v>
      </c>
      <c r="E20" s="444">
        <f>16158682</f>
        <v>16158682</v>
      </c>
      <c r="F20" s="169" t="s">
        <v>1636</v>
      </c>
      <c r="G20" s="453"/>
      <c r="H20" s="169" t="s">
        <v>1637</v>
      </c>
      <c r="I20" s="449">
        <f t="shared" si="2"/>
        <v>16158682</v>
      </c>
      <c r="J20" s="453">
        <v>11214746.560000252</v>
      </c>
      <c r="K20" s="449">
        <f t="shared" si="3"/>
        <v>4943935.439999748</v>
      </c>
      <c r="L20" s="64" t="s">
        <v>1634</v>
      </c>
      <c r="N20" s="71">
        <f t="shared" si="0"/>
        <v>115</v>
      </c>
    </row>
    <row r="21" spans="1:14">
      <c r="A21" s="71">
        <f t="shared" si="1"/>
        <v>116</v>
      </c>
      <c r="B21" s="71"/>
      <c r="C21" s="169">
        <v>931</v>
      </c>
      <c r="D21" s="64" t="s">
        <v>1567</v>
      </c>
      <c r="E21" s="453">
        <v>0</v>
      </c>
      <c r="F21" s="169" t="s">
        <v>1638</v>
      </c>
      <c r="G21" s="453"/>
      <c r="H21" s="169" t="s">
        <v>1639</v>
      </c>
      <c r="I21" s="449">
        <f t="shared" si="2"/>
        <v>0</v>
      </c>
      <c r="J21" s="453">
        <v>0</v>
      </c>
      <c r="K21" s="449">
        <f t="shared" si="3"/>
        <v>0</v>
      </c>
      <c r="L21" s="86" t="s">
        <v>1180</v>
      </c>
      <c r="N21" s="71">
        <f t="shared" si="0"/>
        <v>116</v>
      </c>
    </row>
    <row r="22" spans="1:14">
      <c r="A22" s="71">
        <f t="shared" si="1"/>
        <v>117</v>
      </c>
      <c r="B22" s="71"/>
      <c r="C22" s="169">
        <v>935</v>
      </c>
      <c r="D22" s="64" t="s">
        <v>1640</v>
      </c>
      <c r="E22" s="454">
        <v>3004766</v>
      </c>
      <c r="F22" s="169" t="s">
        <v>1641</v>
      </c>
      <c r="G22" s="454"/>
      <c r="H22" s="169" t="s">
        <v>1642</v>
      </c>
      <c r="I22" s="451">
        <f t="shared" si="2"/>
        <v>3004766</v>
      </c>
      <c r="J22" s="454">
        <v>0</v>
      </c>
      <c r="K22" s="451">
        <f t="shared" si="3"/>
        <v>3004766</v>
      </c>
      <c r="L22" s="64" t="s">
        <v>1643</v>
      </c>
      <c r="N22" s="71">
        <f t="shared" si="0"/>
        <v>117</v>
      </c>
    </row>
    <row r="23" spans="1:14" s="86" customFormat="1">
      <c r="A23" s="71">
        <f t="shared" si="1"/>
        <v>118</v>
      </c>
      <c r="D23" s="349" t="s">
        <v>1644</v>
      </c>
      <c r="E23" s="450">
        <f>SUM(E9:E22)</f>
        <v>2972622938</v>
      </c>
      <c r="F23" s="169" t="s">
        <v>1645</v>
      </c>
      <c r="G23" s="450">
        <f>SUM(G9:G22)</f>
        <v>0</v>
      </c>
      <c r="H23" s="169" t="s">
        <v>1646</v>
      </c>
      <c r="I23" s="452">
        <f>SUM(I9:I22)</f>
        <v>2972622938</v>
      </c>
      <c r="J23" s="452">
        <f>SUM(J9:J22)</f>
        <v>517247962.33108944</v>
      </c>
      <c r="K23" s="450">
        <f>SUM(K9:K22)</f>
        <v>2455374975.66891</v>
      </c>
      <c r="N23" s="71">
        <f t="shared" si="0"/>
        <v>118</v>
      </c>
    </row>
    <row r="24" spans="1:14">
      <c r="A24" s="71"/>
      <c r="I24" s="348"/>
      <c r="N24" s="71"/>
    </row>
    <row r="25" spans="1:14">
      <c r="A25" s="71">
        <v>200</v>
      </c>
      <c r="C25" s="86" t="s">
        <v>1647</v>
      </c>
      <c r="I25" s="348"/>
      <c r="N25" s="71">
        <f t="shared" ref="N25:N46" si="4">A25</f>
        <v>200</v>
      </c>
    </row>
    <row r="26" spans="1:14">
      <c r="A26" s="71">
        <f t="shared" ref="A26:A46" si="5">A25+1</f>
        <v>201</v>
      </c>
      <c r="D26" s="342" t="s">
        <v>1648</v>
      </c>
      <c r="E26" s="347"/>
      <c r="F26" s="346" t="s">
        <v>593</v>
      </c>
      <c r="G26" s="346" t="s">
        <v>135</v>
      </c>
      <c r="H26" s="345"/>
      <c r="I26" s="344"/>
      <c r="K26" s="76"/>
      <c r="N26" s="71">
        <f t="shared" si="4"/>
        <v>201</v>
      </c>
    </row>
    <row r="27" spans="1:14">
      <c r="A27" s="71">
        <f t="shared" si="5"/>
        <v>202</v>
      </c>
      <c r="D27" s="340"/>
      <c r="E27" s="89" t="s">
        <v>1649</v>
      </c>
      <c r="F27" s="449">
        <f>K23</f>
        <v>2455374975.66891</v>
      </c>
      <c r="G27" s="73" t="s">
        <v>1650</v>
      </c>
      <c r="H27" s="642"/>
      <c r="I27" s="348"/>
      <c r="N27" s="71">
        <f t="shared" si="4"/>
        <v>202</v>
      </c>
    </row>
    <row r="28" spans="1:14">
      <c r="A28" s="71">
        <f t="shared" si="5"/>
        <v>203</v>
      </c>
      <c r="D28" s="340"/>
      <c r="E28" s="89" t="s">
        <v>1651</v>
      </c>
      <c r="F28" s="449">
        <f>K13</f>
        <v>21022355.130000003</v>
      </c>
      <c r="G28" s="73" t="s">
        <v>1652</v>
      </c>
      <c r="H28" s="643"/>
      <c r="I28" s="644"/>
      <c r="J28" s="645"/>
      <c r="N28" s="71">
        <f t="shared" si="4"/>
        <v>203</v>
      </c>
    </row>
    <row r="29" spans="1:14">
      <c r="A29" s="71">
        <f t="shared" si="5"/>
        <v>204</v>
      </c>
      <c r="D29" s="343"/>
      <c r="E29" s="646" t="s">
        <v>1653</v>
      </c>
      <c r="F29" s="453">
        <v>1482679601.8333712</v>
      </c>
      <c r="G29" s="73" t="s">
        <v>1654</v>
      </c>
      <c r="H29" s="643"/>
      <c r="I29" s="644"/>
      <c r="N29" s="71">
        <f t="shared" si="4"/>
        <v>204</v>
      </c>
    </row>
    <row r="30" spans="1:14">
      <c r="A30" s="71">
        <f t="shared" si="5"/>
        <v>205</v>
      </c>
      <c r="D30" s="340"/>
      <c r="E30" s="89" t="s">
        <v>1655</v>
      </c>
      <c r="F30" s="647">
        <f>F27-SUM(F28:F29)</f>
        <v>951673018.70553875</v>
      </c>
      <c r="G30" s="73" t="s">
        <v>1656</v>
      </c>
      <c r="H30" s="642"/>
      <c r="I30" s="348"/>
      <c r="N30" s="71">
        <f t="shared" si="4"/>
        <v>205</v>
      </c>
    </row>
    <row r="31" spans="1:14">
      <c r="A31" s="71">
        <f t="shared" si="5"/>
        <v>206</v>
      </c>
      <c r="D31" s="693"/>
      <c r="E31" s="692" t="s">
        <v>1657</v>
      </c>
      <c r="F31" s="680">
        <v>1</v>
      </c>
      <c r="G31" s="690" t="s">
        <v>1658</v>
      </c>
      <c r="H31" s="696" t="s">
        <v>1588</v>
      </c>
      <c r="I31" s="649"/>
      <c r="N31" s="71">
        <f t="shared" si="4"/>
        <v>206</v>
      </c>
    </row>
    <row r="32" spans="1:14">
      <c r="A32" s="71">
        <f t="shared" si="5"/>
        <v>207</v>
      </c>
      <c r="D32" s="340"/>
      <c r="E32" s="89" t="s">
        <v>1659</v>
      </c>
      <c r="F32" s="647">
        <f>F30*F31</f>
        <v>951673018.70553875</v>
      </c>
      <c r="G32" s="73" t="str">
        <f>"Line "&amp;A30&amp;" * Line "&amp;A31&amp;""</f>
        <v>Line 205 * Line 206</v>
      </c>
      <c r="H32" s="642"/>
      <c r="I32" s="348"/>
      <c r="J32" s="650"/>
      <c r="K32" s="448"/>
      <c r="N32" s="71">
        <f t="shared" si="4"/>
        <v>207</v>
      </c>
    </row>
    <row r="33" spans="1:14">
      <c r="A33" s="71">
        <f t="shared" si="5"/>
        <v>208</v>
      </c>
      <c r="D33" s="340"/>
      <c r="E33" s="89" t="s">
        <v>1660</v>
      </c>
      <c r="F33" s="22">
        <f>'24-Allocators'!C23</f>
        <v>0.14690087374748809</v>
      </c>
      <c r="G33" s="648" t="s">
        <v>235</v>
      </c>
      <c r="H33" s="642"/>
      <c r="I33" s="649"/>
      <c r="N33" s="71">
        <f t="shared" si="4"/>
        <v>208</v>
      </c>
    </row>
    <row r="34" spans="1:14">
      <c r="A34" s="71">
        <f t="shared" si="5"/>
        <v>209</v>
      </c>
      <c r="D34" s="338"/>
      <c r="E34" s="651" t="s">
        <v>1661</v>
      </c>
      <c r="F34" s="652">
        <f>F32*F33</f>
        <v>139801597.96975321</v>
      </c>
      <c r="G34" s="653" t="str">
        <f>"Line "&amp;A32&amp;" * Line "&amp;A33&amp;""</f>
        <v>Line 207 * Line 208</v>
      </c>
      <c r="H34" s="654"/>
      <c r="I34" s="348"/>
      <c r="N34" s="71">
        <f t="shared" si="4"/>
        <v>209</v>
      </c>
    </row>
    <row r="35" spans="1:14">
      <c r="A35" s="71">
        <f t="shared" si="5"/>
        <v>210</v>
      </c>
      <c r="D35" s="342" t="s">
        <v>1662</v>
      </c>
      <c r="E35" s="655"/>
      <c r="F35" s="656"/>
      <c r="G35" s="657"/>
      <c r="H35" s="658"/>
      <c r="I35" s="348"/>
      <c r="N35" s="71">
        <f t="shared" si="4"/>
        <v>210</v>
      </c>
    </row>
    <row r="36" spans="1:14">
      <c r="A36" s="71">
        <f t="shared" si="5"/>
        <v>211</v>
      </c>
      <c r="D36" s="693"/>
      <c r="E36" s="692" t="s">
        <v>1663</v>
      </c>
      <c r="F36" s="680">
        <f>'24-Allocators'!C33</f>
        <v>0.21932528287670497</v>
      </c>
      <c r="G36" s="690" t="s">
        <v>1664</v>
      </c>
      <c r="H36" s="697" t="s">
        <v>1588</v>
      </c>
      <c r="I36" s="649"/>
      <c r="N36" s="71">
        <f t="shared" si="4"/>
        <v>211</v>
      </c>
    </row>
    <row r="37" spans="1:14">
      <c r="A37" s="71">
        <f t="shared" si="5"/>
        <v>212</v>
      </c>
      <c r="D37" s="340"/>
      <c r="E37" s="89" t="s">
        <v>1665</v>
      </c>
      <c r="F37" s="449">
        <f>F28</f>
        <v>21022355.130000003</v>
      </c>
      <c r="G37" s="73" t="s">
        <v>1666</v>
      </c>
      <c r="H37" s="643"/>
      <c r="I37" s="644"/>
      <c r="N37" s="71">
        <f t="shared" si="4"/>
        <v>212</v>
      </c>
    </row>
    <row r="38" spans="1:14">
      <c r="A38" s="71">
        <f t="shared" si="5"/>
        <v>213</v>
      </c>
      <c r="D38" s="338"/>
      <c r="E38" s="651" t="s">
        <v>1667</v>
      </c>
      <c r="F38" s="659">
        <f>F36*F37</f>
        <v>4610733.9856218006</v>
      </c>
      <c r="G38" s="653" t="s">
        <v>1668</v>
      </c>
      <c r="H38" s="660"/>
      <c r="I38" s="644"/>
      <c r="N38" s="71">
        <f t="shared" si="4"/>
        <v>213</v>
      </c>
    </row>
    <row r="39" spans="1:14">
      <c r="A39" s="71">
        <f t="shared" si="5"/>
        <v>214</v>
      </c>
      <c r="D39" s="341" t="s">
        <v>1669</v>
      </c>
      <c r="E39" s="89"/>
      <c r="F39" s="661"/>
      <c r="G39" s="73"/>
      <c r="H39" s="643"/>
      <c r="I39" s="644"/>
      <c r="N39" s="71">
        <f t="shared" si="4"/>
        <v>214</v>
      </c>
    </row>
    <row r="40" spans="1:14">
      <c r="A40" s="71">
        <f t="shared" si="5"/>
        <v>215</v>
      </c>
      <c r="D40" s="340"/>
      <c r="E40" s="89" t="s">
        <v>1670</v>
      </c>
      <c r="F40" s="450">
        <f>F29</f>
        <v>1482679601.8333712</v>
      </c>
      <c r="G40" s="73" t="s">
        <v>1671</v>
      </c>
      <c r="H40" s="643"/>
      <c r="I40" s="644"/>
      <c r="N40" s="71">
        <f t="shared" si="4"/>
        <v>215</v>
      </c>
    </row>
    <row r="41" spans="1:14">
      <c r="A41" s="71">
        <f t="shared" si="5"/>
        <v>216</v>
      </c>
      <c r="D41" s="693"/>
      <c r="E41" s="692" t="s">
        <v>1672</v>
      </c>
      <c r="F41" s="680">
        <f>'24-Allocators'!C57</f>
        <v>0.17587063739917486</v>
      </c>
      <c r="G41" s="690" t="s">
        <v>1673</v>
      </c>
      <c r="H41" s="697" t="s">
        <v>1588</v>
      </c>
      <c r="I41" s="649"/>
      <c r="N41" s="71">
        <f t="shared" si="4"/>
        <v>216</v>
      </c>
    </row>
    <row r="42" spans="1:14">
      <c r="A42" s="71">
        <f t="shared" si="5"/>
        <v>217</v>
      </c>
      <c r="D42" s="340"/>
      <c r="E42" s="651" t="s">
        <v>1674</v>
      </c>
      <c r="F42" s="659">
        <f>F40*F41</f>
        <v>260759806.63318977</v>
      </c>
      <c r="G42" s="653" t="s">
        <v>1675</v>
      </c>
      <c r="H42" s="643"/>
      <c r="I42" s="644"/>
      <c r="N42" s="71">
        <f t="shared" si="4"/>
        <v>217</v>
      </c>
    </row>
    <row r="43" spans="1:14">
      <c r="A43" s="71">
        <f t="shared" si="5"/>
        <v>218</v>
      </c>
      <c r="D43" s="339"/>
      <c r="E43" s="655"/>
      <c r="F43" s="656"/>
      <c r="G43" s="657"/>
      <c r="H43" s="662"/>
      <c r="I43" s="644"/>
      <c r="N43" s="71">
        <f t="shared" si="4"/>
        <v>218</v>
      </c>
    </row>
    <row r="44" spans="1:14">
      <c r="A44" s="71">
        <f t="shared" si="5"/>
        <v>219</v>
      </c>
      <c r="D44" s="340"/>
      <c r="E44" s="89" t="s">
        <v>1676</v>
      </c>
      <c r="F44" s="450">
        <f>F42+F38+F34</f>
        <v>405172138.58856475</v>
      </c>
      <c r="G44" s="73" t="s">
        <v>1677</v>
      </c>
      <c r="H44" s="642"/>
      <c r="I44" s="348"/>
      <c r="N44" s="71">
        <f t="shared" si="4"/>
        <v>219</v>
      </c>
    </row>
    <row r="45" spans="1:14">
      <c r="A45" s="71">
        <f t="shared" si="5"/>
        <v>220</v>
      </c>
      <c r="D45" s="850" t="s">
        <v>1678</v>
      </c>
      <c r="E45" s="851"/>
      <c r="F45" s="663">
        <v>-4762248.8132449165</v>
      </c>
      <c r="G45" s="73" t="s">
        <v>1679</v>
      </c>
      <c r="H45" s="642"/>
      <c r="I45" s="348"/>
      <c r="N45" s="71">
        <f t="shared" si="4"/>
        <v>220</v>
      </c>
    </row>
    <row r="46" spans="1:14">
      <c r="A46" s="71">
        <f t="shared" si="5"/>
        <v>221</v>
      </c>
      <c r="D46" s="338"/>
      <c r="E46" s="651"/>
      <c r="F46" s="659">
        <f>F44+F45</f>
        <v>400409889.77531981</v>
      </c>
      <c r="G46" s="653" t="s">
        <v>1680</v>
      </c>
      <c r="H46" s="654"/>
      <c r="I46" s="348"/>
      <c r="N46" s="71">
        <f t="shared" si="4"/>
        <v>221</v>
      </c>
    </row>
    <row r="47" spans="1:14">
      <c r="A47" s="71"/>
      <c r="N47" s="71"/>
    </row>
    <row r="48" spans="1:14" s="8" customFormat="1">
      <c r="A48" s="127">
        <v>300</v>
      </c>
      <c r="C48" s="206" t="s">
        <v>1681</v>
      </c>
      <c r="I48" s="386"/>
      <c r="N48" s="71">
        <f t="shared" ref="N48" si="6">A48</f>
        <v>300</v>
      </c>
    </row>
    <row r="49" spans="1:15" s="8" customFormat="1">
      <c r="A49" s="127">
        <f t="shared" ref="A49:A65" si="7">A48+1</f>
        <v>301</v>
      </c>
      <c r="E49" s="4" t="s">
        <v>443</v>
      </c>
      <c r="F49" s="675" t="s">
        <v>251</v>
      </c>
      <c r="G49" s="675" t="s">
        <v>287</v>
      </c>
      <c r="H49" s="675" t="s">
        <v>410</v>
      </c>
      <c r="I49" s="675" t="s">
        <v>411</v>
      </c>
      <c r="J49" s="675" t="s">
        <v>412</v>
      </c>
      <c r="K49" s="675" t="s">
        <v>413</v>
      </c>
      <c r="L49" s="675" t="s">
        <v>442</v>
      </c>
      <c r="M49" s="675" t="s">
        <v>457</v>
      </c>
      <c r="N49" s="71">
        <f t="shared" ref="N49:N65" si="8">A49</f>
        <v>301</v>
      </c>
    </row>
    <row r="50" spans="1:15" s="8" customFormat="1" ht="60">
      <c r="A50" s="506">
        <f t="shared" si="7"/>
        <v>302</v>
      </c>
      <c r="E50" s="507" t="s">
        <v>1682</v>
      </c>
      <c r="F50" s="676" t="s">
        <v>1683</v>
      </c>
      <c r="G50" s="676" t="s">
        <v>1684</v>
      </c>
      <c r="H50" s="676" t="s">
        <v>1685</v>
      </c>
      <c r="I50" s="676" t="s">
        <v>1686</v>
      </c>
      <c r="J50" s="676" t="s">
        <v>1687</v>
      </c>
      <c r="K50" s="676" t="s">
        <v>1688</v>
      </c>
      <c r="L50" s="676" t="s">
        <v>1689</v>
      </c>
      <c r="M50" s="676" t="s">
        <v>1690</v>
      </c>
      <c r="N50" s="71">
        <f t="shared" si="8"/>
        <v>302</v>
      </c>
    </row>
    <row r="51" spans="1:15" s="8" customFormat="1">
      <c r="A51" s="127">
        <f t="shared" si="7"/>
        <v>303</v>
      </c>
      <c r="C51" s="18">
        <v>920</v>
      </c>
      <c r="D51" s="8" t="s">
        <v>1595</v>
      </c>
      <c r="E51" s="425">
        <f>SUM(F51:M51)</f>
        <v>-27524754.39070797</v>
      </c>
      <c r="F51" s="444">
        <v>-11237175.324385999</v>
      </c>
      <c r="G51" s="444">
        <v>-14340152.010000002</v>
      </c>
      <c r="H51" s="444">
        <v>0</v>
      </c>
      <c r="I51" s="444">
        <v>0</v>
      </c>
      <c r="J51" s="444">
        <v>-1730786.8300000005</v>
      </c>
      <c r="K51" s="444">
        <v>-238133.06736253595</v>
      </c>
      <c r="L51" s="444">
        <v>21492.841040566404</v>
      </c>
      <c r="M51" s="413"/>
      <c r="N51" s="71">
        <f t="shared" si="8"/>
        <v>303</v>
      </c>
      <c r="O51" s="509"/>
    </row>
    <row r="52" spans="1:15" s="8" customFormat="1">
      <c r="A52" s="127">
        <f t="shared" si="7"/>
        <v>304</v>
      </c>
      <c r="C52" s="18">
        <v>921</v>
      </c>
      <c r="D52" s="8" t="s">
        <v>1599</v>
      </c>
      <c r="E52" s="425">
        <f t="shared" ref="E52:E64" si="9">SUM(F52:M52)</f>
        <v>-5729864.3201102465</v>
      </c>
      <c r="F52" s="444">
        <v>0</v>
      </c>
      <c r="G52" s="444">
        <v>-619245.60000000009</v>
      </c>
      <c r="H52" s="444">
        <v>0</v>
      </c>
      <c r="I52" s="444">
        <v>-169062.2</v>
      </c>
      <c r="J52" s="444">
        <v>-4910779.6099999985</v>
      </c>
      <c r="K52" s="444">
        <v>-30776.910110248489</v>
      </c>
      <c r="L52" s="444">
        <v>0</v>
      </c>
      <c r="M52" s="413"/>
      <c r="N52" s="71">
        <f t="shared" si="8"/>
        <v>304</v>
      </c>
      <c r="O52" s="509"/>
    </row>
    <row r="53" spans="1:15" s="8" customFormat="1">
      <c r="A53" s="127">
        <f t="shared" si="7"/>
        <v>305</v>
      </c>
      <c r="C53" s="18">
        <v>922</v>
      </c>
      <c r="D53" s="8" t="s">
        <v>1603</v>
      </c>
      <c r="E53" s="425">
        <f t="shared" si="9"/>
        <v>39864392.545218438</v>
      </c>
      <c r="F53" s="444">
        <v>0</v>
      </c>
      <c r="G53" s="444">
        <v>0</v>
      </c>
      <c r="H53" s="444">
        <v>0</v>
      </c>
      <c r="I53" s="444">
        <v>0</v>
      </c>
      <c r="J53" s="444">
        <v>39864392.545218438</v>
      </c>
      <c r="K53" s="444">
        <v>0</v>
      </c>
      <c r="L53" s="444">
        <v>0</v>
      </c>
      <c r="M53" s="413"/>
      <c r="N53" s="71">
        <f t="shared" si="8"/>
        <v>305</v>
      </c>
      <c r="O53" s="509"/>
    </row>
    <row r="54" spans="1:15" s="8" customFormat="1">
      <c r="A54" s="127">
        <f t="shared" si="7"/>
        <v>306</v>
      </c>
      <c r="C54" s="18">
        <v>923</v>
      </c>
      <c r="D54" s="8" t="s">
        <v>1607</v>
      </c>
      <c r="E54" s="425">
        <f t="shared" si="9"/>
        <v>-79382893.979107514</v>
      </c>
      <c r="F54" s="444">
        <v>-1586255.673471</v>
      </c>
      <c r="G54" s="444">
        <v>-9002757.1409829166</v>
      </c>
      <c r="H54" s="444">
        <v>-188691.142269</v>
      </c>
      <c r="I54" s="444">
        <v>-50879215.848687999</v>
      </c>
      <c r="J54" s="444">
        <v>-17782861.440000009</v>
      </c>
      <c r="K54" s="444">
        <v>-21383.077584797647</v>
      </c>
      <c r="L54" s="444">
        <v>78270.343888210962</v>
      </c>
      <c r="M54" s="413"/>
      <c r="N54" s="71">
        <f t="shared" si="8"/>
        <v>306</v>
      </c>
      <c r="O54" s="509"/>
    </row>
    <row r="55" spans="1:15" s="8" customFormat="1">
      <c r="A55" s="127">
        <f t="shared" si="7"/>
        <v>307</v>
      </c>
      <c r="C55" s="18">
        <v>924</v>
      </c>
      <c r="D55" s="8" t="s">
        <v>1058</v>
      </c>
      <c r="E55" s="425">
        <f t="shared" si="9"/>
        <v>4956686.1300000008</v>
      </c>
      <c r="F55" s="444">
        <v>0</v>
      </c>
      <c r="G55" s="444">
        <v>0</v>
      </c>
      <c r="H55" s="444">
        <v>0</v>
      </c>
      <c r="I55" s="444">
        <v>4956686.1300000008</v>
      </c>
      <c r="J55" s="444">
        <v>0</v>
      </c>
      <c r="K55" s="444">
        <v>0</v>
      </c>
      <c r="L55" s="444">
        <v>0</v>
      </c>
      <c r="M55" s="413"/>
      <c r="N55" s="71">
        <f t="shared" si="8"/>
        <v>307</v>
      </c>
      <c r="O55" s="509"/>
    </row>
    <row r="56" spans="1:15" s="8" customFormat="1">
      <c r="A56" s="127">
        <f t="shared" si="7"/>
        <v>308</v>
      </c>
      <c r="C56" s="18">
        <v>925</v>
      </c>
      <c r="D56" s="8" t="s">
        <v>1118</v>
      </c>
      <c r="E56" s="425">
        <f t="shared" si="9"/>
        <v>-266326033.39072612</v>
      </c>
      <c r="F56" s="444">
        <v>0</v>
      </c>
      <c r="G56" s="444">
        <v>0</v>
      </c>
      <c r="H56" s="444">
        <v>14814801.17</v>
      </c>
      <c r="I56" s="444">
        <v>-367761742.65000004</v>
      </c>
      <c r="J56" s="444">
        <v>86620908.0892739</v>
      </c>
      <c r="K56" s="444">
        <v>0</v>
      </c>
      <c r="L56" s="444">
        <v>0</v>
      </c>
      <c r="M56" s="413"/>
      <c r="N56" s="71">
        <f t="shared" si="8"/>
        <v>308</v>
      </c>
      <c r="O56" s="509"/>
    </row>
    <row r="57" spans="1:15" s="8" customFormat="1">
      <c r="A57" s="127">
        <f t="shared" si="7"/>
        <v>309</v>
      </c>
      <c r="C57" s="18">
        <v>926</v>
      </c>
      <c r="D57" s="8" t="s">
        <v>1617</v>
      </c>
      <c r="E57" s="425">
        <f t="shared" si="9"/>
        <v>-70562390.365655869</v>
      </c>
      <c r="F57" s="444">
        <v>0</v>
      </c>
      <c r="G57" s="444">
        <v>-5914247.1973230001</v>
      </c>
      <c r="H57" s="444">
        <v>385323.31289750693</v>
      </c>
      <c r="I57" s="444">
        <v>-1841803.25</v>
      </c>
      <c r="J57" s="444">
        <v>-62062350.496476367</v>
      </c>
      <c r="K57" s="444">
        <v>-887677.39974456478</v>
      </c>
      <c r="L57" s="444">
        <v>-241635.33500944014</v>
      </c>
      <c r="M57" s="413"/>
      <c r="N57" s="71">
        <f t="shared" si="8"/>
        <v>309</v>
      </c>
      <c r="O57" s="509"/>
    </row>
    <row r="58" spans="1:15" s="8" customFormat="1">
      <c r="A58" s="127">
        <f t="shared" si="7"/>
        <v>310</v>
      </c>
      <c r="C58" s="18">
        <v>927</v>
      </c>
      <c r="D58" s="8" t="s">
        <v>1621</v>
      </c>
      <c r="E58" s="425">
        <f t="shared" si="9"/>
        <v>-101328358</v>
      </c>
      <c r="F58" s="444">
        <v>0</v>
      </c>
      <c r="G58" s="444">
        <v>0</v>
      </c>
      <c r="H58" s="444">
        <v>0</v>
      </c>
      <c r="I58" s="444">
        <v>-101328358</v>
      </c>
      <c r="J58" s="444">
        <v>0</v>
      </c>
      <c r="K58" s="444">
        <v>0</v>
      </c>
      <c r="L58" s="444">
        <v>0</v>
      </c>
      <c r="M58" s="413"/>
      <c r="N58" s="71">
        <f t="shared" si="8"/>
        <v>310</v>
      </c>
      <c r="O58" s="509"/>
    </row>
    <row r="59" spans="1:15" s="8" customFormat="1">
      <c r="A59" s="127">
        <f t="shared" si="7"/>
        <v>311</v>
      </c>
      <c r="C59" s="18">
        <v>928</v>
      </c>
      <c r="D59" s="8" t="s">
        <v>1625</v>
      </c>
      <c r="E59" s="425">
        <f t="shared" si="9"/>
        <v>0</v>
      </c>
      <c r="F59" s="444">
        <v>0</v>
      </c>
      <c r="G59" s="444">
        <v>0</v>
      </c>
      <c r="H59" s="444">
        <v>0</v>
      </c>
      <c r="I59" s="444">
        <v>0</v>
      </c>
      <c r="J59" s="444">
        <v>0</v>
      </c>
      <c r="K59" s="444">
        <v>0</v>
      </c>
      <c r="L59" s="444">
        <v>0</v>
      </c>
      <c r="M59" s="677"/>
      <c r="N59" s="71">
        <f t="shared" si="8"/>
        <v>311</v>
      </c>
      <c r="O59" s="509"/>
    </row>
    <row r="60" spans="1:15" s="8" customFormat="1">
      <c r="A60" s="127">
        <f t="shared" si="7"/>
        <v>312</v>
      </c>
      <c r="C60" s="18">
        <v>929</v>
      </c>
      <c r="D60" s="8" t="s">
        <v>1628</v>
      </c>
      <c r="E60" s="425">
        <f t="shared" si="9"/>
        <v>0</v>
      </c>
      <c r="F60" s="444">
        <v>0</v>
      </c>
      <c r="G60" s="444">
        <v>0</v>
      </c>
      <c r="H60" s="444">
        <v>0</v>
      </c>
      <c r="I60" s="444">
        <v>0</v>
      </c>
      <c r="J60" s="444">
        <v>0</v>
      </c>
      <c r="K60" s="444">
        <v>0</v>
      </c>
      <c r="L60" s="444">
        <v>0</v>
      </c>
      <c r="M60" s="677"/>
      <c r="N60" s="71">
        <f t="shared" si="8"/>
        <v>312</v>
      </c>
      <c r="O60" s="509"/>
    </row>
    <row r="61" spans="1:15" s="8" customFormat="1">
      <c r="A61" s="127">
        <f t="shared" si="7"/>
        <v>313</v>
      </c>
      <c r="C61" s="18">
        <v>930.1</v>
      </c>
      <c r="D61" s="8" t="s">
        <v>1631</v>
      </c>
      <c r="E61" s="425">
        <f t="shared" si="9"/>
        <v>0</v>
      </c>
      <c r="F61" s="444">
        <v>0</v>
      </c>
      <c r="G61" s="444">
        <v>0</v>
      </c>
      <c r="H61" s="444">
        <v>0</v>
      </c>
      <c r="I61" s="444">
        <v>0</v>
      </c>
      <c r="J61" s="444">
        <v>0</v>
      </c>
      <c r="K61" s="444">
        <v>0</v>
      </c>
      <c r="L61" s="444">
        <v>0</v>
      </c>
      <c r="M61" s="678"/>
      <c r="N61" s="71">
        <f t="shared" si="8"/>
        <v>313</v>
      </c>
      <c r="O61" s="509"/>
    </row>
    <row r="62" spans="1:15" s="8" customFormat="1">
      <c r="A62" s="127">
        <f t="shared" si="7"/>
        <v>314</v>
      </c>
      <c r="C62" s="18">
        <v>930.2</v>
      </c>
      <c r="D62" s="8" t="s">
        <v>1635</v>
      </c>
      <c r="E62" s="425">
        <f t="shared" si="9"/>
        <v>-11214746.560000252</v>
      </c>
      <c r="F62" s="444">
        <v>0</v>
      </c>
      <c r="G62" s="444">
        <v>0</v>
      </c>
      <c r="H62" s="444">
        <v>0</v>
      </c>
      <c r="I62" s="444">
        <v>-1985072.8500002516</v>
      </c>
      <c r="J62" s="444">
        <v>-9229673.7100000009</v>
      </c>
      <c r="K62" s="444">
        <v>0</v>
      </c>
      <c r="L62" s="444">
        <v>0</v>
      </c>
      <c r="M62" s="678"/>
      <c r="N62" s="71">
        <f t="shared" si="8"/>
        <v>314</v>
      </c>
      <c r="O62" s="509"/>
    </row>
    <row r="63" spans="1:15" s="8" customFormat="1">
      <c r="A63" s="127">
        <f t="shared" si="7"/>
        <v>315</v>
      </c>
      <c r="C63" s="18">
        <v>931</v>
      </c>
      <c r="D63" s="8" t="s">
        <v>1567</v>
      </c>
      <c r="E63" s="425">
        <f t="shared" si="9"/>
        <v>0</v>
      </c>
      <c r="F63" s="444">
        <v>0</v>
      </c>
      <c r="G63" s="444">
        <v>0</v>
      </c>
      <c r="H63" s="444">
        <v>0</v>
      </c>
      <c r="I63" s="444">
        <v>0</v>
      </c>
      <c r="J63" s="444">
        <v>0</v>
      </c>
      <c r="K63" s="444">
        <v>0</v>
      </c>
      <c r="L63" s="444">
        <v>0</v>
      </c>
      <c r="M63" s="677"/>
      <c r="N63" s="71">
        <f t="shared" si="8"/>
        <v>315</v>
      </c>
      <c r="O63" s="509"/>
    </row>
    <row r="64" spans="1:15" s="8" customFormat="1">
      <c r="A64" s="127">
        <f t="shared" si="7"/>
        <v>316</v>
      </c>
      <c r="C64" s="18">
        <v>935</v>
      </c>
      <c r="D64" s="8" t="s">
        <v>1640</v>
      </c>
      <c r="E64" s="425">
        <f t="shared" si="9"/>
        <v>0</v>
      </c>
      <c r="F64" s="444">
        <v>0</v>
      </c>
      <c r="G64" s="444">
        <v>0</v>
      </c>
      <c r="H64" s="444">
        <v>0</v>
      </c>
      <c r="I64" s="444">
        <v>0</v>
      </c>
      <c r="J64" s="444">
        <v>0</v>
      </c>
      <c r="K64" s="444">
        <v>0</v>
      </c>
      <c r="L64" s="444">
        <v>0</v>
      </c>
      <c r="M64" s="679"/>
      <c r="N64" s="71">
        <f t="shared" si="8"/>
        <v>316</v>
      </c>
      <c r="O64" s="509"/>
    </row>
    <row r="65" spans="1:14" s="8" customFormat="1">
      <c r="A65" s="127">
        <f t="shared" si="7"/>
        <v>317</v>
      </c>
      <c r="D65" s="138" t="s">
        <v>1691</v>
      </c>
      <c r="E65" s="510">
        <f>SUM(E51:E64)</f>
        <v>-517247962.33108956</v>
      </c>
      <c r="F65" s="510">
        <f>SUM(F51:F64)</f>
        <v>-12823430.997856999</v>
      </c>
      <c r="G65" s="510">
        <f t="shared" ref="G65:M65" si="10">SUM(G51:G64)</f>
        <v>-29876401.94830592</v>
      </c>
      <c r="H65" s="510">
        <f t="shared" si="10"/>
        <v>15011433.340628507</v>
      </c>
      <c r="I65" s="510">
        <f t="shared" si="10"/>
        <v>-519008568.6686883</v>
      </c>
      <c r="J65" s="510">
        <f t="shared" si="10"/>
        <v>30768848.54801596</v>
      </c>
      <c r="K65" s="510">
        <f t="shared" si="10"/>
        <v>-1177970.4548021469</v>
      </c>
      <c r="L65" s="510">
        <f t="shared" si="10"/>
        <v>-141872.15008066277</v>
      </c>
      <c r="M65" s="510">
        <f t="shared" si="10"/>
        <v>0</v>
      </c>
      <c r="N65" s="71">
        <f t="shared" si="8"/>
        <v>317</v>
      </c>
    </row>
    <row r="66" spans="1:14" s="8" customFormat="1">
      <c r="A66" s="127"/>
      <c r="E66" s="508"/>
      <c r="F66" s="508"/>
      <c r="G66" s="508"/>
      <c r="H66" s="508"/>
      <c r="I66" s="511"/>
      <c r="J66" s="508"/>
      <c r="K66" s="508"/>
      <c r="N66" s="127"/>
    </row>
    <row r="67" spans="1:14" s="8" customFormat="1">
      <c r="A67" s="127"/>
      <c r="I67" s="386"/>
      <c r="N67" s="127"/>
    </row>
    <row r="68" spans="1:14" s="8" customFormat="1">
      <c r="A68" s="127"/>
      <c r="C68" s="138" t="s">
        <v>306</v>
      </c>
      <c r="I68" s="386"/>
      <c r="N68" s="127"/>
    </row>
    <row r="69" spans="1:14">
      <c r="C69" s="337">
        <v>1</v>
      </c>
      <c r="D69" s="87" t="s">
        <v>1692</v>
      </c>
      <c r="E69" s="87"/>
      <c r="F69" s="786"/>
      <c r="G69" s="786"/>
      <c r="H69" s="786"/>
      <c r="I69" s="786"/>
      <c r="J69" s="786"/>
      <c r="K69" s="786"/>
      <c r="L69" s="87"/>
      <c r="M69" s="87"/>
      <c r="N69" s="87"/>
    </row>
    <row r="70" spans="1:14">
      <c r="C70" s="337">
        <v>2</v>
      </c>
      <c r="D70" s="87" t="s">
        <v>1693</v>
      </c>
      <c r="E70" s="786"/>
      <c r="F70" s="786"/>
      <c r="G70" s="786"/>
      <c r="H70" s="786"/>
      <c r="I70" s="786"/>
      <c r="J70" s="786"/>
      <c r="K70" s="786"/>
      <c r="L70" s="87"/>
      <c r="M70" s="87"/>
      <c r="N70" s="87"/>
    </row>
    <row r="71" spans="1:14" s="8" customFormat="1">
      <c r="A71" s="127"/>
      <c r="C71" s="127">
        <v>3</v>
      </c>
      <c r="D71" s="413" t="s">
        <v>1694</v>
      </c>
      <c r="E71" s="413"/>
      <c r="F71" s="413"/>
      <c r="G71" s="413"/>
      <c r="H71" s="413"/>
      <c r="I71" s="787"/>
      <c r="J71" s="413"/>
      <c r="K71" s="413"/>
      <c r="L71" s="413"/>
      <c r="M71" s="413"/>
      <c r="N71" s="788"/>
    </row>
    <row r="72" spans="1:14" s="8" customFormat="1">
      <c r="A72" s="127"/>
      <c r="C72" s="127">
        <v>4</v>
      </c>
      <c r="D72" s="413" t="s">
        <v>1695</v>
      </c>
      <c r="E72" s="413"/>
      <c r="F72" s="413"/>
      <c r="G72" s="413"/>
      <c r="H72" s="413"/>
      <c r="I72" s="787"/>
      <c r="J72" s="413"/>
      <c r="K72" s="413"/>
      <c r="L72" s="413"/>
      <c r="M72" s="413"/>
      <c r="N72" s="788"/>
    </row>
    <row r="73" spans="1:14" s="8" customFormat="1">
      <c r="A73" s="127"/>
      <c r="C73" s="4">
        <v>5</v>
      </c>
      <c r="D73" s="413" t="s">
        <v>1696</v>
      </c>
      <c r="E73" s="413"/>
      <c r="F73" s="413"/>
      <c r="G73" s="413"/>
      <c r="H73" s="413"/>
      <c r="I73" s="787"/>
      <c r="J73" s="413"/>
      <c r="K73" s="413"/>
      <c r="L73" s="413"/>
      <c r="M73" s="413"/>
      <c r="N73" s="788"/>
    </row>
    <row r="74" spans="1:14" s="8" customFormat="1">
      <c r="A74" s="127"/>
      <c r="C74" s="4">
        <v>6</v>
      </c>
      <c r="D74" s="413" t="s">
        <v>1697</v>
      </c>
      <c r="E74" s="413"/>
      <c r="F74" s="413"/>
      <c r="G74" s="413"/>
      <c r="H74" s="413"/>
      <c r="I74" s="787"/>
      <c r="J74" s="413"/>
      <c r="K74" s="413"/>
      <c r="L74" s="413"/>
      <c r="M74" s="413"/>
      <c r="N74" s="788"/>
    </row>
    <row r="75" spans="1:14" s="8" customFormat="1">
      <c r="A75" s="127"/>
      <c r="C75" s="4">
        <v>7</v>
      </c>
      <c r="D75" s="413" t="s">
        <v>1698</v>
      </c>
      <c r="E75" s="413"/>
      <c r="F75" s="413"/>
      <c r="G75" s="413"/>
      <c r="H75" s="413"/>
      <c r="I75" s="787"/>
      <c r="J75" s="413"/>
      <c r="K75" s="413"/>
      <c r="L75" s="413"/>
      <c r="M75" s="413"/>
      <c r="N75" s="788"/>
    </row>
    <row r="76" spans="1:14" s="8" customFormat="1">
      <c r="A76" s="127"/>
      <c r="C76" s="4">
        <v>8</v>
      </c>
      <c r="D76" s="413" t="s">
        <v>1699</v>
      </c>
      <c r="E76" s="413"/>
      <c r="F76" s="413"/>
      <c r="G76" s="413"/>
      <c r="H76" s="413"/>
      <c r="I76" s="787"/>
      <c r="J76" s="413"/>
      <c r="K76" s="413"/>
      <c r="L76" s="413"/>
      <c r="M76" s="413"/>
      <c r="N76" s="788"/>
    </row>
    <row r="77" spans="1:14" s="8" customFormat="1">
      <c r="A77" s="127"/>
      <c r="C77" s="4">
        <v>9</v>
      </c>
      <c r="D77" s="413" t="s">
        <v>1700</v>
      </c>
      <c r="E77" s="413"/>
      <c r="F77" s="413"/>
      <c r="G77" s="413"/>
      <c r="H77" s="413"/>
      <c r="I77" s="787"/>
      <c r="J77" s="413"/>
      <c r="K77" s="413"/>
      <c r="L77" s="413"/>
      <c r="M77" s="413"/>
      <c r="N77" s="788"/>
    </row>
    <row r="78" spans="1:14" s="8" customFormat="1">
      <c r="A78" s="127"/>
      <c r="C78" s="4">
        <v>10</v>
      </c>
      <c r="D78" s="413" t="s">
        <v>1701</v>
      </c>
      <c r="E78" s="413"/>
      <c r="F78" s="413"/>
      <c r="G78" s="413"/>
      <c r="H78" s="413"/>
      <c r="I78" s="787"/>
      <c r="J78" s="413"/>
      <c r="K78" s="413"/>
      <c r="L78" s="413"/>
      <c r="M78" s="413"/>
      <c r="N78" s="788"/>
    </row>
    <row r="79" spans="1:14" ht="15" customHeight="1">
      <c r="C79" s="127">
        <v>11</v>
      </c>
      <c r="D79" s="852" t="s">
        <v>1702</v>
      </c>
      <c r="E79" s="852"/>
      <c r="F79" s="852"/>
      <c r="G79" s="852"/>
      <c r="H79" s="852"/>
      <c r="I79" s="852"/>
      <c r="J79" s="852"/>
      <c r="K79" s="852"/>
      <c r="L79" s="852"/>
      <c r="M79" s="852"/>
      <c r="N79" s="87"/>
    </row>
    <row r="80" spans="1:14" ht="63" customHeight="1">
      <c r="D80" s="852"/>
      <c r="E80" s="852"/>
      <c r="F80" s="852"/>
      <c r="G80" s="852"/>
      <c r="H80" s="852"/>
      <c r="I80" s="852"/>
      <c r="J80" s="852"/>
      <c r="K80" s="852"/>
      <c r="L80" s="852"/>
      <c r="M80" s="852"/>
      <c r="N80" s="87"/>
    </row>
    <row r="81" spans="3:14">
      <c r="C81" s="4">
        <v>12</v>
      </c>
      <c r="D81" s="852" t="s">
        <v>1703</v>
      </c>
      <c r="E81" s="852"/>
      <c r="F81" s="852"/>
      <c r="G81" s="852"/>
      <c r="H81" s="852"/>
      <c r="I81" s="852"/>
      <c r="J81" s="852"/>
      <c r="K81" s="852"/>
      <c r="L81" s="852"/>
      <c r="M81" s="852"/>
      <c r="N81" s="852"/>
    </row>
    <row r="82" spans="3:14">
      <c r="C82" s="127"/>
      <c r="D82" s="852"/>
      <c r="E82" s="852"/>
      <c r="F82" s="852"/>
      <c r="G82" s="852"/>
      <c r="H82" s="852"/>
      <c r="I82" s="852"/>
      <c r="J82" s="852"/>
      <c r="K82" s="852"/>
      <c r="L82" s="852"/>
      <c r="M82" s="852"/>
      <c r="N82" s="852"/>
    </row>
    <row r="83" spans="3:14">
      <c r="C83" s="4"/>
      <c r="D83" s="8"/>
    </row>
    <row r="84" spans="3:14">
      <c r="C84" s="4"/>
      <c r="D84" s="8"/>
    </row>
    <row r="85" spans="3:14">
      <c r="C85" s="4"/>
      <c r="D85" s="8"/>
    </row>
    <row r="86" spans="3:14">
      <c r="C86" s="4"/>
      <c r="D86" s="8"/>
    </row>
    <row r="87" spans="3:14">
      <c r="C87" s="4"/>
      <c r="D87" s="8"/>
    </row>
    <row r="88" spans="3:14">
      <c r="C88" s="4"/>
      <c r="D88" s="8"/>
    </row>
    <row r="89" spans="3:14">
      <c r="C89" s="4"/>
      <c r="D89" s="8"/>
    </row>
  </sheetData>
  <mergeCells count="3">
    <mergeCell ref="D45:E45"/>
    <mergeCell ref="D79:M80"/>
    <mergeCell ref="D81:N82"/>
  </mergeCells>
  <pageMargins left="0.53" right="0.28999999999999998" top="0.82" bottom="1" header="0.5" footer="0.5"/>
  <pageSetup scale="41" orientation="landscape" cellComments="asDisplayed" r:id="rId1"/>
  <headerFooter alignWithMargins="0">
    <oddHeader>&amp;C&amp;"-,Bold"Pacific Gas and Electric Company
Formula Rate Model
Schedule 19-AandG</oddHeader>
  </headerFooter>
  <customProperties>
    <customPr name="_pios_id" r:id="rId2"/>
    <customPr name="EpmWorksheetKeyString_GUID" r:id="rId3"/>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70"/>
  <sheetViews>
    <sheetView topLeftCell="A26" zoomScale="80" zoomScaleNormal="80" zoomScaleSheetLayoutView="70" zoomScalePageLayoutView="70" workbookViewId="0">
      <selection activeCell="B67" sqref="B67"/>
    </sheetView>
  </sheetViews>
  <sheetFormatPr defaultColWidth="9.140625" defaultRowHeight="15"/>
  <cols>
    <col min="1" max="1" width="4.7109375" bestFit="1" customWidth="1"/>
    <col min="2" max="2" width="10.42578125" bestFit="1" customWidth="1"/>
    <col min="3" max="3" width="10.7109375" customWidth="1"/>
    <col min="4" max="4" width="65.42578125" bestFit="1" customWidth="1"/>
    <col min="5" max="5" width="19.140625" bestFit="1" customWidth="1"/>
    <col min="6" max="6" width="16.42578125" bestFit="1" customWidth="1"/>
    <col min="7" max="7" width="15.7109375" bestFit="1" customWidth="1"/>
    <col min="8" max="8" width="16.85546875" bestFit="1" customWidth="1"/>
    <col min="9" max="9" width="17.28515625" bestFit="1" customWidth="1"/>
    <col min="10" max="10" width="28" bestFit="1" customWidth="1"/>
    <col min="11" max="11" width="4.7109375" bestFit="1" customWidth="1"/>
  </cols>
  <sheetData>
    <row r="1" spans="1:11">
      <c r="B1" s="2" t="s">
        <v>55</v>
      </c>
      <c r="I1" s="6"/>
      <c r="J1" s="6" t="str">
        <f>CONCATENATE("Prior Year: ",'1-BaseTRR'!$G$2)</f>
        <v>Prior Year: 2021</v>
      </c>
    </row>
    <row r="2" spans="1:11">
      <c r="B2" s="113" t="s">
        <v>131</v>
      </c>
      <c r="C2" s="42"/>
      <c r="I2" s="6"/>
      <c r="J2" s="6"/>
    </row>
    <row r="3" spans="1:11">
      <c r="A3" s="2"/>
      <c r="B3" s="138"/>
      <c r="J3" s="6"/>
      <c r="K3" s="2"/>
    </row>
    <row r="4" spans="1:11">
      <c r="B4" s="7" t="s">
        <v>350</v>
      </c>
      <c r="D4" s="316"/>
    </row>
    <row r="5" spans="1:11">
      <c r="B5" t="s">
        <v>1704</v>
      </c>
    </row>
    <row r="7" spans="1:11">
      <c r="B7" s="3" t="s">
        <v>371</v>
      </c>
      <c r="C7" s="3" t="s">
        <v>372</v>
      </c>
      <c r="D7" s="3" t="s">
        <v>373</v>
      </c>
      <c r="E7" s="3" t="s">
        <v>374</v>
      </c>
      <c r="F7" s="3" t="s">
        <v>375</v>
      </c>
      <c r="G7" s="3" t="s">
        <v>376</v>
      </c>
      <c r="H7" s="3" t="s">
        <v>377</v>
      </c>
      <c r="I7" s="3" t="s">
        <v>378</v>
      </c>
      <c r="J7" s="3" t="s">
        <v>409</v>
      </c>
    </row>
    <row r="8" spans="1:11">
      <c r="B8" s="4"/>
      <c r="C8" s="4"/>
      <c r="D8" s="4"/>
      <c r="E8" s="4"/>
      <c r="F8" s="4"/>
      <c r="G8" s="4"/>
      <c r="H8" s="4" t="s">
        <v>1705</v>
      </c>
      <c r="I8" s="4"/>
      <c r="J8" s="4"/>
    </row>
    <row r="9" spans="1:11" ht="30">
      <c r="A9" s="3" t="s">
        <v>100</v>
      </c>
      <c r="B9" s="3" t="s">
        <v>1706</v>
      </c>
      <c r="C9" s="167" t="s">
        <v>1707</v>
      </c>
      <c r="D9" s="3" t="s">
        <v>1708</v>
      </c>
      <c r="E9" s="3" t="s">
        <v>1709</v>
      </c>
      <c r="F9" s="167" t="s">
        <v>1710</v>
      </c>
      <c r="G9" s="167" t="s">
        <v>1711</v>
      </c>
      <c r="H9" s="167" t="s">
        <v>1712</v>
      </c>
      <c r="I9" s="167" t="s">
        <v>1713</v>
      </c>
      <c r="J9" s="167" t="s">
        <v>136</v>
      </c>
      <c r="K9" s="3" t="str">
        <f>A9</f>
        <v>Line</v>
      </c>
    </row>
    <row r="10" spans="1:11" ht="30">
      <c r="A10" s="4">
        <v>100</v>
      </c>
      <c r="D10" s="6" t="s">
        <v>780</v>
      </c>
      <c r="E10" s="352">
        <f>E14+E20+E30+E36+E44</f>
        <v>-99305801.980000079</v>
      </c>
      <c r="F10" s="352">
        <f>F14+F20+F30+F36+F44</f>
        <v>9023571</v>
      </c>
      <c r="G10" s="352">
        <f t="shared" ref="G10:I10" si="0">G14+G20+G30+G36+G44</f>
        <v>8441204</v>
      </c>
      <c r="H10" s="352">
        <f t="shared" si="0"/>
        <v>17464775</v>
      </c>
      <c r="I10" s="352">
        <f t="shared" si="0"/>
        <v>59783018.879999995</v>
      </c>
      <c r="J10" s="37" t="s">
        <v>1714</v>
      </c>
      <c r="K10" s="3">
        <f>A10</f>
        <v>100</v>
      </c>
    </row>
    <row r="11" spans="1:11">
      <c r="A11" s="3"/>
      <c r="E11" s="6"/>
      <c r="F11" s="16"/>
      <c r="G11" s="16"/>
      <c r="H11" s="16"/>
      <c r="I11" s="16"/>
      <c r="J11" s="167"/>
      <c r="K11" s="3"/>
    </row>
    <row r="12" spans="1:11">
      <c r="A12" s="3"/>
      <c r="B12" s="45" t="s">
        <v>1715</v>
      </c>
      <c r="C12" s="353"/>
      <c r="D12" s="353"/>
      <c r="E12" s="353"/>
      <c r="F12" s="47"/>
      <c r="G12" s="47"/>
      <c r="H12" s="47"/>
      <c r="I12" s="47"/>
      <c r="J12" s="47"/>
    </row>
    <row r="13" spans="1:11">
      <c r="A13" s="4">
        <v>200</v>
      </c>
      <c r="B13" s="21"/>
      <c r="D13" s="6" t="s">
        <v>1716</v>
      </c>
      <c r="E13" s="498">
        <v>-296</v>
      </c>
      <c r="F13" s="332"/>
      <c r="G13" s="332"/>
      <c r="H13" s="332"/>
      <c r="I13" s="332"/>
      <c r="J13" s="332"/>
      <c r="K13" s="4">
        <f>A13</f>
        <v>200</v>
      </c>
    </row>
    <row r="14" spans="1:11">
      <c r="A14" s="4">
        <f>A13+1</f>
        <v>201</v>
      </c>
      <c r="B14" s="21"/>
      <c r="D14" s="6" t="s">
        <v>1717</v>
      </c>
      <c r="E14" s="352">
        <f>SUM(E15:E17)</f>
        <v>-296</v>
      </c>
      <c r="F14" s="352">
        <f>SUM(F15:F17)</f>
        <v>0</v>
      </c>
      <c r="G14" s="352">
        <f>SUM(G15:G17)</f>
        <v>0</v>
      </c>
      <c r="H14" s="352">
        <f>SUM(F14:G14)</f>
        <v>0</v>
      </c>
      <c r="I14" s="352">
        <f>SUM(I15:I17)</f>
        <v>0</v>
      </c>
      <c r="J14" s="332"/>
      <c r="K14" s="4">
        <f>A14</f>
        <v>201</v>
      </c>
    </row>
    <row r="15" spans="1:11">
      <c r="A15" s="4">
        <f>A14+1</f>
        <v>202</v>
      </c>
      <c r="B15" s="21">
        <v>450</v>
      </c>
      <c r="C15">
        <v>4500000</v>
      </c>
      <c r="D15" t="s">
        <v>1715</v>
      </c>
      <c r="E15" s="351">
        <v>-296</v>
      </c>
      <c r="F15" s="351"/>
      <c r="G15" s="351"/>
      <c r="H15" s="24">
        <f>SUM(F15:G15)</f>
        <v>0</v>
      </c>
      <c r="I15" s="351"/>
      <c r="J15" s="332" t="s">
        <v>203</v>
      </c>
      <c r="K15" s="4">
        <f>A15</f>
        <v>202</v>
      </c>
    </row>
    <row r="16" spans="1:11">
      <c r="A16" s="4">
        <f>A15+1</f>
        <v>203</v>
      </c>
      <c r="B16" s="49"/>
      <c r="C16" s="42"/>
      <c r="D16" s="42"/>
      <c r="E16" s="351"/>
      <c r="F16" s="351"/>
      <c r="G16" s="351"/>
      <c r="H16" s="24">
        <f>SUM(F16:G16)</f>
        <v>0</v>
      </c>
      <c r="I16" s="351"/>
      <c r="J16" s="332"/>
      <c r="K16" s="4">
        <f>A16</f>
        <v>203</v>
      </c>
    </row>
    <row r="17" spans="1:11">
      <c r="A17" s="4">
        <f>A16+1</f>
        <v>204</v>
      </c>
      <c r="B17" s="350" t="s">
        <v>634</v>
      </c>
      <c r="C17" s="42"/>
      <c r="D17" s="42"/>
      <c r="E17" s="351"/>
      <c r="F17" s="351"/>
      <c r="G17" s="351"/>
      <c r="H17" s="24">
        <f>SUM(F17:G17)</f>
        <v>0</v>
      </c>
      <c r="I17" s="351"/>
      <c r="J17" s="332"/>
      <c r="K17" s="4">
        <f>A17</f>
        <v>204</v>
      </c>
    </row>
    <row r="18" spans="1:11">
      <c r="A18" s="4"/>
      <c r="B18" s="50" t="s">
        <v>1718</v>
      </c>
      <c r="C18" s="47"/>
      <c r="D18" s="47"/>
      <c r="E18" s="47"/>
      <c r="F18" s="47"/>
      <c r="G18" s="47"/>
      <c r="H18" s="47"/>
      <c r="I18" s="47"/>
      <c r="J18" s="47"/>
      <c r="K18" s="4"/>
    </row>
    <row r="19" spans="1:11">
      <c r="A19" s="4">
        <v>300</v>
      </c>
      <c r="B19" s="21"/>
      <c r="D19" s="6" t="s">
        <v>1719</v>
      </c>
      <c r="E19" s="498">
        <v>8281661</v>
      </c>
      <c r="F19" s="352"/>
      <c r="G19" s="352"/>
      <c r="H19" s="352"/>
      <c r="I19" s="24"/>
      <c r="J19" s="332"/>
      <c r="K19" s="4">
        <f t="shared" ref="K19:K27" si="1">A19</f>
        <v>300</v>
      </c>
    </row>
    <row r="20" spans="1:11">
      <c r="A20" s="4">
        <f t="shared" ref="A20:A27" si="2">A19+1</f>
        <v>301</v>
      </c>
      <c r="B20" s="21"/>
      <c r="D20" s="6" t="s">
        <v>1720</v>
      </c>
      <c r="E20" s="352">
        <f>SUM(E21:E27)</f>
        <v>8281661.3200000003</v>
      </c>
      <c r="F20" s="352">
        <f>SUM(F21:F27)</f>
        <v>0</v>
      </c>
      <c r="G20" s="352">
        <f>SUM(G21:G27)</f>
        <v>0</v>
      </c>
      <c r="H20" s="352">
        <f t="shared" ref="H20:H27" si="3">SUM(F20:G20)</f>
        <v>0</v>
      </c>
      <c r="I20" s="352">
        <f>SUM(I21:I27)</f>
        <v>710278</v>
      </c>
      <c r="J20" s="332"/>
      <c r="K20" s="4">
        <f t="shared" si="1"/>
        <v>301</v>
      </c>
    </row>
    <row r="21" spans="1:11">
      <c r="A21" s="4">
        <f t="shared" si="2"/>
        <v>302</v>
      </c>
      <c r="B21" s="21">
        <v>451</v>
      </c>
      <c r="C21">
        <v>4510000</v>
      </c>
      <c r="D21" t="s">
        <v>1718</v>
      </c>
      <c r="E21" s="351">
        <v>1188235.4099999999</v>
      </c>
      <c r="F21" s="351"/>
      <c r="G21" s="351"/>
      <c r="H21" s="24">
        <f t="shared" si="3"/>
        <v>0</v>
      </c>
      <c r="I21" s="351"/>
      <c r="J21" s="332" t="s">
        <v>203</v>
      </c>
      <c r="K21" s="4">
        <f t="shared" si="1"/>
        <v>302</v>
      </c>
    </row>
    <row r="22" spans="1:11">
      <c r="A22" s="4">
        <f t="shared" si="2"/>
        <v>303</v>
      </c>
      <c r="B22" s="21">
        <v>451</v>
      </c>
      <c r="C22">
        <v>4510007</v>
      </c>
      <c r="D22" t="s">
        <v>1721</v>
      </c>
      <c r="E22" s="351">
        <v>899954.36</v>
      </c>
      <c r="F22" s="351"/>
      <c r="G22" s="351"/>
      <c r="H22" s="24">
        <f t="shared" si="3"/>
        <v>0</v>
      </c>
      <c r="I22" s="351">
        <v>710278</v>
      </c>
      <c r="J22" s="332" t="s">
        <v>203</v>
      </c>
      <c r="K22" s="4">
        <f t="shared" si="1"/>
        <v>303</v>
      </c>
    </row>
    <row r="23" spans="1:11">
      <c r="A23" s="4">
        <f t="shared" si="2"/>
        <v>304</v>
      </c>
      <c r="B23" s="21">
        <v>451</v>
      </c>
      <c r="C23">
        <v>4510040</v>
      </c>
      <c r="D23" t="s">
        <v>1722</v>
      </c>
      <c r="E23" s="351">
        <v>4274474.96</v>
      </c>
      <c r="F23" s="351"/>
      <c r="G23" s="351"/>
      <c r="H23" s="24">
        <f t="shared" si="3"/>
        <v>0</v>
      </c>
      <c r="I23" s="351"/>
      <c r="J23" s="332" t="s">
        <v>203</v>
      </c>
      <c r="K23" s="4">
        <f t="shared" si="1"/>
        <v>304</v>
      </c>
    </row>
    <row r="24" spans="1:11">
      <c r="A24" s="4">
        <f t="shared" si="2"/>
        <v>305</v>
      </c>
      <c r="B24" s="21">
        <v>451</v>
      </c>
      <c r="C24">
        <v>4510041</v>
      </c>
      <c r="D24" t="s">
        <v>1723</v>
      </c>
      <c r="E24" s="351">
        <v>1105295.1100000001</v>
      </c>
      <c r="F24" s="351"/>
      <c r="G24" s="351"/>
      <c r="H24" s="24">
        <f t="shared" si="3"/>
        <v>0</v>
      </c>
      <c r="I24" s="351"/>
      <c r="J24" s="332" t="s">
        <v>203</v>
      </c>
      <c r="K24" s="4">
        <f t="shared" si="1"/>
        <v>305</v>
      </c>
    </row>
    <row r="25" spans="1:11">
      <c r="A25" s="4">
        <f t="shared" si="2"/>
        <v>306</v>
      </c>
      <c r="B25" s="21">
        <v>451</v>
      </c>
      <c r="C25">
        <v>4510043</v>
      </c>
      <c r="D25" t="s">
        <v>1724</v>
      </c>
      <c r="E25" s="351">
        <v>813701.48</v>
      </c>
      <c r="F25" s="351"/>
      <c r="G25" s="351"/>
      <c r="H25" s="24">
        <f t="shared" si="3"/>
        <v>0</v>
      </c>
      <c r="I25" s="351"/>
      <c r="J25" s="332" t="s">
        <v>203</v>
      </c>
      <c r="K25" s="4">
        <f t="shared" si="1"/>
        <v>306</v>
      </c>
    </row>
    <row r="26" spans="1:11">
      <c r="A26" s="4">
        <f t="shared" si="2"/>
        <v>307</v>
      </c>
      <c r="B26" s="49"/>
      <c r="C26" s="42"/>
      <c r="D26" s="42"/>
      <c r="E26" s="351">
        <v>0</v>
      </c>
      <c r="F26" s="351"/>
      <c r="G26" s="351"/>
      <c r="H26" s="24">
        <f t="shared" si="3"/>
        <v>0</v>
      </c>
      <c r="I26" s="351"/>
      <c r="J26" s="332"/>
      <c r="K26" s="4">
        <f t="shared" si="1"/>
        <v>307</v>
      </c>
    </row>
    <row r="27" spans="1:11">
      <c r="A27" s="4">
        <f t="shared" si="2"/>
        <v>308</v>
      </c>
      <c r="B27" s="350" t="s">
        <v>634</v>
      </c>
      <c r="C27" s="42"/>
      <c r="D27" s="42"/>
      <c r="E27" s="351"/>
      <c r="F27" s="351"/>
      <c r="G27" s="351"/>
      <c r="H27" s="24">
        <f t="shared" si="3"/>
        <v>0</v>
      </c>
      <c r="I27" s="351"/>
      <c r="J27" s="332"/>
      <c r="K27" s="4">
        <f t="shared" si="1"/>
        <v>308</v>
      </c>
    </row>
    <row r="28" spans="1:11">
      <c r="A28" s="4"/>
      <c r="B28" s="50" t="s">
        <v>1725</v>
      </c>
      <c r="C28" s="47"/>
      <c r="D28" s="47"/>
      <c r="E28" s="47"/>
      <c r="F28" s="47"/>
      <c r="G28" s="47"/>
      <c r="H28" s="47"/>
      <c r="I28" s="47"/>
      <c r="J28" s="47"/>
      <c r="K28" s="4"/>
    </row>
    <row r="29" spans="1:11">
      <c r="A29" s="4">
        <v>400</v>
      </c>
      <c r="B29" s="21"/>
      <c r="D29" s="6" t="s">
        <v>1726</v>
      </c>
      <c r="E29" s="498">
        <v>3191997</v>
      </c>
      <c r="F29" s="352"/>
      <c r="G29" s="352"/>
      <c r="H29" s="352"/>
      <c r="I29" s="24"/>
      <c r="J29" s="332"/>
      <c r="K29" s="4">
        <f>A29</f>
        <v>400</v>
      </c>
    </row>
    <row r="30" spans="1:11">
      <c r="A30" s="4">
        <f>A29+1</f>
        <v>401</v>
      </c>
      <c r="B30" s="21"/>
      <c r="D30" s="6" t="s">
        <v>1727</v>
      </c>
      <c r="E30" s="352">
        <f>SUM(E31:E33)</f>
        <v>3191997</v>
      </c>
      <c r="F30" s="352">
        <f>SUM(F31:F33)</f>
        <v>0</v>
      </c>
      <c r="G30" s="352">
        <f>SUM(G31:G33)</f>
        <v>0</v>
      </c>
      <c r="H30" s="352">
        <f>SUM(F30:G30)</f>
        <v>0</v>
      </c>
      <c r="I30" s="352">
        <f>SUM(I31:I33)</f>
        <v>0</v>
      </c>
      <c r="J30" s="332"/>
      <c r="K30" s="4">
        <f>A30</f>
        <v>401</v>
      </c>
    </row>
    <row r="31" spans="1:11">
      <c r="A31" s="4">
        <f>A30+1</f>
        <v>402</v>
      </c>
      <c r="B31" s="21">
        <v>453</v>
      </c>
      <c r="C31">
        <v>4530000</v>
      </c>
      <c r="D31" t="s">
        <v>1725</v>
      </c>
      <c r="E31" s="351">
        <v>3191997</v>
      </c>
      <c r="F31" s="351"/>
      <c r="G31" s="351"/>
      <c r="H31" s="24">
        <f>SUM(F31:G31)</f>
        <v>0</v>
      </c>
      <c r="I31" s="351"/>
      <c r="J31" s="332" t="s">
        <v>203</v>
      </c>
      <c r="K31" s="4">
        <f>A31</f>
        <v>402</v>
      </c>
    </row>
    <row r="32" spans="1:11">
      <c r="A32" s="4">
        <f>A31+1</f>
        <v>403</v>
      </c>
      <c r="B32" s="49"/>
      <c r="C32" s="42"/>
      <c r="D32" s="42"/>
      <c r="E32" s="351"/>
      <c r="F32" s="351"/>
      <c r="G32" s="351"/>
      <c r="H32" s="24">
        <f>SUM(F32:G32)</f>
        <v>0</v>
      </c>
      <c r="I32" s="351"/>
      <c r="J32" s="332"/>
      <c r="K32" s="4">
        <f>A32</f>
        <v>403</v>
      </c>
    </row>
    <row r="33" spans="1:11">
      <c r="A33" s="4">
        <f>A32+1</f>
        <v>404</v>
      </c>
      <c r="B33" s="350" t="s">
        <v>1728</v>
      </c>
      <c r="C33" s="42"/>
      <c r="D33" s="42"/>
      <c r="E33" s="351"/>
      <c r="F33" s="351"/>
      <c r="G33" s="351"/>
      <c r="H33" s="24">
        <f>SUM(F33:G33)</f>
        <v>0</v>
      </c>
      <c r="I33" s="351"/>
      <c r="J33" s="332"/>
      <c r="K33" s="4">
        <f>A33</f>
        <v>404</v>
      </c>
    </row>
    <row r="34" spans="1:11">
      <c r="A34" s="4"/>
      <c r="B34" s="50" t="s">
        <v>1567</v>
      </c>
      <c r="C34" s="47"/>
      <c r="D34" s="47"/>
      <c r="E34" s="47"/>
      <c r="F34" s="47"/>
      <c r="G34" s="47"/>
      <c r="H34" s="47"/>
      <c r="I34" s="47"/>
      <c r="J34" s="47"/>
      <c r="K34" s="4"/>
    </row>
    <row r="35" spans="1:11">
      <c r="A35" s="4">
        <v>500</v>
      </c>
      <c r="B35" s="21"/>
      <c r="D35" s="6" t="s">
        <v>1729</v>
      </c>
      <c r="E35" s="498">
        <v>68263578</v>
      </c>
      <c r="F35" s="352"/>
      <c r="G35" s="352"/>
      <c r="H35" s="352"/>
      <c r="I35" s="24"/>
      <c r="J35" s="332"/>
      <c r="K35" s="4">
        <f t="shared" ref="K35:K41" si="4">A35</f>
        <v>500</v>
      </c>
    </row>
    <row r="36" spans="1:11">
      <c r="A36" s="4">
        <f t="shared" ref="A36:A41" si="5">A35+1</f>
        <v>501</v>
      </c>
      <c r="B36" s="21"/>
      <c r="D36" s="6" t="s">
        <v>1730</v>
      </c>
      <c r="E36" s="352">
        <f>SUM(E37:E41)</f>
        <v>68263578</v>
      </c>
      <c r="F36" s="352">
        <f>SUM(F37:F41)</f>
        <v>4068965</v>
      </c>
      <c r="G36" s="352">
        <f>SUM(G37:G41)</f>
        <v>7461297</v>
      </c>
      <c r="H36" s="352">
        <f t="shared" ref="H36:H41" si="6">SUM(F36:G36)</f>
        <v>11530262</v>
      </c>
      <c r="I36" s="352">
        <f>SUM(I37:I41)</f>
        <v>16697902.620000001</v>
      </c>
      <c r="J36" s="332"/>
      <c r="K36" s="4">
        <f t="shared" si="4"/>
        <v>501</v>
      </c>
    </row>
    <row r="37" spans="1:11">
      <c r="A37" s="4">
        <f t="shared" si="5"/>
        <v>502</v>
      </c>
      <c r="B37" s="21">
        <v>454</v>
      </c>
      <c r="C37">
        <v>4540010</v>
      </c>
      <c r="D37" s="8" t="s">
        <v>1731</v>
      </c>
      <c r="E37" s="351">
        <v>43701376</v>
      </c>
      <c r="F37" s="351">
        <v>4068965</v>
      </c>
      <c r="G37" s="351">
        <v>7461297</v>
      </c>
      <c r="H37" s="24">
        <f t="shared" si="6"/>
        <v>11530262</v>
      </c>
      <c r="I37" s="351"/>
      <c r="J37" s="332" t="s">
        <v>1732</v>
      </c>
      <c r="K37" s="4">
        <f t="shared" si="4"/>
        <v>502</v>
      </c>
    </row>
    <row r="38" spans="1:11">
      <c r="A38" s="4">
        <f t="shared" si="5"/>
        <v>503</v>
      </c>
      <c r="B38" s="21">
        <v>454</v>
      </c>
      <c r="C38">
        <v>4540012</v>
      </c>
      <c r="D38" t="s">
        <v>1733</v>
      </c>
      <c r="E38" s="351">
        <v>20169782</v>
      </c>
      <c r="F38" s="351"/>
      <c r="G38" s="351"/>
      <c r="H38" s="24">
        <f t="shared" si="6"/>
        <v>0</v>
      </c>
      <c r="I38" s="351">
        <v>13325974.49</v>
      </c>
      <c r="J38" s="332" t="s">
        <v>203</v>
      </c>
      <c r="K38" s="4">
        <f t="shared" si="4"/>
        <v>503</v>
      </c>
    </row>
    <row r="39" spans="1:11">
      <c r="A39" s="4">
        <f t="shared" si="5"/>
        <v>504</v>
      </c>
      <c r="B39" s="21">
        <v>454</v>
      </c>
      <c r="C39">
        <v>4540013</v>
      </c>
      <c r="D39" t="s">
        <v>1734</v>
      </c>
      <c r="E39" s="351">
        <v>4392420</v>
      </c>
      <c r="F39" s="351"/>
      <c r="G39" s="351"/>
      <c r="H39" s="24">
        <f t="shared" si="6"/>
        <v>0</v>
      </c>
      <c r="I39" s="351">
        <v>3371928.13</v>
      </c>
      <c r="J39" s="332" t="s">
        <v>203</v>
      </c>
      <c r="K39" s="4">
        <f t="shared" si="4"/>
        <v>504</v>
      </c>
    </row>
    <row r="40" spans="1:11">
      <c r="A40" s="4">
        <f t="shared" si="5"/>
        <v>505</v>
      </c>
      <c r="B40" s="49"/>
      <c r="C40" s="42"/>
      <c r="D40" s="42"/>
      <c r="E40" s="351"/>
      <c r="F40" s="351"/>
      <c r="G40" s="351"/>
      <c r="H40" s="24">
        <f t="shared" si="6"/>
        <v>0</v>
      </c>
      <c r="I40" s="351"/>
      <c r="J40" s="332"/>
      <c r="K40" s="4">
        <f t="shared" si="4"/>
        <v>505</v>
      </c>
    </row>
    <row r="41" spans="1:11">
      <c r="A41" s="4">
        <f t="shared" si="5"/>
        <v>506</v>
      </c>
      <c r="B41" s="350" t="s">
        <v>1728</v>
      </c>
      <c r="C41" s="42"/>
      <c r="D41" s="42"/>
      <c r="E41" s="351"/>
      <c r="F41" s="351"/>
      <c r="G41" s="351"/>
      <c r="H41" s="24">
        <f t="shared" si="6"/>
        <v>0</v>
      </c>
      <c r="I41" s="351"/>
      <c r="J41" s="332"/>
      <c r="K41" s="4">
        <f t="shared" si="4"/>
        <v>506</v>
      </c>
    </row>
    <row r="42" spans="1:11">
      <c r="A42" s="4"/>
      <c r="B42" s="50" t="s">
        <v>1735</v>
      </c>
      <c r="C42" s="47"/>
      <c r="D42" s="47"/>
      <c r="E42" s="47"/>
      <c r="F42" s="47"/>
      <c r="G42" s="47"/>
      <c r="H42" s="47"/>
      <c r="I42" s="47"/>
      <c r="J42" s="47"/>
      <c r="K42" s="4"/>
    </row>
    <row r="43" spans="1:11">
      <c r="A43" s="4">
        <v>600</v>
      </c>
      <c r="B43" s="21"/>
      <c r="D43" s="6" t="s">
        <v>1736</v>
      </c>
      <c r="E43" s="498">
        <v>-179042742</v>
      </c>
      <c r="F43" s="352"/>
      <c r="G43" s="352"/>
      <c r="H43" s="352"/>
      <c r="I43" s="24"/>
      <c r="J43" s="8" t="s">
        <v>111</v>
      </c>
      <c r="K43" s="4">
        <f t="shared" ref="K43:K63" si="7">A43</f>
        <v>600</v>
      </c>
    </row>
    <row r="44" spans="1:11">
      <c r="A44" s="4">
        <f t="shared" ref="A44:A63" si="8">A43+1</f>
        <v>601</v>
      </c>
      <c r="B44" s="21"/>
      <c r="D44" s="6" t="s">
        <v>1737</v>
      </c>
      <c r="E44" s="352">
        <f>SUM(E45:E63)</f>
        <v>-179042742.30000007</v>
      </c>
      <c r="F44" s="352">
        <f>SUM(F45:F63)</f>
        <v>4954606</v>
      </c>
      <c r="G44" s="352">
        <f>SUM(G45:G63)</f>
        <v>979907</v>
      </c>
      <c r="H44" s="352">
        <f t="shared" ref="H44:H54" si="9">SUM(F44:G44)</f>
        <v>5934513</v>
      </c>
      <c r="I44" s="352">
        <f>SUM(I45:I63)</f>
        <v>42374838.259999998</v>
      </c>
      <c r="J44" s="332"/>
      <c r="K44" s="4">
        <f t="shared" si="7"/>
        <v>601</v>
      </c>
    </row>
    <row r="45" spans="1:11">
      <c r="A45" s="4">
        <f t="shared" si="8"/>
        <v>602</v>
      </c>
      <c r="B45" s="21">
        <v>456</v>
      </c>
      <c r="C45">
        <v>4560099</v>
      </c>
      <c r="D45" t="s">
        <v>1738</v>
      </c>
      <c r="E45" s="351">
        <v>85614954.869999975</v>
      </c>
      <c r="F45" s="351"/>
      <c r="G45" s="351"/>
      <c r="H45" s="24">
        <f t="shared" si="9"/>
        <v>0</v>
      </c>
      <c r="I45" s="351"/>
      <c r="J45" s="332" t="s">
        <v>203</v>
      </c>
      <c r="K45" s="4">
        <f t="shared" si="7"/>
        <v>602</v>
      </c>
    </row>
    <row r="46" spans="1:11">
      <c r="A46" s="4">
        <f t="shared" si="8"/>
        <v>603</v>
      </c>
      <c r="B46" s="21">
        <v>456</v>
      </c>
      <c r="D46" t="s">
        <v>1739</v>
      </c>
      <c r="E46" s="351">
        <v>624405</v>
      </c>
      <c r="F46" s="351"/>
      <c r="G46" s="351"/>
      <c r="H46" s="24">
        <f t="shared" si="9"/>
        <v>0</v>
      </c>
      <c r="I46" s="351"/>
      <c r="J46" s="332" t="s">
        <v>203</v>
      </c>
      <c r="K46" s="4">
        <f t="shared" si="7"/>
        <v>603</v>
      </c>
    </row>
    <row r="47" spans="1:11">
      <c r="A47" s="4">
        <f t="shared" si="8"/>
        <v>604</v>
      </c>
      <c r="B47" s="21">
        <v>456</v>
      </c>
      <c r="C47">
        <v>4560050</v>
      </c>
      <c r="D47" t="s">
        <v>1740</v>
      </c>
      <c r="E47" s="351">
        <v>728872.17</v>
      </c>
      <c r="F47" s="351"/>
      <c r="G47" s="351"/>
      <c r="H47" s="24">
        <f t="shared" si="9"/>
        <v>0</v>
      </c>
      <c r="I47" s="351"/>
      <c r="J47" s="332" t="s">
        <v>203</v>
      </c>
      <c r="K47" s="4">
        <f t="shared" si="7"/>
        <v>604</v>
      </c>
    </row>
    <row r="48" spans="1:11">
      <c r="A48" s="4">
        <f t="shared" si="8"/>
        <v>605</v>
      </c>
      <c r="B48" s="21">
        <v>456</v>
      </c>
      <c r="C48">
        <v>4560070</v>
      </c>
      <c r="D48" t="s">
        <v>1741</v>
      </c>
      <c r="E48" s="351">
        <v>0</v>
      </c>
      <c r="F48" s="351"/>
      <c r="G48" s="351"/>
      <c r="H48" s="24">
        <f t="shared" si="9"/>
        <v>0</v>
      </c>
      <c r="I48" s="351"/>
      <c r="J48" s="332" t="s">
        <v>203</v>
      </c>
      <c r="K48" s="4">
        <f t="shared" si="7"/>
        <v>605</v>
      </c>
    </row>
    <row r="49" spans="1:11">
      <c r="A49" s="4">
        <f t="shared" si="8"/>
        <v>606</v>
      </c>
      <c r="B49" s="21">
        <v>456</v>
      </c>
      <c r="C49">
        <v>4560014</v>
      </c>
      <c r="D49" t="s">
        <v>1742</v>
      </c>
      <c r="E49" s="351">
        <v>71187.259999999995</v>
      </c>
      <c r="F49" s="351"/>
      <c r="G49" s="351"/>
      <c r="H49" s="24">
        <f t="shared" si="9"/>
        <v>0</v>
      </c>
      <c r="I49" s="351"/>
      <c r="J49" s="332" t="s">
        <v>203</v>
      </c>
      <c r="K49" s="4">
        <f t="shared" si="7"/>
        <v>606</v>
      </c>
    </row>
    <row r="50" spans="1:11">
      <c r="A50" s="4">
        <f t="shared" si="8"/>
        <v>607</v>
      </c>
      <c r="B50" s="21">
        <v>456</v>
      </c>
      <c r="C50">
        <v>4560022</v>
      </c>
      <c r="D50" t="s">
        <v>1743</v>
      </c>
      <c r="E50" s="351">
        <v>2867317.7300000004</v>
      </c>
      <c r="F50" s="351"/>
      <c r="G50" s="351"/>
      <c r="H50" s="24">
        <f t="shared" si="9"/>
        <v>0</v>
      </c>
      <c r="I50" s="351"/>
      <c r="J50" s="332" t="s">
        <v>203</v>
      </c>
      <c r="K50" s="4">
        <f t="shared" si="7"/>
        <v>607</v>
      </c>
    </row>
    <row r="51" spans="1:11">
      <c r="A51" s="4">
        <f t="shared" si="8"/>
        <v>608</v>
      </c>
      <c r="B51" s="21">
        <v>456</v>
      </c>
      <c r="C51">
        <v>4560093</v>
      </c>
      <c r="D51" t="s">
        <v>1744</v>
      </c>
      <c r="E51" s="351">
        <v>4937.76</v>
      </c>
      <c r="F51" s="351"/>
      <c r="G51" s="351"/>
      <c r="H51" s="24">
        <f t="shared" si="9"/>
        <v>0</v>
      </c>
      <c r="I51" s="351"/>
      <c r="J51" s="332" t="s">
        <v>203</v>
      </c>
      <c r="K51" s="4">
        <f t="shared" si="7"/>
        <v>608</v>
      </c>
    </row>
    <row r="52" spans="1:11">
      <c r="A52" s="4">
        <f t="shared" si="8"/>
        <v>609</v>
      </c>
      <c r="B52" s="21">
        <v>456</v>
      </c>
      <c r="C52">
        <v>4560091</v>
      </c>
      <c r="D52" t="s">
        <v>1745</v>
      </c>
      <c r="E52" s="351">
        <v>48106710.039999999</v>
      </c>
      <c r="F52" s="351"/>
      <c r="G52" s="351"/>
      <c r="H52" s="24">
        <f t="shared" si="9"/>
        <v>0</v>
      </c>
      <c r="I52" s="351"/>
      <c r="J52" s="332" t="s">
        <v>203</v>
      </c>
      <c r="K52" s="4">
        <f t="shared" si="7"/>
        <v>609</v>
      </c>
    </row>
    <row r="53" spans="1:11">
      <c r="A53" s="4">
        <f t="shared" si="8"/>
        <v>610</v>
      </c>
      <c r="B53" s="21">
        <v>456</v>
      </c>
      <c r="C53">
        <v>4560098</v>
      </c>
      <c r="D53" t="s">
        <v>1746</v>
      </c>
      <c r="E53" s="351">
        <v>77058758.680000007</v>
      </c>
      <c r="F53" s="351"/>
      <c r="G53" s="351"/>
      <c r="H53" s="24">
        <f t="shared" si="9"/>
        <v>0</v>
      </c>
      <c r="I53" s="351">
        <v>13022623.26</v>
      </c>
      <c r="J53" s="332" t="s">
        <v>203</v>
      </c>
      <c r="K53" s="4">
        <f t="shared" si="7"/>
        <v>610</v>
      </c>
    </row>
    <row r="54" spans="1:11">
      <c r="A54" s="4">
        <f t="shared" si="8"/>
        <v>611</v>
      </c>
      <c r="B54" s="21">
        <v>456</v>
      </c>
      <c r="C54">
        <v>4560000</v>
      </c>
      <c r="D54" t="s">
        <v>1747</v>
      </c>
      <c r="E54" s="351">
        <v>35213382</v>
      </c>
      <c r="F54" s="351"/>
      <c r="G54" s="351"/>
      <c r="H54" s="24">
        <f t="shared" si="9"/>
        <v>0</v>
      </c>
      <c r="I54" s="351"/>
      <c r="J54" s="332" t="s">
        <v>203</v>
      </c>
      <c r="K54" s="4">
        <f t="shared" si="7"/>
        <v>611</v>
      </c>
    </row>
    <row r="55" spans="1:11">
      <c r="A55" s="4">
        <f t="shared" si="8"/>
        <v>612</v>
      </c>
      <c r="B55" s="21">
        <v>456</v>
      </c>
      <c r="C55">
        <v>4560001</v>
      </c>
      <c r="D55" t="s">
        <v>1748</v>
      </c>
      <c r="E55" s="351">
        <v>43991133.649999991</v>
      </c>
      <c r="F55" s="351">
        <v>534295</v>
      </c>
      <c r="G55" s="351">
        <v>979907</v>
      </c>
      <c r="H55" s="24">
        <f t="shared" ref="H55:H61" si="10">SUM(F55:G55)</f>
        <v>1514202</v>
      </c>
      <c r="I55" s="351">
        <v>12</v>
      </c>
      <c r="J55" s="332" t="s">
        <v>1749</v>
      </c>
      <c r="K55" s="4">
        <f t="shared" si="7"/>
        <v>612</v>
      </c>
    </row>
    <row r="56" spans="1:11">
      <c r="A56" s="4">
        <f t="shared" si="8"/>
        <v>613</v>
      </c>
      <c r="B56" s="21">
        <v>456</v>
      </c>
      <c r="C56">
        <v>4560002</v>
      </c>
      <c r="D56" t="s">
        <v>1750</v>
      </c>
      <c r="E56" s="351">
        <v>-1254</v>
      </c>
      <c r="F56" s="351"/>
      <c r="G56" s="351"/>
      <c r="H56" s="24">
        <f t="shared" si="10"/>
        <v>0</v>
      </c>
      <c r="I56" s="351"/>
      <c r="J56" s="332" t="s">
        <v>203</v>
      </c>
      <c r="K56" s="4">
        <f t="shared" si="7"/>
        <v>613</v>
      </c>
    </row>
    <row r="57" spans="1:11">
      <c r="A57" s="4">
        <f t="shared" si="8"/>
        <v>614</v>
      </c>
      <c r="B57" s="21">
        <v>456</v>
      </c>
      <c r="C57">
        <v>4560003</v>
      </c>
      <c r="D57" t="s">
        <v>1751</v>
      </c>
      <c r="E57" s="351">
        <v>14702254.24</v>
      </c>
      <c r="F57" s="351"/>
      <c r="G57" s="351"/>
      <c r="H57" s="24">
        <f t="shared" si="10"/>
        <v>0</v>
      </c>
      <c r="I57" s="351"/>
      <c r="J57" s="332" t="s">
        <v>203</v>
      </c>
      <c r="K57" s="4">
        <f t="shared" si="7"/>
        <v>614</v>
      </c>
    </row>
    <row r="58" spans="1:11">
      <c r="A58" s="4">
        <f t="shared" si="8"/>
        <v>615</v>
      </c>
      <c r="B58" s="21">
        <v>456</v>
      </c>
      <c r="C58">
        <v>4560095</v>
      </c>
      <c r="D58" t="s">
        <v>1752</v>
      </c>
      <c r="E58" s="351">
        <v>-422472356.57999998</v>
      </c>
      <c r="F58" s="351"/>
      <c r="G58" s="351"/>
      <c r="H58" s="24">
        <f t="shared" si="10"/>
        <v>0</v>
      </c>
      <c r="I58" s="351"/>
      <c r="J58" s="332" t="s">
        <v>203</v>
      </c>
      <c r="K58" s="4">
        <f t="shared" si="7"/>
        <v>615</v>
      </c>
    </row>
    <row r="59" spans="1:11">
      <c r="A59" s="4">
        <f t="shared" si="8"/>
        <v>616</v>
      </c>
      <c r="B59" s="21">
        <v>456</v>
      </c>
      <c r="C59">
        <v>4560005</v>
      </c>
      <c r="D59" t="s">
        <v>1753</v>
      </c>
      <c r="E59" s="351">
        <v>-102089590.55</v>
      </c>
      <c r="F59" s="351"/>
      <c r="G59" s="351"/>
      <c r="H59" s="24">
        <f t="shared" si="10"/>
        <v>0</v>
      </c>
      <c r="I59" s="351"/>
      <c r="J59" s="332" t="s">
        <v>203</v>
      </c>
      <c r="K59" s="4">
        <f t="shared" si="7"/>
        <v>616</v>
      </c>
    </row>
    <row r="60" spans="1:11">
      <c r="A60" s="4">
        <f t="shared" si="8"/>
        <v>617</v>
      </c>
      <c r="B60" s="21">
        <v>456</v>
      </c>
      <c r="C60">
        <v>9414000</v>
      </c>
      <c r="D60" t="s">
        <v>1754</v>
      </c>
      <c r="E60" s="351">
        <v>0</v>
      </c>
      <c r="F60" s="351"/>
      <c r="G60" s="351"/>
      <c r="H60" s="24">
        <f t="shared" si="10"/>
        <v>0</v>
      </c>
      <c r="I60" s="351"/>
      <c r="J60" s="332" t="s">
        <v>203</v>
      </c>
      <c r="K60" s="4">
        <f t="shared" si="7"/>
        <v>617</v>
      </c>
    </row>
    <row r="61" spans="1:11">
      <c r="A61" s="4">
        <f t="shared" si="8"/>
        <v>618</v>
      </c>
      <c r="B61" s="21">
        <v>456.1</v>
      </c>
      <c r="C61">
        <v>4561000</v>
      </c>
      <c r="D61" t="s">
        <v>1755</v>
      </c>
      <c r="E61" s="351">
        <v>4420311.08</v>
      </c>
      <c r="F61" s="351">
        <v>4420311</v>
      </c>
      <c r="G61" s="351"/>
      <c r="H61" s="24">
        <f t="shared" si="10"/>
        <v>4420311</v>
      </c>
      <c r="I61" s="351"/>
      <c r="J61" s="332" t="s">
        <v>1756</v>
      </c>
      <c r="K61" s="4">
        <f t="shared" si="7"/>
        <v>618</v>
      </c>
    </row>
    <row r="62" spans="1:11">
      <c r="A62" s="4">
        <f t="shared" si="8"/>
        <v>619</v>
      </c>
      <c r="B62" s="49">
        <v>456</v>
      </c>
      <c r="C62" s="42">
        <v>4560052</v>
      </c>
      <c r="D62" s="42" t="s">
        <v>1738</v>
      </c>
      <c r="E62" s="351">
        <v>32116234.349999934</v>
      </c>
      <c r="F62" s="351"/>
      <c r="G62" s="351"/>
      <c r="H62" s="24"/>
      <c r="I62" s="351">
        <v>29352203</v>
      </c>
      <c r="J62" s="332"/>
      <c r="K62" s="4">
        <f t="shared" si="7"/>
        <v>619</v>
      </c>
    </row>
    <row r="63" spans="1:11">
      <c r="A63" s="4">
        <f t="shared" si="8"/>
        <v>620</v>
      </c>
      <c r="B63" s="350" t="s">
        <v>1728</v>
      </c>
      <c r="C63" s="42"/>
      <c r="D63" s="42"/>
      <c r="E63" s="351"/>
      <c r="F63" s="351"/>
      <c r="G63" s="351"/>
      <c r="H63" s="24"/>
      <c r="I63" s="351"/>
      <c r="J63" s="332"/>
      <c r="K63" s="4">
        <f t="shared" si="7"/>
        <v>620</v>
      </c>
    </row>
    <row r="65" spans="1:11">
      <c r="A65" s="4"/>
      <c r="B65" s="7" t="s">
        <v>306</v>
      </c>
      <c r="E65" s="332"/>
      <c r="K65" s="4"/>
    </row>
    <row r="66" spans="1:11">
      <c r="A66" s="4"/>
      <c r="B66" t="s">
        <v>1757</v>
      </c>
      <c r="K66" s="4"/>
    </row>
    <row r="67" spans="1:11">
      <c r="A67" s="4"/>
      <c r="B67" t="s">
        <v>1758</v>
      </c>
      <c r="K67" s="4"/>
    </row>
    <row r="68" spans="1:11">
      <c r="B68" t="s">
        <v>1759</v>
      </c>
    </row>
    <row r="69" spans="1:11">
      <c r="B69" t="s">
        <v>1760</v>
      </c>
    </row>
    <row r="70" spans="1:11">
      <c r="B70" t="s">
        <v>1761</v>
      </c>
    </row>
  </sheetData>
  <printOptions horizontalCentered="1"/>
  <pageMargins left="1" right="1" top="1" bottom="1" header="0.5" footer="0.5"/>
  <pageSetup scale="39" fitToHeight="0" orientation="portrait" r:id="rId1"/>
  <headerFooter>
    <oddHeader>&amp;C&amp;"-,Bold"&amp;12Pacific Gas and Electric Company
Formula Rate Model
Schedule 20-RevenueCredits&amp;"-,Regular"&amp;11</oddHeader>
  </headerFooter>
  <customProperties>
    <customPr name="_pios_id" r:id="rId2"/>
    <customPr name="EpmWorksheetKeyString_GUID" r:id="rId3"/>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4"/>
  <sheetViews>
    <sheetView view="pageBreakPreview" topLeftCell="A4" zoomScaleNormal="100" zoomScaleSheetLayoutView="100" workbookViewId="0">
      <selection activeCell="I57" sqref="I57"/>
    </sheetView>
  </sheetViews>
  <sheetFormatPr defaultColWidth="9.140625" defaultRowHeight="15"/>
  <cols>
    <col min="1" max="1" width="5.140625" bestFit="1" customWidth="1"/>
    <col min="2" max="2" width="72.5703125" customWidth="1"/>
    <col min="3" max="3" width="13.42578125" bestFit="1" customWidth="1"/>
    <col min="4" max="4" width="14.28515625" customWidth="1"/>
    <col min="5" max="5" width="15.42578125" customWidth="1"/>
    <col min="6" max="6" width="16.5703125" customWidth="1"/>
    <col min="7" max="7" width="4.7109375" bestFit="1" customWidth="1"/>
  </cols>
  <sheetData>
    <row r="1" spans="1:7">
      <c r="B1" s="2" t="s">
        <v>57</v>
      </c>
      <c r="C1" s="6"/>
      <c r="F1" s="6" t="str">
        <f>CONCATENATE("Prior Year: ",'1-BaseTRR'!$G$2)</f>
        <v>Prior Year: 2021</v>
      </c>
    </row>
    <row r="2" spans="1:7">
      <c r="B2" s="113" t="s">
        <v>131</v>
      </c>
      <c r="C2" s="6"/>
      <c r="D2" s="6"/>
      <c r="E2" s="6"/>
      <c r="F2" s="6"/>
    </row>
    <row r="3" spans="1:7">
      <c r="B3" s="138"/>
    </row>
    <row r="4" spans="1:7">
      <c r="A4" s="3"/>
      <c r="B4" s="357" t="s">
        <v>1762</v>
      </c>
      <c r="C4" s="353"/>
      <c r="D4" s="353"/>
      <c r="E4" s="353"/>
      <c r="F4" s="353"/>
      <c r="G4" s="3"/>
    </row>
    <row r="5" spans="1:7">
      <c r="A5" s="3" t="s">
        <v>100</v>
      </c>
      <c r="B5" s="3" t="s">
        <v>6</v>
      </c>
      <c r="C5" s="3" t="s">
        <v>134</v>
      </c>
      <c r="D5" s="3" t="s">
        <v>135</v>
      </c>
      <c r="E5" s="3"/>
      <c r="F5" s="3"/>
      <c r="G5" s="3" t="str">
        <f>A5</f>
        <v>Line</v>
      </c>
    </row>
    <row r="6" spans="1:7">
      <c r="A6" s="4">
        <v>100</v>
      </c>
      <c r="B6" t="s">
        <v>1763</v>
      </c>
      <c r="C6" s="13">
        <f>'20-RevenueCredits'!I10</f>
        <v>59783018.879999995</v>
      </c>
      <c r="D6" s="35" t="s">
        <v>1764</v>
      </c>
      <c r="G6" s="4">
        <f>A6</f>
        <v>100</v>
      </c>
    </row>
    <row r="7" spans="1:7">
      <c r="A7" s="4"/>
      <c r="C7" s="24"/>
      <c r="G7" s="4"/>
    </row>
    <row r="8" spans="1:7">
      <c r="A8" s="4">
        <f>A6+1</f>
        <v>101</v>
      </c>
      <c r="B8" t="s">
        <v>1765</v>
      </c>
      <c r="C8" s="44">
        <v>16956753.479999997</v>
      </c>
      <c r="D8" s="565" t="s">
        <v>1766</v>
      </c>
      <c r="E8" s="565"/>
      <c r="F8" s="565"/>
      <c r="G8" s="4">
        <f>A8</f>
        <v>101</v>
      </c>
    </row>
    <row r="9" spans="1:7">
      <c r="A9" s="4">
        <f>A8+1</f>
        <v>102</v>
      </c>
      <c r="B9" t="s">
        <v>1767</v>
      </c>
      <c r="C9" s="41">
        <v>571329.92641213769</v>
      </c>
      <c r="D9" s="565" t="s">
        <v>1768</v>
      </c>
      <c r="E9" s="565"/>
      <c r="F9" s="565"/>
      <c r="G9" s="4">
        <f>A9</f>
        <v>102</v>
      </c>
    </row>
    <row r="10" spans="1:7">
      <c r="A10" s="4">
        <f>A9+1</f>
        <v>103</v>
      </c>
      <c r="B10" s="2" t="s">
        <v>1769</v>
      </c>
      <c r="C10" s="15">
        <f>C8+C9</f>
        <v>17528083.406412136</v>
      </c>
      <c r="D10" t="str">
        <f>"Line "&amp;A8&amp;" + Line "&amp;A9&amp;""</f>
        <v>Line 101 + Line 102</v>
      </c>
      <c r="G10" s="4">
        <f>A10</f>
        <v>103</v>
      </c>
    </row>
    <row r="11" spans="1:7">
      <c r="A11" s="4"/>
      <c r="C11" s="108"/>
      <c r="G11" s="4"/>
    </row>
    <row r="12" spans="1:7">
      <c r="A12" s="4"/>
      <c r="B12" s="357" t="s">
        <v>1770</v>
      </c>
      <c r="C12" s="353"/>
      <c r="D12" s="353"/>
      <c r="E12" s="353"/>
      <c r="F12" s="353"/>
      <c r="G12" s="3"/>
    </row>
    <row r="13" spans="1:7">
      <c r="A13" s="4"/>
      <c r="B13" s="356"/>
      <c r="C13" s="3" t="s">
        <v>371</v>
      </c>
      <c r="D13" s="3" t="s">
        <v>372</v>
      </c>
      <c r="E13" s="3" t="s">
        <v>373</v>
      </c>
      <c r="F13" s="3" t="s">
        <v>374</v>
      </c>
      <c r="G13" s="3"/>
    </row>
    <row r="14" spans="1:7">
      <c r="A14" s="4"/>
      <c r="B14" s="356"/>
      <c r="C14" s="21" t="s">
        <v>111</v>
      </c>
      <c r="D14" s="21" t="s">
        <v>203</v>
      </c>
      <c r="E14" s="21" t="s">
        <v>1356</v>
      </c>
      <c r="F14" s="21" t="s">
        <v>251</v>
      </c>
      <c r="G14" s="3"/>
    </row>
    <row r="15" spans="1:7">
      <c r="A15" s="4"/>
      <c r="B15" s="356"/>
      <c r="C15" s="3"/>
      <c r="D15" s="3"/>
      <c r="E15" s="3"/>
      <c r="F15" s="4" t="s">
        <v>1771</v>
      </c>
      <c r="G15" s="3"/>
    </row>
    <row r="16" spans="1:7">
      <c r="A16" s="3" t="s">
        <v>100</v>
      </c>
      <c r="B16" s="3" t="s">
        <v>1772</v>
      </c>
      <c r="C16" s="3" t="s">
        <v>422</v>
      </c>
      <c r="D16" s="3" t="s">
        <v>1384</v>
      </c>
      <c r="E16" s="3" t="s">
        <v>1773</v>
      </c>
      <c r="F16" s="3" t="s">
        <v>1773</v>
      </c>
      <c r="G16" s="3" t="s">
        <v>100</v>
      </c>
    </row>
    <row r="17" spans="1:7">
      <c r="A17" s="4">
        <v>200</v>
      </c>
      <c r="B17" s="5" t="s">
        <v>465</v>
      </c>
      <c r="C17" s="556">
        <f>SUM(C18:C23)</f>
        <v>59783019.330000006</v>
      </c>
      <c r="D17" s="556">
        <f t="shared" ref="D17:F17" si="0">SUM(D18:D23)</f>
        <v>17528083.406412136</v>
      </c>
      <c r="E17" s="556">
        <f t="shared" si="0"/>
        <v>42254935.923587866</v>
      </c>
      <c r="F17" s="556">
        <f t="shared" si="0"/>
        <v>42254935.923587866</v>
      </c>
      <c r="G17" s="4">
        <f t="shared" ref="G17:G24" si="1">A17</f>
        <v>200</v>
      </c>
    </row>
    <row r="18" spans="1:7">
      <c r="A18" s="4">
        <f>A17+1</f>
        <v>201</v>
      </c>
      <c r="B18" t="s">
        <v>1774</v>
      </c>
      <c r="C18" s="44">
        <v>10131344.369999999</v>
      </c>
      <c r="D18" s="44">
        <v>1228877.0707586599</v>
      </c>
      <c r="E18" s="23">
        <f t="shared" ref="E18:E23" si="2">C18-D18</f>
        <v>8902467.2992413398</v>
      </c>
      <c r="F18" s="23">
        <f t="shared" ref="F18:F23" si="3">IF(E18&gt;0,E18,0)</f>
        <v>8902467.2992413398</v>
      </c>
      <c r="G18" s="4">
        <f t="shared" si="1"/>
        <v>201</v>
      </c>
    </row>
    <row r="19" spans="1:7">
      <c r="A19" s="4">
        <f>A18+1</f>
        <v>202</v>
      </c>
      <c r="B19" t="s">
        <v>1775</v>
      </c>
      <c r="C19" s="44">
        <v>16431617.200000001</v>
      </c>
      <c r="D19" s="44">
        <v>13105148.789501745</v>
      </c>
      <c r="E19" s="23">
        <f t="shared" si="2"/>
        <v>3326468.4104982559</v>
      </c>
      <c r="F19" s="23">
        <f t="shared" si="3"/>
        <v>3326468.4104982559</v>
      </c>
      <c r="G19" s="4">
        <f t="shared" si="1"/>
        <v>202</v>
      </c>
    </row>
    <row r="20" spans="1:7">
      <c r="A20" s="4">
        <f>A19+1</f>
        <v>203</v>
      </c>
      <c r="B20" t="s">
        <v>1776</v>
      </c>
      <c r="C20" s="44">
        <v>0</v>
      </c>
      <c r="D20" s="44">
        <v>0</v>
      </c>
      <c r="E20" s="23">
        <f t="shared" si="2"/>
        <v>0</v>
      </c>
      <c r="F20" s="23">
        <f t="shared" si="3"/>
        <v>0</v>
      </c>
      <c r="G20" s="4">
        <f t="shared" si="1"/>
        <v>203</v>
      </c>
    </row>
    <row r="21" spans="1:7">
      <c r="A21" s="4">
        <f>A20+1</f>
        <v>204</v>
      </c>
      <c r="B21" t="s">
        <v>1777</v>
      </c>
      <c r="C21" s="44">
        <v>0</v>
      </c>
      <c r="D21" s="44">
        <v>0</v>
      </c>
      <c r="E21" s="23">
        <f t="shared" si="2"/>
        <v>0</v>
      </c>
      <c r="F21" s="23">
        <f t="shared" si="3"/>
        <v>0</v>
      </c>
      <c r="G21" s="4">
        <f t="shared" si="1"/>
        <v>204</v>
      </c>
    </row>
    <row r="22" spans="1:7">
      <c r="A22" s="4">
        <f>A21+1</f>
        <v>205</v>
      </c>
      <c r="B22" t="s">
        <v>1778</v>
      </c>
      <c r="C22" s="44">
        <v>3867854.69</v>
      </c>
      <c r="D22" s="44">
        <v>3194057.5461517321</v>
      </c>
      <c r="E22" s="23">
        <f t="shared" si="2"/>
        <v>673797.14384826785</v>
      </c>
      <c r="F22" s="23">
        <f t="shared" si="3"/>
        <v>673797.14384826785</v>
      </c>
      <c r="G22" s="4">
        <f t="shared" si="1"/>
        <v>205</v>
      </c>
    </row>
    <row r="23" spans="1:7">
      <c r="A23" s="4">
        <v>206</v>
      </c>
      <c r="B23" s="355" t="s">
        <v>1779</v>
      </c>
      <c r="C23" s="499">
        <v>29352203.070000004</v>
      </c>
      <c r="D23" s="499">
        <v>0</v>
      </c>
      <c r="E23" s="500">
        <f t="shared" si="2"/>
        <v>29352203.070000004</v>
      </c>
      <c r="F23" s="485">
        <f t="shared" si="3"/>
        <v>29352203.070000004</v>
      </c>
      <c r="G23" s="4">
        <f t="shared" si="1"/>
        <v>206</v>
      </c>
    </row>
    <row r="24" spans="1:7">
      <c r="A24" s="4">
        <v>207</v>
      </c>
      <c r="B24" s="355" t="s">
        <v>127</v>
      </c>
      <c r="C24" s="499"/>
      <c r="D24" s="499"/>
      <c r="E24" s="500"/>
      <c r="F24" s="485"/>
      <c r="G24" s="4">
        <f t="shared" si="1"/>
        <v>207</v>
      </c>
    </row>
    <row r="25" spans="1:7">
      <c r="A25" s="4"/>
      <c r="B25" s="3"/>
      <c r="C25" s="3"/>
      <c r="D25" s="3"/>
      <c r="E25" s="3"/>
      <c r="F25" s="3"/>
      <c r="G25" s="3"/>
    </row>
    <row r="26" spans="1:7">
      <c r="A26" s="4"/>
      <c r="B26" s="354" t="s">
        <v>1780</v>
      </c>
      <c r="C26" s="47"/>
      <c r="D26" s="47"/>
      <c r="E26" s="47"/>
      <c r="F26" s="47"/>
      <c r="G26" s="21"/>
    </row>
    <row r="27" spans="1:7">
      <c r="A27" s="3" t="s">
        <v>100</v>
      </c>
      <c r="B27" s="3" t="s">
        <v>6</v>
      </c>
      <c r="C27" s="3" t="s">
        <v>134</v>
      </c>
      <c r="D27" s="3" t="s">
        <v>135</v>
      </c>
      <c r="E27" s="3"/>
      <c r="F27" s="3"/>
      <c r="G27" s="3" t="str">
        <f t="shared" ref="G27:G32" si="4">A27</f>
        <v>Line</v>
      </c>
    </row>
    <row r="28" spans="1:7">
      <c r="A28" s="4">
        <v>300</v>
      </c>
      <c r="B28" t="s">
        <v>1781</v>
      </c>
      <c r="C28" s="23">
        <f>F17</f>
        <v>42254935.923587866</v>
      </c>
      <c r="D28" t="str">
        <f>"Line "&amp;A17&amp;", col 4"</f>
        <v>Line 200, col 4</v>
      </c>
      <c r="G28" s="4">
        <f t="shared" si="4"/>
        <v>300</v>
      </c>
    </row>
    <row r="29" spans="1:7">
      <c r="A29" s="4">
        <f>A28+1</f>
        <v>301</v>
      </c>
      <c r="B29" t="s">
        <v>1782</v>
      </c>
      <c r="C29" s="19">
        <f>'1-BaseTRR'!E99</f>
        <v>0.27983599999999997</v>
      </c>
      <c r="D29" t="str">
        <f>"1-BaseTRR, L. "&amp;'1-BaseTRR'!A99&amp;""</f>
        <v>1-BaseTRR, L. 402</v>
      </c>
      <c r="G29" s="4">
        <f t="shared" si="4"/>
        <v>301</v>
      </c>
    </row>
    <row r="30" spans="1:7">
      <c r="A30" s="4">
        <f>A29+1</f>
        <v>302</v>
      </c>
      <c r="B30" t="s">
        <v>1783</v>
      </c>
      <c r="C30">
        <v>1</v>
      </c>
      <c r="D30" s="12" t="s">
        <v>1784</v>
      </c>
      <c r="E30" s="12"/>
      <c r="F30" s="12"/>
      <c r="G30" s="4">
        <f t="shared" si="4"/>
        <v>302</v>
      </c>
    </row>
    <row r="31" spans="1:7">
      <c r="A31" s="4">
        <f>A30+1</f>
        <v>303</v>
      </c>
      <c r="B31" t="s">
        <v>1785</v>
      </c>
      <c r="C31" s="19">
        <f>1/(1+C30-C30*C29)</f>
        <v>0.58133991875193292</v>
      </c>
      <c r="D31" t="str">
        <f>"1 / [1 + Line "&amp;A30&amp;" - (Line "&amp;A30&amp;" * Line "&amp;A29&amp;")]"</f>
        <v>1 / [1 + Line 302 - (Line 302 * Line 301)]</v>
      </c>
      <c r="G31" s="4">
        <f t="shared" si="4"/>
        <v>303</v>
      </c>
    </row>
    <row r="32" spans="1:7">
      <c r="A32" s="4">
        <f>A31+1</f>
        <v>304</v>
      </c>
      <c r="B32" t="s">
        <v>1786</v>
      </c>
      <c r="C32" s="19">
        <f>1-C31</f>
        <v>0.41866008124806708</v>
      </c>
      <c r="D32" t="str">
        <f>"1 - Line "&amp;A31&amp;""</f>
        <v>1 - Line 303</v>
      </c>
      <c r="G32" s="4">
        <f t="shared" si="4"/>
        <v>304</v>
      </c>
    </row>
    <row r="33" spans="1:7">
      <c r="A33" s="4"/>
      <c r="G33" s="4"/>
    </row>
    <row r="34" spans="1:7">
      <c r="A34" s="4"/>
      <c r="B34" s="354" t="s">
        <v>1787</v>
      </c>
      <c r="C34" s="47"/>
      <c r="D34" s="47"/>
      <c r="E34" s="47"/>
      <c r="F34" s="47"/>
      <c r="G34" s="4"/>
    </row>
    <row r="35" spans="1:7">
      <c r="A35" s="3" t="s">
        <v>100</v>
      </c>
      <c r="B35" s="3" t="s">
        <v>6</v>
      </c>
      <c r="C35" s="3" t="s">
        <v>134</v>
      </c>
      <c r="D35" s="3" t="s">
        <v>135</v>
      </c>
      <c r="E35" s="3"/>
      <c r="F35" s="3"/>
      <c r="G35" s="3" t="str">
        <f>A35</f>
        <v>Line</v>
      </c>
    </row>
    <row r="36" spans="1:7">
      <c r="A36" s="4">
        <v>400</v>
      </c>
      <c r="B36" t="s">
        <v>1788</v>
      </c>
      <c r="C36" s="23">
        <f>C31*C28</f>
        <v>24564481.0166867</v>
      </c>
      <c r="D36" t="str">
        <f>"Line "&amp;A28&amp;" * Line "&amp;A31&amp;""</f>
        <v>Line 300 * Line 303</v>
      </c>
      <c r="G36" s="4">
        <f>A36</f>
        <v>400</v>
      </c>
    </row>
    <row r="37" spans="1:7">
      <c r="A37" s="4">
        <f>A36+1</f>
        <v>401</v>
      </c>
      <c r="B37" t="s">
        <v>1789</v>
      </c>
      <c r="C37" s="23">
        <f>C36*C29</f>
        <v>6874026.1097855391</v>
      </c>
      <c r="D37" t="str">
        <f>"Line "&amp;A36&amp;" * Line "&amp;A29&amp;""</f>
        <v>Line 400 * Line 301</v>
      </c>
      <c r="G37" s="4">
        <f>A37</f>
        <v>401</v>
      </c>
    </row>
    <row r="38" spans="1:7">
      <c r="A38" s="4">
        <f>A37+1</f>
        <v>402</v>
      </c>
      <c r="B38" t="s">
        <v>1790</v>
      </c>
      <c r="C38" s="23">
        <f>C36-C37</f>
        <v>17690454.906901162</v>
      </c>
      <c r="D38" t="str">
        <f>"Line "&amp;A36&amp;" - Line "&amp;A37&amp;""</f>
        <v>Line 400 - Line 401</v>
      </c>
      <c r="G38" s="4">
        <f>A38</f>
        <v>402</v>
      </c>
    </row>
    <row r="39" spans="1:7">
      <c r="A39" s="4">
        <f>A38+1</f>
        <v>403</v>
      </c>
      <c r="B39" t="s">
        <v>1791</v>
      </c>
      <c r="C39" s="23">
        <f>C32*C28</f>
        <v>17690454.906901166</v>
      </c>
      <c r="D39" t="str">
        <f>"Line "&amp;A32&amp;" * Line "&amp;A28&amp;""</f>
        <v>Line 304 * Line 300</v>
      </c>
      <c r="G39" s="4">
        <f>A39</f>
        <v>403</v>
      </c>
    </row>
    <row r="41" spans="1:7">
      <c r="B41" s="7" t="s">
        <v>306</v>
      </c>
    </row>
    <row r="42" spans="1:7">
      <c r="B42" t="s">
        <v>1792</v>
      </c>
    </row>
    <row r="43" spans="1:7">
      <c r="B43" t="s">
        <v>1793</v>
      </c>
    </row>
    <row r="44" spans="1:7">
      <c r="B44" t="s">
        <v>1794</v>
      </c>
    </row>
  </sheetData>
  <printOptions horizontalCentered="1"/>
  <pageMargins left="1" right="1" top="1" bottom="1" header="0.5" footer="0.5"/>
  <pageSetup scale="58" orientation="portrait" r:id="rId1"/>
  <headerFooter>
    <oddHeader>&amp;C&amp;"-,Bold"&amp;12Pacific Gas and Electric Company
Formula Rate Model
Schedule 21-NPandS
&amp;"-,Regular"&amp;11</oddHeader>
  </headerFooter>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2"/>
  <sheetViews>
    <sheetView view="pageBreakPreview" zoomScale="60" zoomScaleNormal="100" workbookViewId="0">
      <selection activeCell="D58" sqref="D58"/>
    </sheetView>
  </sheetViews>
  <sheetFormatPr defaultRowHeight="15"/>
  <cols>
    <col min="1" max="1" width="19.7109375" customWidth="1"/>
    <col min="2" max="2" width="26.42578125" bestFit="1" customWidth="1"/>
    <col min="3" max="3" width="28.5703125" bestFit="1" customWidth="1"/>
    <col min="4" max="4" width="97.28515625" bestFit="1" customWidth="1"/>
  </cols>
  <sheetData>
    <row r="1" spans="1:9">
      <c r="A1" s="2" t="s">
        <v>76</v>
      </c>
    </row>
    <row r="3" spans="1:9">
      <c r="A3" s="2" t="s">
        <v>77</v>
      </c>
    </row>
    <row r="4" spans="1:9">
      <c r="A4" s="812" t="s">
        <v>78</v>
      </c>
      <c r="B4" s="812"/>
      <c r="C4" s="812"/>
      <c r="D4" s="812"/>
      <c r="E4" s="37"/>
      <c r="F4" s="37"/>
      <c r="G4" s="37"/>
      <c r="H4" s="37"/>
      <c r="I4" s="37"/>
    </row>
    <row r="6" spans="1:9">
      <c r="A6" s="2" t="s">
        <v>79</v>
      </c>
    </row>
    <row r="7" spans="1:9">
      <c r="A7" s="812" t="s">
        <v>80</v>
      </c>
      <c r="B7" s="812"/>
      <c r="C7" s="812"/>
      <c r="D7" s="812"/>
      <c r="E7" s="37"/>
      <c r="F7" s="37"/>
      <c r="G7" s="37"/>
      <c r="H7" s="37"/>
      <c r="I7" s="37"/>
    </row>
    <row r="9" spans="1:9">
      <c r="A9" s="2" t="s">
        <v>81</v>
      </c>
    </row>
    <row r="10" spans="1:9" ht="29.25" customHeight="1">
      <c r="A10" s="812" t="s">
        <v>82</v>
      </c>
      <c r="B10" s="812"/>
      <c r="C10" s="812"/>
      <c r="D10" s="812"/>
      <c r="E10" s="37"/>
      <c r="F10" s="37"/>
      <c r="G10" s="37"/>
      <c r="H10" s="37"/>
      <c r="I10" s="37"/>
    </row>
    <row r="12" spans="1:9">
      <c r="A12" s="2" t="s">
        <v>83</v>
      </c>
    </row>
    <row r="13" spans="1:9" ht="45.75" customHeight="1">
      <c r="A13" s="812" t="s">
        <v>84</v>
      </c>
      <c r="B13" s="812"/>
      <c r="C13" s="812"/>
      <c r="D13" s="812"/>
      <c r="E13" s="37"/>
      <c r="F13" s="37"/>
      <c r="G13" s="37"/>
      <c r="H13" s="37"/>
      <c r="I13" s="37"/>
    </row>
    <row r="15" spans="1:9">
      <c r="A15" s="2" t="s">
        <v>85</v>
      </c>
    </row>
    <row r="16" spans="1:9" ht="30" customHeight="1">
      <c r="A16" s="812" t="s">
        <v>86</v>
      </c>
      <c r="B16" s="812"/>
      <c r="C16" s="812"/>
      <c r="D16" s="812"/>
      <c r="E16" s="37"/>
      <c r="F16" s="37"/>
      <c r="G16" s="37"/>
      <c r="H16" s="37"/>
      <c r="I16" s="37"/>
    </row>
    <row r="17" spans="1:9">
      <c r="A17" s="417"/>
      <c r="B17" s="417"/>
      <c r="C17" s="417"/>
      <c r="D17" s="417"/>
      <c r="E17" s="417"/>
      <c r="F17" s="417"/>
      <c r="G17" s="417"/>
      <c r="H17" s="417"/>
      <c r="I17" s="417"/>
    </row>
    <row r="18" spans="1:9" ht="30.75" customHeight="1">
      <c r="A18" s="812" t="s">
        <v>87</v>
      </c>
      <c r="B18" s="812"/>
      <c r="C18" s="812"/>
      <c r="D18" s="812"/>
      <c r="E18" s="37"/>
      <c r="F18" s="37"/>
      <c r="G18" s="37"/>
      <c r="H18" s="37"/>
      <c r="I18" s="37"/>
    </row>
    <row r="20" spans="1:9">
      <c r="A20" s="2" t="s">
        <v>88</v>
      </c>
    </row>
    <row r="21" spans="1:9">
      <c r="A21" s="418" t="s">
        <v>89</v>
      </c>
      <c r="B21" s="418" t="s">
        <v>90</v>
      </c>
      <c r="C21" s="418" t="s">
        <v>91</v>
      </c>
      <c r="D21" s="418" t="s">
        <v>92</v>
      </c>
    </row>
    <row r="22" spans="1:9">
      <c r="A22" s="421" t="s">
        <v>93</v>
      </c>
      <c r="B22" s="421" t="s">
        <v>94</v>
      </c>
      <c r="C22" s="421" t="s">
        <v>95</v>
      </c>
      <c r="D22" s="421"/>
    </row>
    <row r="23" spans="1:9">
      <c r="A23" s="420"/>
      <c r="B23" s="420"/>
      <c r="C23" s="420"/>
      <c r="D23" s="420"/>
    </row>
    <row r="24" spans="1:9">
      <c r="A24" s="421" t="s">
        <v>96</v>
      </c>
      <c r="B24" s="421" t="s">
        <v>97</v>
      </c>
      <c r="C24" s="421" t="s">
        <v>98</v>
      </c>
      <c r="D24" s="421"/>
    </row>
    <row r="25" spans="1:9">
      <c r="A25" s="420"/>
      <c r="B25" s="420"/>
      <c r="C25" s="420" t="s">
        <v>99</v>
      </c>
      <c r="D25" s="420"/>
    </row>
    <row r="26" spans="1:9">
      <c r="A26" s="421" t="s">
        <v>100</v>
      </c>
      <c r="B26" s="421" t="s">
        <v>101</v>
      </c>
      <c r="C26" s="421" t="s">
        <v>102</v>
      </c>
      <c r="D26" s="421" t="s">
        <v>103</v>
      </c>
    </row>
    <row r="27" spans="1:9">
      <c r="A27" s="420" t="s">
        <v>104</v>
      </c>
      <c r="B27" s="420"/>
      <c r="C27" s="420"/>
      <c r="D27" s="420"/>
    </row>
    <row r="28" spans="1:9">
      <c r="A28" s="421" t="s">
        <v>100</v>
      </c>
      <c r="B28" s="421" t="s">
        <v>105</v>
      </c>
      <c r="C28" s="421" t="s">
        <v>106</v>
      </c>
      <c r="D28" s="421" t="s">
        <v>107</v>
      </c>
    </row>
    <row r="29" spans="1:9">
      <c r="A29" s="420" t="s">
        <v>108</v>
      </c>
      <c r="B29" s="420"/>
      <c r="C29" s="420"/>
      <c r="D29" s="420"/>
    </row>
    <row r="30" spans="1:9">
      <c r="A30" s="421" t="s">
        <v>109</v>
      </c>
      <c r="B30" s="421" t="s">
        <v>110</v>
      </c>
      <c r="C30" s="421" t="s">
        <v>111</v>
      </c>
      <c r="D30" s="421"/>
    </row>
    <row r="31" spans="1:9">
      <c r="A31" s="419"/>
      <c r="B31" s="419"/>
      <c r="C31" s="419" t="s">
        <v>112</v>
      </c>
      <c r="D31" s="419"/>
    </row>
    <row r="32" spans="1:9">
      <c r="A32" s="420"/>
      <c r="B32" s="420"/>
      <c r="C32" s="420" t="s">
        <v>113</v>
      </c>
      <c r="D32" s="420"/>
    </row>
    <row r="33" spans="1:4">
      <c r="A33" s="421" t="s">
        <v>114</v>
      </c>
      <c r="B33" s="421" t="s">
        <v>115</v>
      </c>
      <c r="C33" s="421" t="s">
        <v>116</v>
      </c>
      <c r="D33" s="421" t="s">
        <v>117</v>
      </c>
    </row>
    <row r="34" spans="1:4">
      <c r="A34" s="420"/>
      <c r="B34" s="420"/>
      <c r="C34" s="420" t="s">
        <v>118</v>
      </c>
      <c r="D34" s="420"/>
    </row>
    <row r="35" spans="1:4">
      <c r="A35" s="421" t="s">
        <v>5</v>
      </c>
      <c r="B35" s="421" t="s">
        <v>119</v>
      </c>
      <c r="C35" s="421" t="s">
        <v>35</v>
      </c>
      <c r="D35" s="421" t="s">
        <v>120</v>
      </c>
    </row>
    <row r="36" spans="1:4">
      <c r="A36" s="420"/>
      <c r="B36" s="420"/>
      <c r="C36" s="420"/>
      <c r="D36" s="420"/>
    </row>
    <row r="37" spans="1:4">
      <c r="A37" s="421" t="s">
        <v>121</v>
      </c>
      <c r="B37" s="421" t="s">
        <v>122</v>
      </c>
      <c r="C37" s="421" t="s">
        <v>123</v>
      </c>
      <c r="D37" s="421" t="s">
        <v>124</v>
      </c>
    </row>
    <row r="38" spans="1:4">
      <c r="A38" s="419"/>
      <c r="B38" s="419"/>
      <c r="C38" s="419"/>
      <c r="D38" s="419"/>
    </row>
    <row r="39" spans="1:4">
      <c r="A39" s="419"/>
      <c r="B39" s="419"/>
      <c r="C39" s="419" t="s">
        <v>125</v>
      </c>
      <c r="D39" s="419"/>
    </row>
    <row r="40" spans="1:4">
      <c r="A40" s="420"/>
      <c r="B40" s="420"/>
      <c r="C40" s="420"/>
      <c r="D40" s="420"/>
    </row>
    <row r="41" spans="1:4">
      <c r="A41" s="421" t="s">
        <v>126</v>
      </c>
      <c r="B41" s="516" t="s">
        <v>127</v>
      </c>
      <c r="C41" s="517" t="s">
        <v>127</v>
      </c>
      <c r="D41" s="810" t="s">
        <v>128</v>
      </c>
    </row>
    <row r="42" spans="1:4">
      <c r="A42" s="420"/>
      <c r="B42" s="234"/>
      <c r="C42" s="420"/>
      <c r="D42" s="811"/>
    </row>
  </sheetData>
  <mergeCells count="7">
    <mergeCell ref="D41:D42"/>
    <mergeCell ref="A16:D16"/>
    <mergeCell ref="A18:D18"/>
    <mergeCell ref="A4:D4"/>
    <mergeCell ref="A7:D7"/>
    <mergeCell ref="A10:D10"/>
    <mergeCell ref="A13:D13"/>
  </mergeCells>
  <pageMargins left="0.7" right="0.7" top="0.75" bottom="0.75" header="0.3" footer="0.3"/>
  <pageSetup scale="71" orientation="landscape" r:id="rId1"/>
  <customProperties>
    <customPr name="_pios_id" r:id="rId2"/>
    <customPr name="EpmWorksheetKeyString_GUID" r:id="rId3"/>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25"/>
  <sheetViews>
    <sheetView view="pageBreakPreview" zoomScale="115" zoomScaleSheetLayoutView="115" workbookViewId="0">
      <selection activeCell="D58" sqref="D58"/>
    </sheetView>
  </sheetViews>
  <sheetFormatPr defaultColWidth="9.140625" defaultRowHeight="15"/>
  <cols>
    <col min="1" max="1" width="4.7109375" bestFit="1" customWidth="1"/>
    <col min="2" max="2" width="34.85546875" bestFit="1" customWidth="1"/>
    <col min="3" max="3" width="9.42578125" customWidth="1"/>
    <col min="4" max="4" width="46" customWidth="1"/>
    <col min="5" max="5" width="46.140625" customWidth="1"/>
    <col min="6" max="6" width="4.7109375" bestFit="1" customWidth="1"/>
  </cols>
  <sheetData>
    <row r="1" spans="1:6">
      <c r="B1" s="138" t="s">
        <v>59</v>
      </c>
      <c r="D1" s="5"/>
      <c r="E1" s="6" t="str">
        <f>CONCATENATE("Prior Year: ",'1-BaseTRR'!$G$2)</f>
        <v>Prior Year: 2021</v>
      </c>
    </row>
    <row r="2" spans="1:6">
      <c r="B2" s="113" t="s">
        <v>131</v>
      </c>
      <c r="D2" s="5"/>
      <c r="E2" s="6"/>
    </row>
    <row r="3" spans="1:6">
      <c r="B3" s="138"/>
    </row>
    <row r="4" spans="1:6">
      <c r="B4" s="50" t="s">
        <v>1795</v>
      </c>
      <c r="C4" s="47"/>
      <c r="D4" s="47"/>
      <c r="E4" s="47"/>
    </row>
    <row r="5" spans="1:6">
      <c r="A5" s="3" t="s">
        <v>100</v>
      </c>
      <c r="B5" s="3" t="s">
        <v>6</v>
      </c>
      <c r="C5" s="3" t="s">
        <v>1328</v>
      </c>
      <c r="D5" s="3" t="s">
        <v>594</v>
      </c>
      <c r="E5" s="3" t="s">
        <v>136</v>
      </c>
      <c r="F5" s="3" t="str">
        <f>A5</f>
        <v>Line</v>
      </c>
    </row>
    <row r="6" spans="1:6">
      <c r="A6" s="127">
        <v>100</v>
      </c>
      <c r="B6" t="s">
        <v>239</v>
      </c>
      <c r="C6" s="43">
        <v>0.21</v>
      </c>
      <c r="D6" s="35" t="s">
        <v>1796</v>
      </c>
      <c r="E6" s="413"/>
      <c r="F6" s="127">
        <f>A6</f>
        <v>100</v>
      </c>
    </row>
    <row r="7" spans="1:6">
      <c r="A7" s="127">
        <f>A6+1</f>
        <v>101</v>
      </c>
      <c r="B7" t="s">
        <v>1797</v>
      </c>
      <c r="C7" s="43">
        <v>8.8400000000000006E-2</v>
      </c>
      <c r="D7" t="s">
        <v>1798</v>
      </c>
      <c r="E7" s="413"/>
      <c r="F7" s="127">
        <f>A7</f>
        <v>101</v>
      </c>
    </row>
    <row r="8" spans="1:6" ht="30.75" customHeight="1">
      <c r="A8" s="127">
        <v>102</v>
      </c>
      <c r="B8" t="s">
        <v>1799</v>
      </c>
      <c r="C8" s="32">
        <f>-C6*C7</f>
        <v>-1.8564000000000001E-2</v>
      </c>
      <c r="D8" s="37" t="s">
        <v>1800</v>
      </c>
      <c r="E8" s="306" t="s">
        <v>1801</v>
      </c>
      <c r="F8" s="127">
        <v>102</v>
      </c>
    </row>
    <row r="9" spans="1:6">
      <c r="A9" s="127">
        <v>103</v>
      </c>
      <c r="B9" s="2" t="s">
        <v>1802</v>
      </c>
      <c r="C9" s="535">
        <f>SUM(C6:C8)</f>
        <v>0.27983599999999997</v>
      </c>
      <c r="D9" t="s">
        <v>1803</v>
      </c>
      <c r="F9" s="127">
        <v>103</v>
      </c>
    </row>
    <row r="10" spans="1:6">
      <c r="A10" s="127"/>
      <c r="B10" s="2"/>
      <c r="C10" s="370"/>
      <c r="F10" s="127"/>
    </row>
    <row r="11" spans="1:6">
      <c r="A11" s="127"/>
      <c r="B11" s="50" t="s">
        <v>1804</v>
      </c>
      <c r="C11" s="47"/>
      <c r="D11" s="47"/>
      <c r="E11" s="47"/>
    </row>
    <row r="12" spans="1:6">
      <c r="A12" s="3" t="s">
        <v>100</v>
      </c>
      <c r="B12" s="3" t="s">
        <v>6</v>
      </c>
      <c r="C12" s="3" t="s">
        <v>1328</v>
      </c>
      <c r="D12" s="3" t="s">
        <v>594</v>
      </c>
      <c r="E12" s="3" t="s">
        <v>136</v>
      </c>
      <c r="F12" s="3" t="str">
        <f>A12</f>
        <v>Line</v>
      </c>
    </row>
    <row r="13" spans="1:6">
      <c r="A13" s="127">
        <v>200</v>
      </c>
      <c r="B13" t="s">
        <v>239</v>
      </c>
      <c r="C13" s="43">
        <v>0.21</v>
      </c>
      <c r="D13" s="35" t="s">
        <v>1796</v>
      </c>
      <c r="E13" s="413"/>
      <c r="F13" s="127">
        <f>A13</f>
        <v>200</v>
      </c>
    </row>
    <row r="14" spans="1:6">
      <c r="A14" s="127">
        <f>A13+1</f>
        <v>201</v>
      </c>
      <c r="B14" t="s">
        <v>1797</v>
      </c>
      <c r="C14" s="43">
        <v>8.8400000000000006E-2</v>
      </c>
      <c r="D14" t="s">
        <v>1798</v>
      </c>
      <c r="E14" s="413"/>
      <c r="F14" s="127">
        <f>A14</f>
        <v>201</v>
      </c>
    </row>
    <row r="15" spans="1:6" ht="30">
      <c r="A15" s="127">
        <f>A14+1</f>
        <v>202</v>
      </c>
      <c r="B15" t="s">
        <v>1799</v>
      </c>
      <c r="C15" s="32">
        <f>-C13*C14</f>
        <v>-1.8564000000000001E-2</v>
      </c>
      <c r="D15" s="37" t="s">
        <v>1800</v>
      </c>
      <c r="E15" s="306" t="s">
        <v>1801</v>
      </c>
      <c r="F15" s="127">
        <f>A15</f>
        <v>202</v>
      </c>
    </row>
    <row r="16" spans="1:6">
      <c r="A16" s="127">
        <f>A15+1</f>
        <v>203</v>
      </c>
      <c r="B16" s="2" t="s">
        <v>1802</v>
      </c>
      <c r="C16" s="535">
        <f>SUM(C13:C15)</f>
        <v>0.27983599999999997</v>
      </c>
      <c r="D16" t="s">
        <v>1803</v>
      </c>
      <c r="F16" s="127">
        <f>A16</f>
        <v>203</v>
      </c>
    </row>
    <row r="25" spans="4:4">
      <c r="D25" s="8"/>
    </row>
  </sheetData>
  <printOptions horizontalCentered="1"/>
  <pageMargins left="1" right="1" top="1.5" bottom="1" header="0.5" footer="0.5"/>
  <pageSetup scale="56" fitToHeight="0" orientation="portrait" r:id="rId1"/>
  <headerFooter>
    <oddHeader>&amp;C&amp;"-,Bold"&amp;12Pacific Gas and Electric Company
Formula Rate Model
Schedule 22-TaxRates&amp;"-,Regular"&amp;11</oddHeader>
  </headerFooter>
  <customProperties>
    <customPr name="_pios_id" r:id="rId2"/>
    <customPr name="EpmWorksheetKeyString_GUID" r:id="rId3"/>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68"/>
  <sheetViews>
    <sheetView view="pageBreakPreview" zoomScale="85" zoomScaleNormal="85" zoomScaleSheetLayoutView="85" zoomScalePageLayoutView="70" workbookViewId="0">
      <selection activeCell="D58" sqref="D58"/>
    </sheetView>
  </sheetViews>
  <sheetFormatPr defaultColWidth="9.140625" defaultRowHeight="15"/>
  <cols>
    <col min="1" max="1" width="4.5703125" bestFit="1" customWidth="1"/>
    <col min="2" max="2" width="43" customWidth="1"/>
    <col min="3" max="3" width="14.85546875" bestFit="1" customWidth="1"/>
    <col min="4" max="5" width="12.7109375" customWidth="1"/>
    <col min="6" max="6" width="40.5703125" customWidth="1"/>
    <col min="7" max="7" width="15.140625" bestFit="1" customWidth="1"/>
    <col min="8" max="9" width="17.42578125" customWidth="1"/>
    <col min="10" max="10" width="19.5703125" bestFit="1" customWidth="1"/>
    <col min="11" max="11" width="4.7109375" bestFit="1" customWidth="1"/>
  </cols>
  <sheetData>
    <row r="1" spans="1:11">
      <c r="A1" s="4"/>
      <c r="B1" s="5" t="s">
        <v>61</v>
      </c>
      <c r="E1" s="6"/>
      <c r="J1" s="6" t="str">
        <f>CONCATENATE("Prior Year: ",'1-BaseTRR'!$G$2)</f>
        <v>Prior Year: 2021</v>
      </c>
    </row>
    <row r="2" spans="1:11">
      <c r="A2" s="4"/>
      <c r="B2" s="113" t="s">
        <v>131</v>
      </c>
      <c r="E2" s="6"/>
      <c r="I2" s="6"/>
    </row>
    <row r="3" spans="1:11">
      <c r="A3" s="5"/>
    </row>
    <row r="4" spans="1:11">
      <c r="A4" s="4"/>
      <c r="B4" s="45" t="s">
        <v>1805</v>
      </c>
      <c r="C4" s="46"/>
      <c r="D4" s="47"/>
      <c r="E4" s="47"/>
      <c r="F4" s="47"/>
      <c r="G4" s="47"/>
      <c r="H4" s="47"/>
      <c r="I4" s="47"/>
      <c r="J4" s="47"/>
    </row>
    <row r="5" spans="1:11">
      <c r="A5" s="4"/>
      <c r="B5" s="118" t="s">
        <v>371</v>
      </c>
      <c r="C5" s="118" t="s">
        <v>372</v>
      </c>
      <c r="D5" s="118" t="s">
        <v>373</v>
      </c>
      <c r="E5" s="118" t="s">
        <v>374</v>
      </c>
      <c r="F5" s="118" t="s">
        <v>375</v>
      </c>
      <c r="G5" s="118" t="s">
        <v>376</v>
      </c>
    </row>
    <row r="6" spans="1:11" ht="60">
      <c r="A6" s="3" t="s">
        <v>100</v>
      </c>
      <c r="B6" s="3" t="s">
        <v>6</v>
      </c>
      <c r="D6" s="167" t="s">
        <v>1806</v>
      </c>
      <c r="E6" s="167" t="s">
        <v>1807</v>
      </c>
      <c r="F6" s="3" t="s">
        <v>135</v>
      </c>
      <c r="G6" s="3" t="s">
        <v>136</v>
      </c>
      <c r="K6" s="3" t="str">
        <f>A6</f>
        <v>Line</v>
      </c>
    </row>
    <row r="7" spans="1:11">
      <c r="A7" s="127">
        <v>100</v>
      </c>
      <c r="B7" s="5" t="s">
        <v>1808</v>
      </c>
      <c r="C7" s="5"/>
      <c r="D7" s="444">
        <v>22661819</v>
      </c>
      <c r="E7" s="444">
        <v>22661819</v>
      </c>
      <c r="F7" t="s">
        <v>1809</v>
      </c>
      <c r="G7" t="s">
        <v>111</v>
      </c>
      <c r="K7" s="127">
        <f>A7</f>
        <v>100</v>
      </c>
    </row>
    <row r="8" spans="1:11" ht="15.75" thickBot="1">
      <c r="A8" s="127">
        <f>A7+1</f>
        <v>101</v>
      </c>
      <c r="B8" s="5" t="s">
        <v>1810</v>
      </c>
      <c r="E8" s="444">
        <v>24539256</v>
      </c>
      <c r="F8" t="s">
        <v>1809</v>
      </c>
      <c r="G8" s="241" t="s">
        <v>203</v>
      </c>
      <c r="K8" s="127">
        <f>A8</f>
        <v>101</v>
      </c>
    </row>
    <row r="9" spans="1:11" ht="15.75" thickBot="1">
      <c r="A9" s="127">
        <f>A8+1</f>
        <v>102</v>
      </c>
      <c r="B9" s="5" t="s">
        <v>1811</v>
      </c>
      <c r="D9" s="558"/>
      <c r="E9" s="564">
        <f>+J60</f>
        <v>23669548.312100459</v>
      </c>
      <c r="F9" s="35" t="str">
        <f>CONCATENATE("Line ",A60,", ","col 9")</f>
        <v>Line 414, col 9</v>
      </c>
      <c r="G9" s="241"/>
      <c r="K9" s="127">
        <f>A9</f>
        <v>102</v>
      </c>
    </row>
    <row r="10" spans="1:11">
      <c r="A10" s="127"/>
      <c r="B10" s="5"/>
      <c r="C10" s="5"/>
      <c r="D10" s="23"/>
      <c r="E10" s="23"/>
      <c r="K10" s="127"/>
    </row>
    <row r="11" spans="1:11">
      <c r="A11" s="127"/>
      <c r="B11" s="45" t="s">
        <v>1812</v>
      </c>
      <c r="C11" s="47"/>
      <c r="D11" s="47"/>
      <c r="E11" s="47"/>
      <c r="F11" s="47"/>
      <c r="G11" s="47"/>
      <c r="H11" s="47"/>
      <c r="I11" s="47"/>
      <c r="J11" s="47"/>
      <c r="K11" s="127"/>
    </row>
    <row r="12" spans="1:11">
      <c r="A12" s="3" t="s">
        <v>100</v>
      </c>
      <c r="B12" s="3" t="s">
        <v>6</v>
      </c>
      <c r="D12" s="3"/>
      <c r="E12" s="3"/>
      <c r="F12" s="3" t="s">
        <v>135</v>
      </c>
      <c r="G12" s="3" t="s">
        <v>136</v>
      </c>
      <c r="K12" s="3" t="str">
        <f>A12</f>
        <v>Line</v>
      </c>
    </row>
    <row r="13" spans="1:11">
      <c r="A13" s="127">
        <v>200</v>
      </c>
      <c r="B13" t="s">
        <v>239</v>
      </c>
      <c r="D13" s="22">
        <f>'22-TaxRates'!C6</f>
        <v>0.21</v>
      </c>
      <c r="E13" s="22">
        <f>'22-TaxRates'!C6</f>
        <v>0.21</v>
      </c>
      <c r="F13" t="s">
        <v>240</v>
      </c>
      <c r="K13" s="127">
        <f>A13</f>
        <v>200</v>
      </c>
    </row>
    <row r="14" spans="1:11">
      <c r="A14" s="127">
        <f>A13+1</f>
        <v>201</v>
      </c>
      <c r="B14" t="s">
        <v>241</v>
      </c>
      <c r="D14" s="25">
        <f>'22-TaxRates'!C7</f>
        <v>8.8400000000000006E-2</v>
      </c>
      <c r="E14" s="25">
        <f>'22-TaxRates'!C7</f>
        <v>8.8400000000000006E-2</v>
      </c>
      <c r="F14" t="s">
        <v>242</v>
      </c>
      <c r="K14" s="127">
        <f>A14</f>
        <v>201</v>
      </c>
    </row>
    <row r="15" spans="1:11">
      <c r="A15" s="127">
        <f>A14+1</f>
        <v>202</v>
      </c>
      <c r="B15" s="2" t="s">
        <v>243</v>
      </c>
      <c r="C15" s="2"/>
      <c r="D15" s="557">
        <f>(D13+D14)-(D13*D14)</f>
        <v>0.27983599999999997</v>
      </c>
      <c r="E15" s="557">
        <f>(E13+E14)-(E13*E14)</f>
        <v>0.27983599999999997</v>
      </c>
      <c r="F15" s="8" t="str">
        <f>"(Line "&amp;A13&amp;" + Line "&amp;A14&amp;") - (Line "&amp;A13&amp;" * Line "&amp;A14&amp;")"</f>
        <v>(Line 200 + Line 201) - (Line 200 * Line 201)</v>
      </c>
      <c r="K15" s="127">
        <f>A15</f>
        <v>202</v>
      </c>
    </row>
    <row r="16" spans="1:11">
      <c r="A16" s="127"/>
      <c r="K16" s="127"/>
    </row>
    <row r="17" spans="1:11">
      <c r="A17" s="127">
        <f>A15+1</f>
        <v>203</v>
      </c>
      <c r="B17" s="2" t="s">
        <v>255</v>
      </c>
      <c r="D17" s="366">
        <f>(((D22*D23)+D26)*(D24/(1-D24)))+D25/(1-D24)</f>
        <v>3067189.0414079702</v>
      </c>
      <c r="E17" s="366">
        <f>(((E22*E23)+E26)*(E24/(1-E24)))+E25/(1-E24)</f>
        <v>3087654.6859404305</v>
      </c>
      <c r="K17" s="127">
        <f>A17</f>
        <v>203</v>
      </c>
    </row>
    <row r="18" spans="1:11">
      <c r="A18" s="127"/>
      <c r="D18" s="8"/>
      <c r="E18" s="8"/>
      <c r="K18" s="127"/>
    </row>
    <row r="19" spans="1:11">
      <c r="A19" s="127"/>
      <c r="B19" t="s">
        <v>1813</v>
      </c>
      <c r="K19" s="127"/>
    </row>
    <row r="20" spans="1:11">
      <c r="A20" s="127"/>
      <c r="K20" s="127"/>
    </row>
    <row r="21" spans="1:11">
      <c r="A21" s="127"/>
      <c r="B21" t="s">
        <v>257</v>
      </c>
      <c r="K21" s="127"/>
    </row>
    <row r="22" spans="1:11">
      <c r="A22" s="127">
        <f>A17+1</f>
        <v>204</v>
      </c>
      <c r="B22" s="26" t="s">
        <v>258</v>
      </c>
      <c r="C22" s="26"/>
      <c r="D22" s="24">
        <f>D7</f>
        <v>22661819</v>
      </c>
      <c r="E22" s="24">
        <f>+E9</f>
        <v>23669548.312100459</v>
      </c>
      <c r="F22" s="35" t="str">
        <f>CONCATENATE("Line ",A7," or ",A9)</f>
        <v>Line 100 or 102</v>
      </c>
      <c r="K22" s="127">
        <f>A22</f>
        <v>204</v>
      </c>
    </row>
    <row r="23" spans="1:11">
      <c r="A23" s="127">
        <f>A22+1</f>
        <v>205</v>
      </c>
      <c r="B23" s="9" t="s">
        <v>259</v>
      </c>
      <c r="C23" s="9"/>
      <c r="D23" s="22">
        <f>D32+D33</f>
        <v>5.2264807947588816E-2</v>
      </c>
      <c r="E23" s="22">
        <f>D32+D33</f>
        <v>5.2264807947588816E-2</v>
      </c>
      <c r="F23" s="35" t="str">
        <f>CONCATENATE("Line ",A32," + ","Line ",A33)</f>
        <v>Line 301 + Line 302</v>
      </c>
      <c r="K23" s="127">
        <f>A23</f>
        <v>205</v>
      </c>
    </row>
    <row r="24" spans="1:11">
      <c r="A24" s="127">
        <f>A23+1</f>
        <v>206</v>
      </c>
      <c r="B24" s="26" t="s">
        <v>260</v>
      </c>
      <c r="C24" s="26"/>
      <c r="D24" s="19">
        <f>+D15</f>
        <v>0.27983599999999997</v>
      </c>
      <c r="E24" s="19">
        <f>+D15</f>
        <v>0.27983599999999997</v>
      </c>
      <c r="F24" s="35" t="str">
        <f>CONCATENATE("Line ",A15)</f>
        <v>Line 202</v>
      </c>
      <c r="K24" s="127">
        <f>A24</f>
        <v>206</v>
      </c>
    </row>
    <row r="25" spans="1:11">
      <c r="A25" s="127">
        <f>A24+1</f>
        <v>207</v>
      </c>
      <c r="B25" s="26" t="s">
        <v>261</v>
      </c>
      <c r="C25" s="26"/>
      <c r="D25" s="444">
        <v>1877437</v>
      </c>
      <c r="E25" s="444">
        <v>1877437</v>
      </c>
      <c r="F25" t="s">
        <v>1809</v>
      </c>
      <c r="G25" t="s">
        <v>251</v>
      </c>
      <c r="K25" s="127">
        <f>A25</f>
        <v>207</v>
      </c>
    </row>
    <row r="26" spans="1:11">
      <c r="A26" s="127">
        <f>A25+1</f>
        <v>208</v>
      </c>
      <c r="B26" s="26" t="s">
        <v>262</v>
      </c>
      <c r="C26" s="26"/>
      <c r="D26" s="157">
        <v>0</v>
      </c>
      <c r="E26" s="157">
        <v>0</v>
      </c>
      <c r="K26" s="127">
        <f>A26</f>
        <v>208</v>
      </c>
    </row>
    <row r="27" spans="1:11">
      <c r="A27" s="127"/>
      <c r="B27" s="26"/>
      <c r="C27" s="26"/>
      <c r="D27" s="157"/>
      <c r="E27" s="157"/>
      <c r="K27" s="127"/>
    </row>
    <row r="28" spans="1:11">
      <c r="A28" s="127"/>
      <c r="B28" s="45" t="s">
        <v>1814</v>
      </c>
      <c r="C28" s="47"/>
      <c r="D28" s="47"/>
      <c r="E28" s="47"/>
      <c r="F28" s="47"/>
      <c r="G28" s="47"/>
      <c r="H28" s="47"/>
      <c r="I28" s="47"/>
      <c r="J28" s="47"/>
      <c r="K28" s="127"/>
    </row>
    <row r="29" spans="1:11" ht="45">
      <c r="A29" s="3" t="s">
        <v>100</v>
      </c>
      <c r="B29" s="3" t="s">
        <v>6</v>
      </c>
      <c r="D29" s="167" t="s">
        <v>1815</v>
      </c>
      <c r="E29" s="167" t="s">
        <v>1816</v>
      </c>
      <c r="F29" s="3" t="s">
        <v>135</v>
      </c>
      <c r="G29" s="3" t="s">
        <v>136</v>
      </c>
      <c r="K29" s="3" t="str">
        <f>A29</f>
        <v>Line</v>
      </c>
    </row>
    <row r="30" spans="1:11">
      <c r="A30" s="127"/>
      <c r="B30" s="1" t="s">
        <v>204</v>
      </c>
      <c r="C30" s="1"/>
      <c r="K30" s="127"/>
    </row>
    <row r="31" spans="1:11">
      <c r="A31" s="127">
        <v>300</v>
      </c>
      <c r="B31" t="s">
        <v>205</v>
      </c>
      <c r="D31" s="19">
        <f>'1-BaseTRR'!E63</f>
        <v>1.7561749999999998E-2</v>
      </c>
      <c r="E31" s="19">
        <f>'1-BaseTRR'!E63</f>
        <v>1.7561749999999998E-2</v>
      </c>
      <c r="F31" t="s">
        <v>1817</v>
      </c>
      <c r="K31" s="127">
        <f>A31</f>
        <v>300</v>
      </c>
    </row>
    <row r="32" spans="1:11">
      <c r="A32" s="127">
        <f>A31+1</f>
        <v>301</v>
      </c>
      <c r="B32" t="s">
        <v>206</v>
      </c>
      <c r="D32" s="19">
        <f>'1-BaseTRR'!E64</f>
        <v>2.7605794758881429E-4</v>
      </c>
      <c r="E32" s="19">
        <f>'1-BaseTRR'!E64</f>
        <v>2.7605794758881429E-4</v>
      </c>
      <c r="F32" t="s">
        <v>1818</v>
      </c>
      <c r="K32" s="127">
        <f>A32</f>
        <v>301</v>
      </c>
    </row>
    <row r="33" spans="1:11">
      <c r="A33" s="127">
        <f>A32+1</f>
        <v>302</v>
      </c>
      <c r="B33" t="s">
        <v>207</v>
      </c>
      <c r="D33" s="25">
        <f>'1-BaseTRR'!E65</f>
        <v>5.198875E-2</v>
      </c>
      <c r="E33" s="25">
        <f>'1-BaseTRR'!E65</f>
        <v>5.198875E-2</v>
      </c>
      <c r="F33" t="s">
        <v>1819</v>
      </c>
      <c r="K33" s="127">
        <f>A33</f>
        <v>302</v>
      </c>
    </row>
    <row r="34" spans="1:11">
      <c r="A34" s="127">
        <f>A33+1</f>
        <v>303</v>
      </c>
      <c r="B34" s="2" t="s">
        <v>208</v>
      </c>
      <c r="C34" s="2"/>
      <c r="D34" s="22">
        <f>SUM(D31:D33)</f>
        <v>6.982655794758881E-2</v>
      </c>
      <c r="E34" s="22">
        <f>SUM(E31:E33)</f>
        <v>6.982655794758881E-2</v>
      </c>
      <c r="F34" s="35" t="str">
        <f>"Sum of Lines "&amp;A31&amp;" to "&amp;A33&amp;""</f>
        <v>Sum of Lines 300 to 302</v>
      </c>
      <c r="K34" s="127">
        <f>A34</f>
        <v>303</v>
      </c>
    </row>
    <row r="35" spans="1:11">
      <c r="A35" s="127"/>
      <c r="K35" s="127"/>
    </row>
    <row r="36" spans="1:11">
      <c r="A36" s="127">
        <f>A34+1</f>
        <v>304</v>
      </c>
      <c r="B36" s="2" t="s">
        <v>211</v>
      </c>
      <c r="C36" s="2"/>
      <c r="D36" s="366">
        <f>+D7*D34</f>
        <v>1582396.8176012691</v>
      </c>
      <c r="E36" s="366">
        <f>+E9*E34</f>
        <v>1652763.0868081355</v>
      </c>
      <c r="F36" t="str">
        <f>CONCATENATE("Line ",A7," or ",A9," * ","Line ",A34)</f>
        <v>Line 100 or 102 * Line 303</v>
      </c>
      <c r="K36" s="127">
        <f>A36</f>
        <v>304</v>
      </c>
    </row>
    <row r="37" spans="1:11">
      <c r="A37" s="127"/>
      <c r="H37" s="286"/>
      <c r="I37" s="9"/>
      <c r="K37" s="127"/>
    </row>
    <row r="38" spans="1:11" ht="15.75" thickBot="1">
      <c r="A38" s="127">
        <f>A36+1</f>
        <v>305</v>
      </c>
      <c r="B38" s="2" t="s">
        <v>1820</v>
      </c>
      <c r="D38" s="365">
        <f>+D17+D36</f>
        <v>4649585.8590092398</v>
      </c>
      <c r="E38" s="365">
        <f>+E17+E36</f>
        <v>4740417.7727485662</v>
      </c>
      <c r="F38" s="35" t="str">
        <f>CONCATENATE("Line ",A36," + ","Line ",A17)</f>
        <v>Line 304 + Line 203</v>
      </c>
      <c r="H38" s="286"/>
      <c r="I38" s="9"/>
      <c r="K38" s="127">
        <f>A38</f>
        <v>305</v>
      </c>
    </row>
    <row r="39" spans="1:11" ht="15.75" thickTop="1">
      <c r="A39" s="127"/>
      <c r="E39" s="24"/>
      <c r="H39" s="308"/>
      <c r="I39" s="309"/>
      <c r="J39" s="127"/>
    </row>
    <row r="40" spans="1:11">
      <c r="A40" s="127"/>
      <c r="B40" s="114" t="s">
        <v>1821</v>
      </c>
      <c r="C40" s="179"/>
      <c r="D40" s="301"/>
      <c r="E40" s="301"/>
      <c r="F40" s="296"/>
      <c r="G40" s="296"/>
      <c r="H40" s="364"/>
      <c r="I40" s="363"/>
      <c r="J40" s="363"/>
    </row>
    <row r="41" spans="1:11">
      <c r="A41" s="127"/>
      <c r="B41" s="118" t="s">
        <v>371</v>
      </c>
      <c r="C41" s="118" t="s">
        <v>372</v>
      </c>
      <c r="D41" s="118" t="s">
        <v>373</v>
      </c>
      <c r="E41" s="118" t="s">
        <v>374</v>
      </c>
      <c r="F41" s="118" t="s">
        <v>375</v>
      </c>
      <c r="G41" s="118" t="s">
        <v>376</v>
      </c>
      <c r="H41" s="118" t="s">
        <v>377</v>
      </c>
      <c r="I41" s="118" t="s">
        <v>378</v>
      </c>
      <c r="J41" s="115" t="s">
        <v>409</v>
      </c>
      <c r="K41" s="127"/>
    </row>
    <row r="42" spans="1:11" ht="30" customHeight="1">
      <c r="A42" s="127"/>
      <c r="B42" s="175"/>
      <c r="C42" s="175"/>
      <c r="D42" s="362" t="s">
        <v>1822</v>
      </c>
      <c r="E42" s="362" t="s">
        <v>1823</v>
      </c>
      <c r="F42" s="286"/>
      <c r="G42" s="286"/>
      <c r="H42" s="303" t="s">
        <v>1824</v>
      </c>
      <c r="I42" s="304" t="s">
        <v>1825</v>
      </c>
      <c r="J42" s="361" t="s">
        <v>1826</v>
      </c>
      <c r="K42" s="127"/>
    </row>
    <row r="43" spans="1:11">
      <c r="A43" s="127"/>
      <c r="B43" s="175"/>
      <c r="C43" s="175"/>
      <c r="D43" s="291"/>
      <c r="E43" s="291"/>
      <c r="F43" s="286"/>
      <c r="G43" s="286"/>
      <c r="H43" s="286"/>
      <c r="I43" s="9"/>
      <c r="J43" s="8"/>
      <c r="K43" s="127"/>
    </row>
    <row r="44" spans="1:11">
      <c r="A44" s="127"/>
      <c r="B44" s="182"/>
      <c r="C44" s="182"/>
      <c r="D44" s="303" t="s">
        <v>1184</v>
      </c>
      <c r="E44" s="303" t="s">
        <v>1185</v>
      </c>
      <c r="F44" s="303"/>
      <c r="G44" s="303" t="s">
        <v>1186</v>
      </c>
      <c r="H44" s="303" t="s">
        <v>1187</v>
      </c>
      <c r="I44" s="127" t="s">
        <v>1188</v>
      </c>
      <c r="J44" s="127" t="s">
        <v>1189</v>
      </c>
      <c r="K44" s="127"/>
    </row>
    <row r="45" spans="1:11">
      <c r="A45" s="3" t="s">
        <v>100</v>
      </c>
      <c r="B45" s="182" t="s">
        <v>1190</v>
      </c>
      <c r="C45" s="182" t="s">
        <v>420</v>
      </c>
      <c r="D45" s="305" t="s">
        <v>1191</v>
      </c>
      <c r="E45" s="305" t="s">
        <v>1192</v>
      </c>
      <c r="F45" s="305" t="s">
        <v>1193</v>
      </c>
      <c r="G45" s="305" t="s">
        <v>1194</v>
      </c>
      <c r="H45" s="305" t="s">
        <v>1195</v>
      </c>
      <c r="I45" s="115" t="s">
        <v>1196</v>
      </c>
      <c r="J45" s="115" t="s">
        <v>1197</v>
      </c>
      <c r="K45" s="3" t="str">
        <f t="shared" ref="K45:K60" si="0">A45</f>
        <v>Line</v>
      </c>
    </row>
    <row r="46" spans="1:11">
      <c r="A46" s="127">
        <v>400</v>
      </c>
      <c r="B46" s="306" t="s">
        <v>1827</v>
      </c>
      <c r="C46" s="306"/>
      <c r="D46" s="307"/>
      <c r="E46" s="209">
        <f>+E8</f>
        <v>24539256</v>
      </c>
      <c r="F46" s="286"/>
      <c r="G46" s="37">
        <f>+G47+F47-G58</f>
        <v>365</v>
      </c>
      <c r="H46" s="308">
        <f>1</f>
        <v>1</v>
      </c>
      <c r="I46" s="309"/>
      <c r="J46" s="425">
        <f>+E46</f>
        <v>24539256</v>
      </c>
      <c r="K46" s="127">
        <f t="shared" si="0"/>
        <v>400</v>
      </c>
    </row>
    <row r="47" spans="1:11">
      <c r="A47" s="127">
        <f t="shared" ref="A47:A60" si="1">A46+1</f>
        <v>401</v>
      </c>
      <c r="B47" s="306" t="s">
        <v>430</v>
      </c>
      <c r="C47" s="147">
        <f>'1-BaseTRR'!$G$2</f>
        <v>2021</v>
      </c>
      <c r="D47" s="209">
        <f t="shared" ref="D47:D58" si="2">($D$7-$E$8)/12</f>
        <v>-156453.08333333334</v>
      </c>
      <c r="E47" s="209">
        <f t="shared" ref="E47:E58" si="3">E46+D47</f>
        <v>24382802.916666668</v>
      </c>
      <c r="F47" s="37">
        <v>31</v>
      </c>
      <c r="G47" s="37">
        <f t="shared" ref="G47:G56" si="4">+G48+F48</f>
        <v>335</v>
      </c>
      <c r="H47" s="308">
        <f>G47/G46</f>
        <v>0.9178082191780822</v>
      </c>
      <c r="I47" s="442">
        <f t="shared" ref="I47:I58" si="5">D47*H47</f>
        <v>-143593.92579908678</v>
      </c>
      <c r="J47" s="24">
        <f t="shared" ref="J47:J58" si="6">J46+I47</f>
        <v>24395662.074200913</v>
      </c>
      <c r="K47" s="127">
        <f t="shared" si="0"/>
        <v>401</v>
      </c>
    </row>
    <row r="48" spans="1:11">
      <c r="A48" s="127">
        <f t="shared" si="1"/>
        <v>402</v>
      </c>
      <c r="B48" s="306" t="s">
        <v>431</v>
      </c>
      <c r="C48" s="147">
        <f>'1-BaseTRR'!$G$2</f>
        <v>2021</v>
      </c>
      <c r="D48" s="209">
        <f t="shared" si="2"/>
        <v>-156453.08333333334</v>
      </c>
      <c r="E48" s="209">
        <f t="shared" si="3"/>
        <v>24226349.833333336</v>
      </c>
      <c r="F48" s="311">
        <v>28</v>
      </c>
      <c r="G48" s="37">
        <f t="shared" si="4"/>
        <v>307</v>
      </c>
      <c r="H48" s="308">
        <f>G48/G46</f>
        <v>0.84109589041095889</v>
      </c>
      <c r="I48" s="442">
        <f t="shared" si="5"/>
        <v>-131592.04543378996</v>
      </c>
      <c r="J48" s="24">
        <f t="shared" si="6"/>
        <v>24264070.028767124</v>
      </c>
      <c r="K48" s="127">
        <f t="shared" si="0"/>
        <v>402</v>
      </c>
    </row>
    <row r="49" spans="1:11">
      <c r="A49" s="127">
        <f t="shared" si="1"/>
        <v>403</v>
      </c>
      <c r="B49" s="306" t="s">
        <v>432</v>
      </c>
      <c r="C49" s="147">
        <f>'1-BaseTRR'!$G$2</f>
        <v>2021</v>
      </c>
      <c r="D49" s="209">
        <f t="shared" si="2"/>
        <v>-156453.08333333334</v>
      </c>
      <c r="E49" s="209">
        <f t="shared" si="3"/>
        <v>24069896.750000004</v>
      </c>
      <c r="F49" s="37">
        <v>31</v>
      </c>
      <c r="G49" s="37">
        <f t="shared" si="4"/>
        <v>276</v>
      </c>
      <c r="H49" s="308">
        <f>G49/G46</f>
        <v>0.75616438356164384</v>
      </c>
      <c r="I49" s="442">
        <f t="shared" si="5"/>
        <v>-118304.2493150685</v>
      </c>
      <c r="J49" s="24">
        <f t="shared" si="6"/>
        <v>24145765.779452056</v>
      </c>
      <c r="K49" s="127">
        <f t="shared" si="0"/>
        <v>403</v>
      </c>
    </row>
    <row r="50" spans="1:11">
      <c r="A50" s="127">
        <f t="shared" si="1"/>
        <v>404</v>
      </c>
      <c r="B50" s="306" t="s">
        <v>433</v>
      </c>
      <c r="C50" s="147">
        <f>'1-BaseTRR'!$G$2</f>
        <v>2021</v>
      </c>
      <c r="D50" s="209">
        <f t="shared" si="2"/>
        <v>-156453.08333333334</v>
      </c>
      <c r="E50" s="209">
        <f t="shared" si="3"/>
        <v>23913443.666666672</v>
      </c>
      <c r="F50" s="37">
        <v>30</v>
      </c>
      <c r="G50" s="37">
        <f t="shared" si="4"/>
        <v>246</v>
      </c>
      <c r="H50" s="308">
        <f>G50/G46</f>
        <v>0.67397260273972603</v>
      </c>
      <c r="I50" s="442">
        <f t="shared" si="5"/>
        <v>-105445.09178082192</v>
      </c>
      <c r="J50" s="24">
        <f t="shared" si="6"/>
        <v>24040320.687671233</v>
      </c>
      <c r="K50" s="127">
        <f t="shared" si="0"/>
        <v>404</v>
      </c>
    </row>
    <row r="51" spans="1:11">
      <c r="A51" s="127">
        <f t="shared" si="1"/>
        <v>405</v>
      </c>
      <c r="B51" s="306" t="s">
        <v>395</v>
      </c>
      <c r="C51" s="147">
        <f>'1-BaseTRR'!$G$2</f>
        <v>2021</v>
      </c>
      <c r="D51" s="209">
        <f t="shared" si="2"/>
        <v>-156453.08333333334</v>
      </c>
      <c r="E51" s="209">
        <f t="shared" si="3"/>
        <v>23756990.58333334</v>
      </c>
      <c r="F51" s="37">
        <v>31</v>
      </c>
      <c r="G51" s="37">
        <f t="shared" si="4"/>
        <v>215</v>
      </c>
      <c r="H51" s="308">
        <f>G51/G46</f>
        <v>0.58904109589041098</v>
      </c>
      <c r="I51" s="442">
        <f t="shared" si="5"/>
        <v>-92157.295662100471</v>
      </c>
      <c r="J51" s="24">
        <f t="shared" si="6"/>
        <v>23948163.392009132</v>
      </c>
      <c r="K51" s="127">
        <f t="shared" si="0"/>
        <v>405</v>
      </c>
    </row>
    <row r="52" spans="1:11">
      <c r="A52" s="127">
        <f t="shared" si="1"/>
        <v>406</v>
      </c>
      <c r="B52" s="306" t="s">
        <v>531</v>
      </c>
      <c r="C52" s="147">
        <f>'1-BaseTRR'!$G$2</f>
        <v>2021</v>
      </c>
      <c r="D52" s="209">
        <f t="shared" si="2"/>
        <v>-156453.08333333334</v>
      </c>
      <c r="E52" s="209">
        <f t="shared" si="3"/>
        <v>23600537.500000007</v>
      </c>
      <c r="F52" s="37">
        <v>30</v>
      </c>
      <c r="G52" s="37">
        <f t="shared" si="4"/>
        <v>185</v>
      </c>
      <c r="H52" s="308">
        <f>G52/G46</f>
        <v>0.50684931506849318</v>
      </c>
      <c r="I52" s="442">
        <f t="shared" si="5"/>
        <v>-79298.13812785389</v>
      </c>
      <c r="J52" s="24">
        <f t="shared" si="6"/>
        <v>23868865.253881279</v>
      </c>
      <c r="K52" s="127">
        <f t="shared" si="0"/>
        <v>406</v>
      </c>
    </row>
    <row r="53" spans="1:11">
      <c r="A53" s="127">
        <f t="shared" si="1"/>
        <v>407</v>
      </c>
      <c r="B53" s="306" t="s">
        <v>435</v>
      </c>
      <c r="C53" s="147">
        <f>'1-BaseTRR'!$G$2</f>
        <v>2021</v>
      </c>
      <c r="D53" s="209">
        <f t="shared" si="2"/>
        <v>-156453.08333333334</v>
      </c>
      <c r="E53" s="209">
        <f t="shared" si="3"/>
        <v>23444084.416666675</v>
      </c>
      <c r="F53" s="37">
        <v>31</v>
      </c>
      <c r="G53" s="37">
        <f t="shared" si="4"/>
        <v>154</v>
      </c>
      <c r="H53" s="308">
        <f>G53/G46</f>
        <v>0.42191780821917807</v>
      </c>
      <c r="I53" s="442">
        <f t="shared" si="5"/>
        <v>-66010.342009132422</v>
      </c>
      <c r="J53" s="24">
        <f t="shared" si="6"/>
        <v>23802854.911872149</v>
      </c>
      <c r="K53" s="127">
        <f t="shared" si="0"/>
        <v>407</v>
      </c>
    </row>
    <row r="54" spans="1:11">
      <c r="A54" s="127">
        <f t="shared" si="1"/>
        <v>408</v>
      </c>
      <c r="B54" s="306" t="s">
        <v>436</v>
      </c>
      <c r="C54" s="147">
        <f>'1-BaseTRR'!$G$2</f>
        <v>2021</v>
      </c>
      <c r="D54" s="209">
        <f t="shared" si="2"/>
        <v>-156453.08333333334</v>
      </c>
      <c r="E54" s="209">
        <f t="shared" si="3"/>
        <v>23287631.333333343</v>
      </c>
      <c r="F54" s="37">
        <v>31</v>
      </c>
      <c r="G54" s="37">
        <f t="shared" si="4"/>
        <v>123</v>
      </c>
      <c r="H54" s="308">
        <f>G54/G46</f>
        <v>0.33698630136986302</v>
      </c>
      <c r="I54" s="442">
        <f t="shared" si="5"/>
        <v>-52722.545890410962</v>
      </c>
      <c r="J54" s="24">
        <f t="shared" si="6"/>
        <v>23750132.365981739</v>
      </c>
      <c r="K54" s="127">
        <f t="shared" si="0"/>
        <v>408</v>
      </c>
    </row>
    <row r="55" spans="1:11">
      <c r="A55" s="127">
        <f t="shared" si="1"/>
        <v>409</v>
      </c>
      <c r="B55" s="306" t="s">
        <v>437</v>
      </c>
      <c r="C55" s="147">
        <f>'1-BaseTRR'!$G$2</f>
        <v>2021</v>
      </c>
      <c r="D55" s="209">
        <f t="shared" si="2"/>
        <v>-156453.08333333334</v>
      </c>
      <c r="E55" s="209">
        <f t="shared" si="3"/>
        <v>23131178.250000011</v>
      </c>
      <c r="F55" s="37">
        <v>30</v>
      </c>
      <c r="G55" s="37">
        <f t="shared" si="4"/>
        <v>93</v>
      </c>
      <c r="H55" s="308">
        <f>G55/G46</f>
        <v>0.25479452054794521</v>
      </c>
      <c r="I55" s="442">
        <f t="shared" si="5"/>
        <v>-39863.388356164389</v>
      </c>
      <c r="J55" s="24">
        <f t="shared" si="6"/>
        <v>23710268.977625575</v>
      </c>
      <c r="K55" s="127">
        <f t="shared" si="0"/>
        <v>409</v>
      </c>
    </row>
    <row r="56" spans="1:11">
      <c r="A56" s="127">
        <f t="shared" si="1"/>
        <v>410</v>
      </c>
      <c r="B56" s="306" t="s">
        <v>438</v>
      </c>
      <c r="C56" s="147">
        <f>'1-BaseTRR'!$G$2</f>
        <v>2021</v>
      </c>
      <c r="D56" s="209">
        <f t="shared" si="2"/>
        <v>-156453.08333333334</v>
      </c>
      <c r="E56" s="209">
        <f t="shared" si="3"/>
        <v>22974725.166666679</v>
      </c>
      <c r="F56" s="37">
        <v>31</v>
      </c>
      <c r="G56" s="37">
        <f t="shared" si="4"/>
        <v>62</v>
      </c>
      <c r="H56" s="308">
        <f>G56/G46</f>
        <v>0.16986301369863013</v>
      </c>
      <c r="I56" s="442">
        <f t="shared" si="5"/>
        <v>-26575.592237442925</v>
      </c>
      <c r="J56" s="24">
        <f t="shared" si="6"/>
        <v>23683693.385388132</v>
      </c>
      <c r="K56" s="127">
        <f t="shared" si="0"/>
        <v>410</v>
      </c>
    </row>
    <row r="57" spans="1:11">
      <c r="A57" s="127">
        <f t="shared" si="1"/>
        <v>411</v>
      </c>
      <c r="B57" s="306" t="s">
        <v>439</v>
      </c>
      <c r="C57" s="147">
        <f>'1-BaseTRR'!$G$2</f>
        <v>2021</v>
      </c>
      <c r="D57" s="209">
        <f t="shared" si="2"/>
        <v>-156453.08333333334</v>
      </c>
      <c r="E57" s="209">
        <f t="shared" si="3"/>
        <v>22818272.083333347</v>
      </c>
      <c r="F57" s="37">
        <v>30</v>
      </c>
      <c r="G57" s="37">
        <f>+G58+F58</f>
        <v>32</v>
      </c>
      <c r="H57" s="308">
        <f>G57/G46</f>
        <v>8.7671232876712329E-2</v>
      </c>
      <c r="I57" s="442">
        <f t="shared" si="5"/>
        <v>-13716.434703196348</v>
      </c>
      <c r="J57" s="24">
        <f t="shared" si="6"/>
        <v>23669976.950684935</v>
      </c>
      <c r="K57" s="127">
        <f t="shared" si="0"/>
        <v>411</v>
      </c>
    </row>
    <row r="58" spans="1:11">
      <c r="A58" s="127">
        <f t="shared" si="1"/>
        <v>412</v>
      </c>
      <c r="B58" s="306" t="s">
        <v>428</v>
      </c>
      <c r="C58" s="147">
        <f>'1-BaseTRR'!$G$2</f>
        <v>2021</v>
      </c>
      <c r="D58" s="209">
        <f t="shared" si="2"/>
        <v>-156453.08333333334</v>
      </c>
      <c r="E58" s="209">
        <f t="shared" si="3"/>
        <v>22661819.000000015</v>
      </c>
      <c r="F58" s="37">
        <v>31</v>
      </c>
      <c r="G58" s="311">
        <v>1</v>
      </c>
      <c r="H58" s="308">
        <f>G58/G46</f>
        <v>2.7397260273972603E-3</v>
      </c>
      <c r="I58" s="442">
        <f t="shared" si="5"/>
        <v>-428.63858447488587</v>
      </c>
      <c r="J58" s="443">
        <f t="shared" si="6"/>
        <v>23669548.312100459</v>
      </c>
      <c r="K58" s="127">
        <f t="shared" si="0"/>
        <v>412</v>
      </c>
    </row>
    <row r="59" spans="1:11">
      <c r="A59" s="127">
        <f t="shared" si="1"/>
        <v>413</v>
      </c>
      <c r="B59" s="306" t="s">
        <v>1828</v>
      </c>
      <c r="C59" s="306"/>
      <c r="D59" s="310"/>
      <c r="E59" s="209">
        <f>+D7</f>
        <v>22661819</v>
      </c>
      <c r="F59" s="286"/>
      <c r="G59" s="286"/>
      <c r="H59" s="286"/>
      <c r="I59" s="9"/>
      <c r="J59" s="208"/>
      <c r="K59" s="127">
        <f t="shared" si="0"/>
        <v>413</v>
      </c>
    </row>
    <row r="60" spans="1:11">
      <c r="A60" s="127">
        <f t="shared" si="1"/>
        <v>414</v>
      </c>
      <c r="B60" s="175"/>
      <c r="C60" s="175"/>
      <c r="D60" s="291"/>
      <c r="E60" s="291"/>
      <c r="F60" s="286"/>
      <c r="G60" s="286"/>
      <c r="H60" s="286"/>
      <c r="I60" s="360" t="s">
        <v>1199</v>
      </c>
      <c r="J60" s="436">
        <f>+J58</f>
        <v>23669548.312100459</v>
      </c>
      <c r="K60" s="127">
        <f t="shared" si="0"/>
        <v>414</v>
      </c>
    </row>
    <row r="61" spans="1:11">
      <c r="A61" s="127"/>
      <c r="B61" s="175"/>
      <c r="C61" s="175"/>
      <c r="D61" s="291"/>
      <c r="E61" s="291"/>
      <c r="F61" s="286"/>
      <c r="G61" s="286"/>
      <c r="H61" s="286"/>
      <c r="I61" s="312"/>
      <c r="J61" s="207"/>
      <c r="K61" s="127"/>
    </row>
    <row r="62" spans="1:11">
      <c r="A62" s="127"/>
      <c r="C62" s="175"/>
      <c r="D62" s="359"/>
      <c r="E62" s="359"/>
      <c r="F62" s="285"/>
      <c r="G62" s="285"/>
      <c r="H62" s="358"/>
      <c r="I62" s="309"/>
      <c r="J62" s="127"/>
    </row>
    <row r="63" spans="1:11">
      <c r="B63" s="206" t="s">
        <v>306</v>
      </c>
    </row>
    <row r="64" spans="1:11">
      <c r="B64" t="s">
        <v>1829</v>
      </c>
    </row>
    <row r="65" spans="2:10">
      <c r="B65" t="s">
        <v>1830</v>
      </c>
    </row>
    <row r="66" spans="2:10">
      <c r="B66" t="s">
        <v>1831</v>
      </c>
    </row>
    <row r="67" spans="2:10">
      <c r="B67" s="817" t="s">
        <v>1832</v>
      </c>
      <c r="C67" s="817"/>
      <c r="D67" s="817"/>
      <c r="E67" s="817"/>
      <c r="F67" s="817"/>
      <c r="G67" s="817"/>
      <c r="H67" s="817"/>
      <c r="I67" s="817"/>
      <c r="J67" s="8"/>
    </row>
    <row r="68" spans="2:10">
      <c r="B68" s="817" t="s">
        <v>1833</v>
      </c>
      <c r="C68" s="817"/>
      <c r="D68" s="817"/>
      <c r="E68" s="817"/>
      <c r="F68" s="817"/>
      <c r="G68" s="817"/>
      <c r="H68" s="817"/>
      <c r="I68" s="817"/>
      <c r="J68" s="8"/>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39" orientation="portrait" r:id="rId1"/>
  <headerFooter>
    <oddHeader>&amp;C&amp;"-,Bold"&amp;12Pacific Gas and Electric Company
Formula Rate Model
Schedule 23-RetailSGTax&amp;"-,Regular"&amp;11</oddHeader>
  </headerFooter>
  <customProperties>
    <customPr name="_pios_id" r:id="rId2"/>
    <customPr name="EpmWorksheetKeyString_GUID" r:id="rId3"/>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69"/>
  <sheetViews>
    <sheetView view="pageBreakPreview" zoomScale="90" zoomScaleNormal="85" zoomScaleSheetLayoutView="90" workbookViewId="0">
      <selection activeCell="C57" sqref="C57"/>
    </sheetView>
  </sheetViews>
  <sheetFormatPr defaultColWidth="9.140625" defaultRowHeight="15"/>
  <cols>
    <col min="1" max="1" width="4.7109375" bestFit="1" customWidth="1"/>
    <col min="2" max="2" width="68.28515625" customWidth="1"/>
    <col min="3" max="3" width="18.85546875" customWidth="1"/>
    <col min="4" max="4" width="55.42578125" bestFit="1" customWidth="1"/>
    <col min="5" max="5" width="19.140625" bestFit="1" customWidth="1"/>
    <col min="6" max="6" width="4.7109375" bestFit="1" customWidth="1"/>
    <col min="7" max="7" width="19.140625" bestFit="1" customWidth="1"/>
    <col min="8" max="8" width="13.85546875" bestFit="1" customWidth="1"/>
    <col min="9" max="9" width="10.140625" bestFit="1" customWidth="1"/>
    <col min="10" max="10" width="9.42578125" bestFit="1" customWidth="1"/>
  </cols>
  <sheetData>
    <row r="1" spans="1:6">
      <c r="B1" s="2" t="s">
        <v>63</v>
      </c>
      <c r="D1" s="6"/>
      <c r="E1" s="6" t="str">
        <f>CONCATENATE("Prior Year: ",'1-BaseTRR'!$G$2)</f>
        <v>Prior Year: 2021</v>
      </c>
    </row>
    <row r="2" spans="1:6">
      <c r="B2" s="113" t="s">
        <v>131</v>
      </c>
    </row>
    <row r="4" spans="1:6">
      <c r="A4" s="3" t="s">
        <v>100</v>
      </c>
      <c r="B4" s="3" t="s">
        <v>6</v>
      </c>
      <c r="C4" s="3" t="s">
        <v>1328</v>
      </c>
      <c r="D4" s="3" t="s">
        <v>594</v>
      </c>
      <c r="E4" s="3" t="s">
        <v>136</v>
      </c>
      <c r="F4" s="3" t="str">
        <f>A4</f>
        <v>Line</v>
      </c>
    </row>
    <row r="5" spans="1:6">
      <c r="B5" s="50" t="s">
        <v>1834</v>
      </c>
      <c r="C5" s="47"/>
      <c r="D5" s="47"/>
      <c r="E5" s="47"/>
    </row>
    <row r="6" spans="1:6">
      <c r="A6" s="4">
        <v>100</v>
      </c>
      <c r="B6" t="s">
        <v>1835</v>
      </c>
      <c r="C6" s="351">
        <v>2478234429</v>
      </c>
      <c r="D6" s="35" t="s">
        <v>1836</v>
      </c>
      <c r="F6" s="4">
        <f>A6</f>
        <v>100</v>
      </c>
    </row>
    <row r="7" spans="1:6">
      <c r="A7" s="4">
        <f>A6+1</f>
        <v>101</v>
      </c>
      <c r="B7" t="s">
        <v>1837</v>
      </c>
      <c r="C7" s="351">
        <v>-405958047</v>
      </c>
      <c r="D7" s="35" t="s">
        <v>1838</v>
      </c>
      <c r="F7" s="4">
        <f>A7</f>
        <v>101</v>
      </c>
    </row>
    <row r="8" spans="1:6">
      <c r="A8" s="4">
        <f>A7+1</f>
        <v>102</v>
      </c>
      <c r="B8" t="s">
        <v>1839</v>
      </c>
      <c r="C8" s="351">
        <v>-192530083</v>
      </c>
      <c r="D8" s="35" t="s">
        <v>1840</v>
      </c>
      <c r="F8" s="4">
        <f>A8</f>
        <v>102</v>
      </c>
    </row>
    <row r="9" spans="1:6">
      <c r="A9" s="4">
        <f>A8+1</f>
        <v>103</v>
      </c>
      <c r="B9" t="s">
        <v>1841</v>
      </c>
      <c r="C9" s="351">
        <v>-66197418</v>
      </c>
      <c r="D9" s="35" t="s">
        <v>1842</v>
      </c>
      <c r="F9" s="4">
        <f>A9</f>
        <v>103</v>
      </c>
    </row>
    <row r="10" spans="1:6">
      <c r="A10" s="4">
        <f>A9+1</f>
        <v>104</v>
      </c>
      <c r="B10" s="2" t="s">
        <v>1843</v>
      </c>
      <c r="C10" s="352">
        <f>C6+C7+C8+C9</f>
        <v>1813548881</v>
      </c>
      <c r="D10" s="143" t="s">
        <v>1844</v>
      </c>
      <c r="F10" s="4">
        <f>A10</f>
        <v>104</v>
      </c>
    </row>
    <row r="11" spans="1:6">
      <c r="A11" s="4"/>
      <c r="C11" s="24"/>
      <c r="D11" s="35"/>
      <c r="F11" s="4"/>
    </row>
    <row r="12" spans="1:6">
      <c r="A12" s="4">
        <f>A10+1</f>
        <v>105</v>
      </c>
      <c r="B12" t="s">
        <v>1845</v>
      </c>
      <c r="C12" s="351">
        <v>1736871956</v>
      </c>
      <c r="D12" s="35" t="s">
        <v>1846</v>
      </c>
      <c r="F12" s="4">
        <f>A12</f>
        <v>105</v>
      </c>
    </row>
    <row r="13" spans="1:6">
      <c r="A13" s="4">
        <f>A12+1</f>
        <v>106</v>
      </c>
      <c r="B13" t="s">
        <v>1847</v>
      </c>
      <c r="C13" s="24">
        <f>C7</f>
        <v>-405958047</v>
      </c>
      <c r="D13" s="143" t="str">
        <f>"Line "&amp;A7&amp;""</f>
        <v>Line 101</v>
      </c>
      <c r="F13" s="4">
        <f>A13</f>
        <v>106</v>
      </c>
    </row>
    <row r="14" spans="1:6">
      <c r="A14" s="4">
        <f>A13+1</f>
        <v>107</v>
      </c>
      <c r="B14" t="s">
        <v>1841</v>
      </c>
      <c r="C14" s="351">
        <v>-55900470</v>
      </c>
      <c r="D14" s="35" t="s">
        <v>1848</v>
      </c>
      <c r="F14" s="4">
        <f>A14</f>
        <v>107</v>
      </c>
    </row>
    <row r="15" spans="1:6">
      <c r="A15" s="4">
        <f>A14+1</f>
        <v>108</v>
      </c>
      <c r="B15" s="2" t="s">
        <v>1849</v>
      </c>
      <c r="C15" s="352">
        <f>C12+C13+C14</f>
        <v>1275013439</v>
      </c>
      <c r="D15" s="143" t="str">
        <f>"Line "&amp;A12&amp;" - Line "&amp;A13&amp;" + Line "&amp;A14&amp;""</f>
        <v>Line 105 - Line 106 + Line 107</v>
      </c>
      <c r="F15" s="4">
        <f>A15</f>
        <v>108</v>
      </c>
    </row>
    <row r="16" spans="1:6">
      <c r="A16" s="4"/>
      <c r="D16" s="35"/>
      <c r="F16" s="4"/>
    </row>
    <row r="17" spans="1:6">
      <c r="A17" s="4">
        <f>A15+1</f>
        <v>109</v>
      </c>
      <c r="B17" s="2" t="s">
        <v>1850</v>
      </c>
      <c r="C17" s="370">
        <f>C15/C10</f>
        <v>0.70304884106401977</v>
      </c>
      <c r="D17" s="143" t="str">
        <f>"Line "&amp;A15&amp;" / Line "&amp;A10&amp;""</f>
        <v>Line 108 / Line 104</v>
      </c>
      <c r="F17" s="4">
        <f>A17</f>
        <v>109</v>
      </c>
    </row>
    <row r="18" spans="1:6">
      <c r="F18" s="4"/>
    </row>
    <row r="19" spans="1:6">
      <c r="B19" s="50" t="s">
        <v>1851</v>
      </c>
      <c r="C19" s="47"/>
      <c r="D19" s="47"/>
      <c r="E19" s="47"/>
      <c r="F19" s="4"/>
    </row>
    <row r="20" spans="1:6">
      <c r="A20" s="4">
        <f>A17+1</f>
        <v>110</v>
      </c>
      <c r="B20" t="s">
        <v>1849</v>
      </c>
      <c r="C20" s="24">
        <f>C15</f>
        <v>1275013439</v>
      </c>
      <c r="D20" s="143" t="str">
        <f>"Line "&amp;A15&amp;""</f>
        <v>Line 108</v>
      </c>
      <c r="F20" s="4">
        <f>A20</f>
        <v>110</v>
      </c>
    </row>
    <row r="21" spans="1:6">
      <c r="A21" s="4">
        <f>A20+1</f>
        <v>111</v>
      </c>
      <c r="B21" t="s">
        <v>1852</v>
      </c>
      <c r="C21" s="24">
        <f>'18-OandM'!N10</f>
        <v>187300588.22888961</v>
      </c>
      <c r="D21" s="143" t="s">
        <v>1853</v>
      </c>
      <c r="F21" s="4">
        <f>A21</f>
        <v>111</v>
      </c>
    </row>
    <row r="22" spans="1:6">
      <c r="A22" s="4"/>
      <c r="D22" s="35"/>
      <c r="F22" s="4"/>
    </row>
    <row r="23" spans="1:6">
      <c r="A23" s="4">
        <f>A21+1</f>
        <v>112</v>
      </c>
      <c r="B23" s="2" t="s">
        <v>1854</v>
      </c>
      <c r="C23" s="370">
        <f>C21/C20</f>
        <v>0.14690087374748809</v>
      </c>
      <c r="D23" s="143" t="str">
        <f>"Line "&amp;A21&amp;" / Line "&amp;A20&amp;""</f>
        <v>Line 111 / Line 110</v>
      </c>
      <c r="F23" s="4">
        <f>A23</f>
        <v>112</v>
      </c>
    </row>
    <row r="24" spans="1:6">
      <c r="A24" s="4">
        <f>+A23+1</f>
        <v>113</v>
      </c>
      <c r="B24" s="2" t="s">
        <v>1855</v>
      </c>
      <c r="C24" s="367">
        <f>C21/C10</f>
        <v>0.10327848903946341</v>
      </c>
      <c r="D24" s="143" t="str">
        <f>"Line "&amp;A21&amp;" / Line "&amp;A10&amp;""</f>
        <v>Line 111 / Line 104</v>
      </c>
      <c r="F24" s="4">
        <f>A24</f>
        <v>113</v>
      </c>
    </row>
    <row r="25" spans="1:6">
      <c r="A25" s="4"/>
      <c r="B25" s="2"/>
      <c r="C25" s="367"/>
      <c r="F25" s="4"/>
    </row>
    <row r="26" spans="1:6">
      <c r="B26" s="50" t="s">
        <v>1856</v>
      </c>
      <c r="C26" s="47"/>
      <c r="D26" s="47"/>
      <c r="E26" s="47"/>
      <c r="F26" s="369"/>
    </row>
    <row r="27" spans="1:6">
      <c r="A27" s="4">
        <f>A24+1</f>
        <v>114</v>
      </c>
      <c r="B27" s="8" t="s">
        <v>1857</v>
      </c>
      <c r="C27" s="24">
        <f>+'7-PlantInService'!$P$24+'7-PlantInService'!$D$128</f>
        <v>16187514161.545101</v>
      </c>
      <c r="D27" s="217" t="s">
        <v>1858</v>
      </c>
      <c r="E27" s="411" t="s">
        <v>1859</v>
      </c>
      <c r="F27" s="4">
        <f>+A27</f>
        <v>114</v>
      </c>
    </row>
    <row r="28" spans="1:6">
      <c r="A28" s="4">
        <f>+A27+1</f>
        <v>115</v>
      </c>
      <c r="B28" s="8" t="s">
        <v>1860</v>
      </c>
      <c r="C28" s="351">
        <v>99289749127.290054</v>
      </c>
      <c r="D28" s="35" t="s">
        <v>1861</v>
      </c>
      <c r="E28" s="411" t="s">
        <v>1859</v>
      </c>
      <c r="F28" s="4">
        <f>+A28</f>
        <v>115</v>
      </c>
    </row>
    <row r="29" spans="1:6">
      <c r="A29" s="4">
        <f>+A28+1</f>
        <v>116</v>
      </c>
      <c r="B29" s="2" t="s">
        <v>1862</v>
      </c>
      <c r="C29" s="239">
        <f>+C27/C28</f>
        <v>0.16303308552822116</v>
      </c>
      <c r="D29" s="143" t="str">
        <f>"Line "&amp;A27&amp;" / Line "&amp;A28&amp;""</f>
        <v>Line 114 / Line 115</v>
      </c>
      <c r="F29" s="4">
        <f>+A29</f>
        <v>116</v>
      </c>
    </row>
    <row r="30" spans="1:6">
      <c r="A30" s="4"/>
      <c r="C30" s="20"/>
      <c r="D30" s="143"/>
      <c r="F30" s="4"/>
    </row>
    <row r="31" spans="1:6">
      <c r="A31" s="4">
        <f>+A29+1</f>
        <v>117</v>
      </c>
      <c r="B31" s="8" t="s">
        <v>1857</v>
      </c>
      <c r="C31" s="24">
        <f>+'7-PlantInService'!$P$24+'7-PlantInService'!$D$128</f>
        <v>16187514161.545101</v>
      </c>
      <c r="D31" s="217" t="s">
        <v>1858</v>
      </c>
      <c r="E31" s="411" t="s">
        <v>1859</v>
      </c>
      <c r="F31" s="4">
        <f>+A31</f>
        <v>117</v>
      </c>
    </row>
    <row r="32" spans="1:6">
      <c r="A32" s="4">
        <f>+A31+1</f>
        <v>118</v>
      </c>
      <c r="B32" s="8" t="s">
        <v>1863</v>
      </c>
      <c r="C32" s="351">
        <v>73805965045.283951</v>
      </c>
      <c r="D32" s="35" t="s">
        <v>1864</v>
      </c>
      <c r="E32" s="411" t="s">
        <v>1859</v>
      </c>
      <c r="F32" s="4">
        <f>+A32</f>
        <v>118</v>
      </c>
    </row>
    <row r="33" spans="1:8">
      <c r="A33" s="4">
        <f>+A32+1</f>
        <v>119</v>
      </c>
      <c r="B33" s="2" t="s">
        <v>1865</v>
      </c>
      <c r="C33" s="239">
        <f>+C31/C32</f>
        <v>0.21932528287670497</v>
      </c>
      <c r="D33" s="143" t="str">
        <f>"Line "&amp;A31&amp;" / Line "&amp;A32&amp;""</f>
        <v>Line 117 / Line 118</v>
      </c>
      <c r="F33" s="4">
        <f>+A33</f>
        <v>119</v>
      </c>
    </row>
    <row r="34" spans="1:8">
      <c r="A34" s="4"/>
      <c r="C34" s="20"/>
      <c r="D34" s="143"/>
      <c r="F34" s="4"/>
    </row>
    <row r="35" spans="1:8">
      <c r="A35" s="4">
        <f>+A33+1</f>
        <v>120</v>
      </c>
      <c r="B35" s="8" t="s">
        <v>1866</v>
      </c>
      <c r="C35" s="24">
        <f>'7-PlantInService'!$P$24</f>
        <v>14839705596</v>
      </c>
      <c r="D35" s="143" t="s">
        <v>139</v>
      </c>
      <c r="F35" s="4">
        <f>+A35</f>
        <v>120</v>
      </c>
    </row>
    <row r="36" spans="1:8">
      <c r="A36" s="4">
        <f>+A35+1</f>
        <v>121</v>
      </c>
      <c r="B36" s="8" t="s">
        <v>1867</v>
      </c>
      <c r="C36" s="24">
        <f>'6-PlantJurisdiction'!D24+'6-PlantJurisdiction'!F24</f>
        <v>15602603129.219994</v>
      </c>
      <c r="D36" s="143" t="s">
        <v>1868</v>
      </c>
      <c r="F36" s="4">
        <f>+A36</f>
        <v>121</v>
      </c>
    </row>
    <row r="37" spans="1:8">
      <c r="A37" s="4">
        <f>+A36+1</f>
        <v>122</v>
      </c>
      <c r="B37" s="138" t="s">
        <v>1869</v>
      </c>
      <c r="C37" s="239">
        <f>C35/C36</f>
        <v>0.951104471035909</v>
      </c>
      <c r="D37" s="143" t="str">
        <f>"Line "&amp;A35&amp;" / Line "&amp;A36&amp;""</f>
        <v>Line 120 / Line 121</v>
      </c>
      <c r="F37" s="4">
        <f>+A37</f>
        <v>122</v>
      </c>
    </row>
    <row r="38" spans="1:8">
      <c r="A38" s="4"/>
      <c r="C38" s="20"/>
      <c r="D38" s="8"/>
      <c r="F38" s="4"/>
    </row>
    <row r="39" spans="1:8">
      <c r="B39" s="114" t="s">
        <v>1870</v>
      </c>
      <c r="C39" s="47"/>
      <c r="D39" s="47"/>
      <c r="E39" s="47"/>
      <c r="F39" s="11"/>
    </row>
    <row r="40" spans="1:8">
      <c r="A40" s="4">
        <f>+A37+1</f>
        <v>123</v>
      </c>
      <c r="B40" s="8" t="s">
        <v>1866</v>
      </c>
      <c r="C40" s="24">
        <f>'7-PlantInService'!$P$24</f>
        <v>14839705596</v>
      </c>
      <c r="D40" s="143" t="s">
        <v>139</v>
      </c>
      <c r="E40" s="411" t="s">
        <v>1859</v>
      </c>
      <c r="F40" s="4">
        <f>+A40</f>
        <v>123</v>
      </c>
    </row>
    <row r="41" spans="1:8">
      <c r="A41" s="4">
        <f>+A40+1</f>
        <v>124</v>
      </c>
      <c r="B41" s="8" t="s">
        <v>715</v>
      </c>
      <c r="C41" s="24">
        <f>+'7-PlantInService'!P49</f>
        <v>5236281200</v>
      </c>
      <c r="D41" s="143" t="s">
        <v>1871</v>
      </c>
      <c r="E41" s="411" t="s">
        <v>1859</v>
      </c>
      <c r="F41" s="4">
        <f>+A41</f>
        <v>124</v>
      </c>
    </row>
    <row r="42" spans="1:8">
      <c r="A42" s="4">
        <f>+A41+1</f>
        <v>125</v>
      </c>
      <c r="B42" s="8" t="s">
        <v>716</v>
      </c>
      <c r="C42" s="24">
        <f>+'7-PlantInService'!P74</f>
        <v>9603424396</v>
      </c>
      <c r="D42" s="143" t="s">
        <v>1872</v>
      </c>
      <c r="E42" s="411" t="s">
        <v>1859</v>
      </c>
      <c r="F42" s="4">
        <f>+A42</f>
        <v>125</v>
      </c>
    </row>
    <row r="43" spans="1:8">
      <c r="A43" s="4">
        <f>+A42+1</f>
        <v>126</v>
      </c>
      <c r="B43" s="138" t="s">
        <v>1873</v>
      </c>
      <c r="C43" s="367">
        <f>+C41/C40</f>
        <v>0.3528561376184865</v>
      </c>
      <c r="D43" s="143" t="str">
        <f>"Line "&amp;A41&amp;" / Line "&amp;A40&amp;""</f>
        <v>Line 124 / Line 123</v>
      </c>
      <c r="F43" s="4">
        <f>+A43</f>
        <v>126</v>
      </c>
    </row>
    <row r="44" spans="1:8">
      <c r="A44" s="4">
        <f>+A43+1</f>
        <v>127</v>
      </c>
      <c r="B44" s="138" t="s">
        <v>1874</v>
      </c>
      <c r="C44" s="367">
        <f>+C42/C40</f>
        <v>0.64714386238151356</v>
      </c>
      <c r="D44" s="143" t="str">
        <f>"Line "&amp;A42&amp;" / Line "&amp;A40&amp;""</f>
        <v>Line 125 / Line 123</v>
      </c>
      <c r="F44" s="4">
        <f>+A44</f>
        <v>127</v>
      </c>
    </row>
    <row r="46" spans="1:8">
      <c r="B46" s="114" t="s">
        <v>1875</v>
      </c>
      <c r="C46" s="47"/>
      <c r="D46" s="47"/>
      <c r="E46" s="47"/>
      <c r="F46" s="11"/>
    </row>
    <row r="47" spans="1:8">
      <c r="A47" s="4">
        <f>+A44+1</f>
        <v>128</v>
      </c>
      <c r="B47" s="8" t="s">
        <v>1876</v>
      </c>
      <c r="C47" s="24">
        <f>+'9-PlantAdditions'!E75</f>
        <v>1055132571.936579</v>
      </c>
      <c r="D47" s="143" t="s">
        <v>1877</v>
      </c>
      <c r="E47" s="411" t="s">
        <v>1878</v>
      </c>
      <c r="F47" s="4">
        <f t="shared" ref="F47:F53" si="0">+A47</f>
        <v>128</v>
      </c>
      <c r="H47" s="19"/>
    </row>
    <row r="48" spans="1:8">
      <c r="A48" s="4">
        <f t="shared" ref="A48:A53" si="1">+A47+1</f>
        <v>129</v>
      </c>
      <c r="B48" s="8" t="s">
        <v>1879</v>
      </c>
      <c r="C48" s="24">
        <f>+'9-PlantAdditions'!E111</f>
        <v>1340644517.5474126</v>
      </c>
      <c r="D48" s="143" t="s">
        <v>1880</v>
      </c>
      <c r="E48" s="411" t="s">
        <v>1878</v>
      </c>
      <c r="F48" s="4">
        <f t="shared" si="0"/>
        <v>129</v>
      </c>
      <c r="H48" s="22"/>
    </row>
    <row r="49" spans="1:7">
      <c r="A49" s="4">
        <f t="shared" si="1"/>
        <v>130</v>
      </c>
      <c r="B49" s="8" t="s">
        <v>1881</v>
      </c>
      <c r="C49" s="24">
        <f>+C47+C41</f>
        <v>6291413771.9365788</v>
      </c>
      <c r="D49" s="143" t="str">
        <f>"Line "&amp;A41&amp;" + Line "&amp;A47&amp;""</f>
        <v>Line 124 + Line 128</v>
      </c>
      <c r="E49" s="411" t="s">
        <v>1878</v>
      </c>
      <c r="F49" s="4">
        <f t="shared" si="0"/>
        <v>130</v>
      </c>
    </row>
    <row r="50" spans="1:7">
      <c r="A50" s="4">
        <f t="shared" si="1"/>
        <v>131</v>
      </c>
      <c r="B50" s="8" t="s">
        <v>1882</v>
      </c>
      <c r="C50" s="24">
        <f>+C42+C48</f>
        <v>10944068913.547413</v>
      </c>
      <c r="D50" s="143" t="str">
        <f>"Line "&amp;A42&amp;" + Line "&amp;A48&amp;""</f>
        <v>Line 125 + Line 129</v>
      </c>
      <c r="E50" s="411" t="s">
        <v>1878</v>
      </c>
      <c r="F50" s="4">
        <f t="shared" si="0"/>
        <v>131</v>
      </c>
    </row>
    <row r="51" spans="1:7">
      <c r="A51" s="4">
        <f t="shared" si="1"/>
        <v>132</v>
      </c>
      <c r="B51" s="8" t="s">
        <v>1883</v>
      </c>
      <c r="C51" s="24">
        <f>+C50+C49</f>
        <v>17235482685.483994</v>
      </c>
      <c r="D51" s="35" t="str">
        <f>"Line "&amp;A49&amp;" + Line "&amp;A50&amp;""</f>
        <v>Line 130 + Line 131</v>
      </c>
      <c r="E51" s="411" t="s">
        <v>1878</v>
      </c>
      <c r="F51" s="4">
        <f t="shared" si="0"/>
        <v>132</v>
      </c>
    </row>
    <row r="52" spans="1:7">
      <c r="A52" s="4">
        <f t="shared" si="1"/>
        <v>133</v>
      </c>
      <c r="B52" s="138" t="s">
        <v>1873</v>
      </c>
      <c r="C52" s="367">
        <f>+C49/C51</f>
        <v>0.36502683949984821</v>
      </c>
      <c r="D52" s="143" t="str">
        <f>"Line "&amp;A49&amp;" / Line "&amp;A51&amp;""</f>
        <v>Line 130 / Line 132</v>
      </c>
      <c r="E52" s="411" t="s">
        <v>1878</v>
      </c>
      <c r="F52" s="4">
        <f t="shared" si="0"/>
        <v>133</v>
      </c>
    </row>
    <row r="53" spans="1:7">
      <c r="A53" s="4">
        <f t="shared" si="1"/>
        <v>134</v>
      </c>
      <c r="B53" s="138" t="s">
        <v>1874</v>
      </c>
      <c r="C53" s="367">
        <f>+C50/C51</f>
        <v>0.63497316050015162</v>
      </c>
      <c r="D53" s="143" t="str">
        <f>"Line "&amp;A50&amp;" / Line "&amp;A51&amp;""</f>
        <v>Line 131 / Line 132</v>
      </c>
      <c r="E53" s="411" t="s">
        <v>1878</v>
      </c>
      <c r="F53" s="4">
        <f t="shared" si="0"/>
        <v>134</v>
      </c>
    </row>
    <row r="55" spans="1:7">
      <c r="B55" s="50" t="s">
        <v>1884</v>
      </c>
      <c r="C55" s="368"/>
      <c r="D55" s="47"/>
      <c r="E55" s="47"/>
    </row>
    <row r="56" spans="1:7" ht="30">
      <c r="A56" s="4">
        <f>A53+1</f>
        <v>135</v>
      </c>
      <c r="B56" s="691" t="s">
        <v>1885</v>
      </c>
      <c r="C56" s="367">
        <f>0.6*C24+0.4*C29</f>
        <v>0.12718032763496651</v>
      </c>
      <c r="D56" s="143" t="str">
        <f>"(60% * Line "&amp;A24&amp;") + (40% *Line "&amp;A29&amp;")"</f>
        <v>(60% * Line 113) + (40% *Line 116)</v>
      </c>
      <c r="F56" s="4">
        <f>A56</f>
        <v>135</v>
      </c>
    </row>
    <row r="57" spans="1:7" ht="30">
      <c r="A57" s="4">
        <f>A56+1</f>
        <v>136</v>
      </c>
      <c r="B57" s="691" t="s">
        <v>1886</v>
      </c>
      <c r="C57" s="367">
        <f>0.6*C23+0.4*C33</f>
        <v>0.17587063739917486</v>
      </c>
      <c r="D57" s="143" t="str">
        <f>"(60% * Line "&amp;A23&amp;") + (40% *Line "&amp;A33&amp;")"</f>
        <v>(60% * Line 112) + (40% *Line 119)</v>
      </c>
      <c r="F57" s="4">
        <f>A57</f>
        <v>136</v>
      </c>
      <c r="G57" s="694"/>
    </row>
    <row r="58" spans="1:7">
      <c r="A58" s="4"/>
      <c r="B58" s="2"/>
      <c r="C58" s="367"/>
    </row>
    <row r="59" spans="1:7">
      <c r="A59" s="4"/>
      <c r="B59" s="50" t="s">
        <v>1887</v>
      </c>
      <c r="C59" s="368"/>
      <c r="D59" s="47"/>
      <c r="E59" s="47"/>
    </row>
    <row r="60" spans="1:7">
      <c r="A60" s="4">
        <f>A57+1</f>
        <v>137</v>
      </c>
      <c r="B60" t="s">
        <v>1888</v>
      </c>
      <c r="C60" s="23">
        <f>+'10-AccDep'!P26+'10-AccDep'!D128</f>
        <v>3913827831.9851422</v>
      </c>
      <c r="D60" s="217" t="s">
        <v>1889</v>
      </c>
      <c r="F60" s="4">
        <f>A60</f>
        <v>137</v>
      </c>
    </row>
    <row r="61" spans="1:7">
      <c r="A61" s="4">
        <f>+A60+1</f>
        <v>138</v>
      </c>
      <c r="B61" s="8" t="s">
        <v>1890</v>
      </c>
      <c r="C61" s="351">
        <v>32562736231.899246</v>
      </c>
      <c r="D61" s="35" t="s">
        <v>1891</v>
      </c>
      <c r="F61" s="4">
        <f>A61</f>
        <v>138</v>
      </c>
    </row>
    <row r="62" spans="1:7">
      <c r="A62" s="4">
        <f>+A61+1</f>
        <v>139</v>
      </c>
      <c r="B62" t="s">
        <v>1892</v>
      </c>
      <c r="C62" s="24">
        <f>+C31-C60</f>
        <v>12273686329.559959</v>
      </c>
      <c r="D62" s="35" t="s">
        <v>1893</v>
      </c>
      <c r="F62" s="4">
        <f>A62</f>
        <v>139</v>
      </c>
    </row>
    <row r="63" spans="1:7">
      <c r="A63" s="4">
        <f>+A62+1</f>
        <v>140</v>
      </c>
      <c r="B63" s="8" t="s">
        <v>1894</v>
      </c>
      <c r="C63" s="24">
        <f>+C32-C61</f>
        <v>41243228813.384705</v>
      </c>
      <c r="D63" s="35" t="s">
        <v>1895</v>
      </c>
      <c r="F63" s="4">
        <f>A63</f>
        <v>140</v>
      </c>
    </row>
    <row r="64" spans="1:7">
      <c r="A64" s="4">
        <f>+A63+1</f>
        <v>141</v>
      </c>
      <c r="B64" s="2" t="s">
        <v>1896</v>
      </c>
      <c r="C64" s="367">
        <f>C62/C63</f>
        <v>0.29759276086494879</v>
      </c>
      <c r="D64" s="143" t="s">
        <v>1897</v>
      </c>
      <c r="F64" s="4">
        <f>A64</f>
        <v>141</v>
      </c>
    </row>
    <row r="68" spans="3:3">
      <c r="C68" s="332"/>
    </row>
    <row r="69" spans="3:3">
      <c r="C69" s="332"/>
    </row>
  </sheetData>
  <printOptions horizontalCentered="1"/>
  <pageMargins left="1" right="1" top="1" bottom="1" header="0.5" footer="0.5"/>
  <pageSetup scale="48" orientation="portrait" r:id="rId1"/>
  <headerFooter>
    <oddHeader>&amp;C&amp;"-,Bold"&amp;12Pacific Gas and Electric Company
Formula Rate Model
Schedule 24-Allocators&amp;"-,Regular"&amp;11</oddHeader>
  </headerFooter>
  <customProperties>
    <customPr name="_pios_id" r:id="rId2"/>
    <customPr name="EpmWorksheetKeyString_GUID" r:id="rId3"/>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L28"/>
  <sheetViews>
    <sheetView view="pageBreakPreview" zoomScaleSheetLayoutView="100" workbookViewId="0">
      <selection activeCell="D58" sqref="D58"/>
    </sheetView>
  </sheetViews>
  <sheetFormatPr defaultColWidth="9.140625" defaultRowHeight="15"/>
  <cols>
    <col min="1" max="1" width="6.7109375" bestFit="1" customWidth="1"/>
    <col min="2" max="2" width="9.5703125" customWidth="1"/>
    <col min="3" max="3" width="8.5703125" customWidth="1"/>
    <col min="4" max="4" width="17.85546875" customWidth="1"/>
    <col min="5" max="5" width="19.42578125" bestFit="1" customWidth="1"/>
    <col min="6" max="6" width="33.42578125" bestFit="1" customWidth="1"/>
    <col min="7" max="7" width="4.7109375" bestFit="1" customWidth="1"/>
    <col min="11" max="11" width="11.85546875" bestFit="1" customWidth="1"/>
    <col min="12" max="12" width="10.85546875" bestFit="1" customWidth="1"/>
  </cols>
  <sheetData>
    <row r="1" spans="1:12">
      <c r="B1" s="2" t="s">
        <v>65</v>
      </c>
      <c r="E1" s="6"/>
      <c r="F1" s="6" t="str">
        <f>CONCATENATE("Prior Year: ",'1-BaseTRR'!$G$2)</f>
        <v>Prior Year: 2021</v>
      </c>
    </row>
    <row r="2" spans="1:12">
      <c r="B2" s="113" t="s">
        <v>131</v>
      </c>
      <c r="C2" s="42"/>
    </row>
    <row r="4" spans="1:12">
      <c r="A4" s="3" t="s">
        <v>100</v>
      </c>
      <c r="G4" s="3" t="str">
        <f>A4</f>
        <v>Line</v>
      </c>
    </row>
    <row r="5" spans="1:12">
      <c r="B5" s="50" t="s">
        <v>1898</v>
      </c>
      <c r="C5" s="47"/>
      <c r="D5" s="47"/>
      <c r="E5" s="47"/>
      <c r="F5" s="47"/>
    </row>
    <row r="6" spans="1:12">
      <c r="B6" s="7" t="s">
        <v>1899</v>
      </c>
      <c r="C6" s="7" t="s">
        <v>1900</v>
      </c>
      <c r="D6" s="7" t="s">
        <v>1901</v>
      </c>
      <c r="E6" s="7" t="s">
        <v>1902</v>
      </c>
      <c r="F6" s="3" t="s">
        <v>594</v>
      </c>
      <c r="K6" s="785"/>
      <c r="L6" s="784"/>
    </row>
    <row r="7" spans="1:12">
      <c r="A7" s="4">
        <v>100</v>
      </c>
      <c r="B7" s="42"/>
      <c r="C7" s="42" t="s">
        <v>1903</v>
      </c>
      <c r="D7" s="42">
        <v>365</v>
      </c>
      <c r="E7" s="373">
        <v>7.5170000000000002E-3</v>
      </c>
      <c r="F7" s="372" t="s">
        <v>1904</v>
      </c>
      <c r="G7" s="4">
        <f>A7</f>
        <v>100</v>
      </c>
    </row>
    <row r="8" spans="1:12">
      <c r="A8" s="4">
        <f>A7+1</f>
        <v>101</v>
      </c>
      <c r="B8" s="371" t="s">
        <v>1728</v>
      </c>
      <c r="C8" s="42"/>
      <c r="D8" s="42"/>
      <c r="E8" s="373"/>
      <c r="F8" s="372"/>
      <c r="G8" s="4">
        <f>A8</f>
        <v>101</v>
      </c>
    </row>
    <row r="9" spans="1:12">
      <c r="A9" s="4"/>
      <c r="G9" s="4"/>
    </row>
    <row r="10" spans="1:12">
      <c r="A10" s="4"/>
      <c r="B10" s="50" t="s">
        <v>1905</v>
      </c>
      <c r="C10" s="47"/>
      <c r="D10" s="47"/>
      <c r="E10" s="47"/>
      <c r="F10" s="47"/>
      <c r="G10" s="4"/>
    </row>
    <row r="11" spans="1:12">
      <c r="A11" s="4"/>
      <c r="B11" s="2" t="s">
        <v>1899</v>
      </c>
      <c r="C11" s="2" t="s">
        <v>1900</v>
      </c>
      <c r="D11" s="2" t="s">
        <v>1901</v>
      </c>
      <c r="E11" s="2" t="s">
        <v>292</v>
      </c>
      <c r="F11" s="2" t="s">
        <v>594</v>
      </c>
      <c r="G11" s="4"/>
    </row>
    <row r="12" spans="1:12">
      <c r="A12" s="4">
        <v>200</v>
      </c>
      <c r="B12" s="42"/>
      <c r="C12" s="42" t="s">
        <v>1903</v>
      </c>
      <c r="D12" s="42">
        <v>365</v>
      </c>
      <c r="E12" s="373">
        <v>2.7300000000000002E-4</v>
      </c>
      <c r="F12" s="372" t="s">
        <v>1906</v>
      </c>
      <c r="G12" s="4">
        <f>A12</f>
        <v>200</v>
      </c>
    </row>
    <row r="13" spans="1:12">
      <c r="A13" s="4">
        <f>A12+1</f>
        <v>201</v>
      </c>
      <c r="B13" s="371" t="s">
        <v>1728</v>
      </c>
      <c r="C13" s="42"/>
      <c r="D13" s="42"/>
      <c r="E13" s="42"/>
      <c r="G13" s="4">
        <f>A13</f>
        <v>201</v>
      </c>
    </row>
    <row r="14" spans="1:12">
      <c r="A14" s="4"/>
      <c r="G14" s="4"/>
    </row>
    <row r="15" spans="1:12">
      <c r="A15" s="4"/>
      <c r="B15" s="50" t="s">
        <v>1907</v>
      </c>
      <c r="C15" s="47"/>
      <c r="D15" s="47"/>
      <c r="E15" s="47"/>
      <c r="F15" s="47"/>
      <c r="G15" s="4"/>
    </row>
    <row r="16" spans="1:12">
      <c r="A16" s="4"/>
      <c r="B16" s="2" t="s">
        <v>1899</v>
      </c>
      <c r="C16" s="2" t="s">
        <v>1900</v>
      </c>
      <c r="D16" s="2" t="s">
        <v>1901</v>
      </c>
      <c r="E16" s="2" t="s">
        <v>1908</v>
      </c>
      <c r="F16" s="2" t="s">
        <v>594</v>
      </c>
      <c r="G16" s="4"/>
    </row>
    <row r="17" spans="1:7">
      <c r="A17" s="4">
        <v>300</v>
      </c>
      <c r="B17" s="42"/>
      <c r="C17" s="42" t="s">
        <v>1903</v>
      </c>
      <c r="D17" s="42">
        <v>365</v>
      </c>
      <c r="E17" s="373">
        <v>2.9529999999999999E-3</v>
      </c>
      <c r="F17" s="372" t="s">
        <v>1909</v>
      </c>
      <c r="G17" s="4">
        <f>A17</f>
        <v>300</v>
      </c>
    </row>
    <row r="18" spans="1:7">
      <c r="A18" s="4">
        <f>A17+1</f>
        <v>301</v>
      </c>
      <c r="B18" s="371" t="s">
        <v>1728</v>
      </c>
      <c r="C18" s="42"/>
      <c r="D18" s="42"/>
      <c r="E18" s="42"/>
      <c r="G18" s="4">
        <f>A18</f>
        <v>301</v>
      </c>
    </row>
    <row r="19" spans="1:7">
      <c r="A19" s="4"/>
      <c r="G19" s="4"/>
    </row>
    <row r="20" spans="1:7">
      <c r="A20" s="4"/>
      <c r="B20" s="50" t="s">
        <v>1910</v>
      </c>
      <c r="C20" s="47"/>
      <c r="D20" s="47"/>
      <c r="E20" s="47"/>
      <c r="F20" s="47"/>
      <c r="G20" s="4"/>
    </row>
    <row r="21" spans="1:7">
      <c r="A21" s="4">
        <v>400</v>
      </c>
      <c r="B21" s="2" t="s">
        <v>1902</v>
      </c>
      <c r="C21" s="2"/>
      <c r="D21" s="2"/>
      <c r="E21" s="10">
        <f>((E7*D7)+(E8*D8))/(D7+D8)</f>
        <v>7.5170000000000011E-3</v>
      </c>
      <c r="F21" s="10"/>
      <c r="G21" s="4">
        <f>A21</f>
        <v>400</v>
      </c>
    </row>
    <row r="22" spans="1:7">
      <c r="A22" s="4">
        <f>A21+1</f>
        <v>401</v>
      </c>
      <c r="B22" s="2" t="s">
        <v>292</v>
      </c>
      <c r="C22" s="2"/>
      <c r="D22" s="2"/>
      <c r="E22" s="10">
        <f>((E12*D12)+(E13*D13))/(D12+D13)</f>
        <v>2.7300000000000002E-4</v>
      </c>
      <c r="F22" s="10"/>
      <c r="G22" s="4">
        <f>A22</f>
        <v>401</v>
      </c>
    </row>
    <row r="23" spans="1:7">
      <c r="A23" s="4">
        <f>A22+1</f>
        <v>402</v>
      </c>
      <c r="B23" s="2" t="s">
        <v>300</v>
      </c>
      <c r="C23" s="2"/>
      <c r="D23" s="2"/>
      <c r="E23" s="10">
        <f>((E17*D17)+(E18*D18))/(D17+D18)</f>
        <v>2.9529999999999999E-3</v>
      </c>
      <c r="F23" s="10"/>
      <c r="G23" s="4">
        <f>A23</f>
        <v>402</v>
      </c>
    </row>
    <row r="28" spans="1:7">
      <c r="D28" s="8"/>
    </row>
  </sheetData>
  <printOptions horizontalCentered="1"/>
  <pageMargins left="1" right="1" top="1.25" bottom="1" header="0.5" footer="0.5"/>
  <pageSetup scale="76" orientation="portrait" r:id="rId1"/>
  <headerFooter>
    <oddHeader>&amp;C&amp;"-,Bold"&amp;12Pacific Gas and Electric Company
Formula Rate Model
Schedule 25-RFandUFactors&amp;"-,Regular"&amp;11</oddHeader>
  </headerFooter>
  <customProperties>
    <customPr name="_pios_id" r:id="rId2"/>
    <customPr name="EpmWorksheetKeyString_GUID" r:id="rId3"/>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61"/>
  <sheetViews>
    <sheetView view="pageBreakPreview" topLeftCell="A9" zoomScaleNormal="85" zoomScaleSheetLayoutView="100" zoomScalePageLayoutView="70" workbookViewId="0">
      <selection activeCell="L55" sqref="L55"/>
    </sheetView>
  </sheetViews>
  <sheetFormatPr defaultColWidth="9.140625" defaultRowHeight="15"/>
  <cols>
    <col min="1" max="1" width="4.7109375" bestFit="1" customWidth="1"/>
    <col min="2" max="2" width="55.5703125" bestFit="1" customWidth="1"/>
    <col min="3" max="3" width="2.5703125" customWidth="1"/>
    <col min="4" max="4" width="16.42578125" bestFit="1" customWidth="1"/>
    <col min="5" max="5" width="18.85546875" bestFit="1" customWidth="1"/>
    <col min="6" max="6" width="15.5703125" bestFit="1" customWidth="1"/>
    <col min="7" max="7" width="47.42578125" customWidth="1"/>
    <col min="8" max="8" width="7.7109375" customWidth="1"/>
    <col min="9" max="9" width="4.7109375" bestFit="1" customWidth="1"/>
    <col min="10" max="10" width="13.7109375" bestFit="1" customWidth="1"/>
  </cols>
  <sheetData>
    <row r="1" spans="1:9">
      <c r="B1" s="2" t="s">
        <v>67</v>
      </c>
      <c r="F1" s="6"/>
      <c r="H1" s="6" t="str">
        <f>CONCATENATE("Rate Year: ",'1-BaseTRR'!$G$1)</f>
        <v>Rate Year: 2023</v>
      </c>
    </row>
    <row r="2" spans="1:9">
      <c r="B2" s="113" t="s">
        <v>131</v>
      </c>
      <c r="F2" s="6"/>
      <c r="H2" s="6"/>
    </row>
    <row r="3" spans="1:9">
      <c r="D3" s="3" t="s">
        <v>371</v>
      </c>
      <c r="E3" s="3" t="s">
        <v>372</v>
      </c>
      <c r="F3" s="3" t="s">
        <v>373</v>
      </c>
    </row>
    <row r="4" spans="1:9">
      <c r="D4" s="4" t="s">
        <v>1911</v>
      </c>
      <c r="E4" s="4" t="s">
        <v>1912</v>
      </c>
    </row>
    <row r="5" spans="1:9">
      <c r="A5" s="3" t="s">
        <v>100</v>
      </c>
      <c r="B5" s="3"/>
      <c r="D5" s="167" t="s">
        <v>1913</v>
      </c>
      <c r="E5" s="167" t="s">
        <v>1913</v>
      </c>
      <c r="F5" s="167" t="s">
        <v>594</v>
      </c>
      <c r="G5" s="3"/>
      <c r="H5" s="3"/>
      <c r="I5" s="3" t="str">
        <f>A5</f>
        <v>Line</v>
      </c>
    </row>
    <row r="6" spans="1:9">
      <c r="A6" s="4">
        <v>1</v>
      </c>
      <c r="D6" s="58">
        <f>'24-Allocators'!$C$52</f>
        <v>0.36502683949984821</v>
      </c>
      <c r="E6" s="58">
        <f>'24-Allocators'!$C$53</f>
        <v>0.63497316050015162</v>
      </c>
      <c r="F6" t="s">
        <v>1914</v>
      </c>
      <c r="G6" s="3"/>
      <c r="H6" s="3"/>
      <c r="I6" s="4">
        <f>A6</f>
        <v>1</v>
      </c>
    </row>
    <row r="7" spans="1:9">
      <c r="A7" s="4"/>
      <c r="G7" s="3"/>
      <c r="H7" s="3"/>
      <c r="I7" s="4"/>
    </row>
    <row r="8" spans="1:9">
      <c r="A8" s="3"/>
      <c r="B8" s="45" t="s">
        <v>173</v>
      </c>
      <c r="C8" s="47"/>
      <c r="D8" s="47"/>
      <c r="E8" s="47"/>
      <c r="F8" s="47"/>
      <c r="G8" s="353"/>
      <c r="H8" s="353"/>
      <c r="I8" s="4"/>
    </row>
    <row r="9" spans="1:9">
      <c r="A9" s="3" t="s">
        <v>100</v>
      </c>
      <c r="B9" s="3" t="s">
        <v>6</v>
      </c>
      <c r="D9" s="3" t="s">
        <v>715</v>
      </c>
      <c r="E9" s="3" t="s">
        <v>716</v>
      </c>
      <c r="F9" s="3" t="s">
        <v>465</v>
      </c>
      <c r="G9" s="3" t="s">
        <v>594</v>
      </c>
      <c r="H9" s="3" t="s">
        <v>136</v>
      </c>
      <c r="I9" s="3" t="s">
        <v>100</v>
      </c>
    </row>
    <row r="10" spans="1:9">
      <c r="A10" s="4"/>
      <c r="B10" s="1" t="s">
        <v>137</v>
      </c>
      <c r="C10" s="1"/>
      <c r="D10" s="375"/>
      <c r="E10" s="375"/>
      <c r="F10" s="375"/>
      <c r="I10" s="4"/>
    </row>
    <row r="11" spans="1:9">
      <c r="A11" s="4">
        <v>100</v>
      </c>
      <c r="B11" t="s">
        <v>138</v>
      </c>
      <c r="D11" s="23">
        <f>'7-PlantInService'!P49</f>
        <v>5236281200</v>
      </c>
      <c r="E11" s="23">
        <f>'7-PlantInService'!P74</f>
        <v>9603424396</v>
      </c>
      <c r="F11" s="23">
        <f>SUM(D11:E11)</f>
        <v>14839705596</v>
      </c>
      <c r="G11" t="s">
        <v>1915</v>
      </c>
      <c r="I11" s="4">
        <f>A11</f>
        <v>100</v>
      </c>
    </row>
    <row r="12" spans="1:9">
      <c r="A12" s="4">
        <f>A11+1</f>
        <v>101</v>
      </c>
      <c r="B12" t="s">
        <v>141</v>
      </c>
      <c r="D12" s="23">
        <f>'7-PlantInService'!E128</f>
        <v>471962347.1837647</v>
      </c>
      <c r="E12" s="23">
        <f>'7-PlantInService'!F128</f>
        <v>875846218.3613354</v>
      </c>
      <c r="F12" s="23">
        <f>SUM(D12:E12)</f>
        <v>1347808565.5451002</v>
      </c>
      <c r="G12" t="s">
        <v>1916</v>
      </c>
      <c r="I12" s="4">
        <f>A12</f>
        <v>101</v>
      </c>
    </row>
    <row r="13" spans="1:9">
      <c r="A13" s="4">
        <f>A12+1</f>
        <v>102</v>
      </c>
      <c r="B13" t="s">
        <v>143</v>
      </c>
      <c r="D13" s="17">
        <f ca="1">'8-AbandonedPlant'!M12</f>
        <v>0</v>
      </c>
      <c r="E13" s="17">
        <f ca="1">'8-AbandonedPlant'!M13</f>
        <v>0</v>
      </c>
      <c r="F13" s="17">
        <f ca="1">SUM(D13:E13)</f>
        <v>0</v>
      </c>
      <c r="G13" t="s">
        <v>1917</v>
      </c>
      <c r="I13" s="4">
        <f>A13</f>
        <v>102</v>
      </c>
    </row>
    <row r="14" spans="1:9">
      <c r="A14" s="4">
        <f>A13+1</f>
        <v>103</v>
      </c>
      <c r="B14" s="2" t="s">
        <v>145</v>
      </c>
      <c r="C14" s="2"/>
      <c r="D14" s="63">
        <f ca="1">SUM(D11:D13)</f>
        <v>5708243547.1837645</v>
      </c>
      <c r="E14" s="63">
        <f ca="1">SUM(E11:E13)</f>
        <v>10479270614.361336</v>
      </c>
      <c r="F14" s="63">
        <f ca="1">SUM(F11:F13)</f>
        <v>16187514161.545101</v>
      </c>
      <c r="G14" s="35" t="str">
        <f>"Sum of Lines "&amp;A11&amp;" to "&amp;A13&amp;""</f>
        <v>Sum of Lines 100 to 102</v>
      </c>
      <c r="H14" s="35"/>
      <c r="I14" s="4">
        <f>A14</f>
        <v>103</v>
      </c>
    </row>
    <row r="15" spans="1:9">
      <c r="A15" s="4"/>
      <c r="D15" s="24"/>
      <c r="E15" s="24"/>
      <c r="F15" s="24"/>
      <c r="I15" s="4"/>
    </row>
    <row r="16" spans="1:9">
      <c r="A16" s="4"/>
      <c r="B16" s="1" t="s">
        <v>146</v>
      </c>
      <c r="C16" s="1"/>
      <c r="D16" s="24"/>
      <c r="E16" s="24"/>
      <c r="F16" s="24"/>
      <c r="I16" s="4"/>
    </row>
    <row r="17" spans="1:9">
      <c r="A17" s="4">
        <f>A14+1</f>
        <v>104</v>
      </c>
      <c r="B17" t="s">
        <v>147</v>
      </c>
      <c r="D17" s="23">
        <f>'13-WorkCap'!F25</f>
        <v>32100895.518959083</v>
      </c>
      <c r="E17" s="23">
        <f>'13-WorkCap'!G25</f>
        <v>58873561.481040925</v>
      </c>
      <c r="F17" s="23">
        <f>SUM(D17:E17)</f>
        <v>90974457</v>
      </c>
      <c r="G17" t="s">
        <v>1918</v>
      </c>
      <c r="I17" s="4">
        <f>A17</f>
        <v>104</v>
      </c>
    </row>
    <row r="18" spans="1:9">
      <c r="A18" s="4">
        <f>A17+1</f>
        <v>105</v>
      </c>
      <c r="B18" t="s">
        <v>149</v>
      </c>
      <c r="D18" s="23">
        <f>'13-WorkCap'!$F$60*D6</f>
        <v>21211321.98483263</v>
      </c>
      <c r="E18" s="23">
        <f>'13-WorkCap'!$F$60*E6</f>
        <v>36897616.015167363</v>
      </c>
      <c r="F18" s="23">
        <f>SUM(D18:E18)</f>
        <v>58108937.999999993</v>
      </c>
      <c r="G18" t="s">
        <v>1919</v>
      </c>
      <c r="I18" s="4">
        <f>A18</f>
        <v>105</v>
      </c>
    </row>
    <row r="19" spans="1:9">
      <c r="A19" s="4">
        <f>A18+1</f>
        <v>106</v>
      </c>
      <c r="B19" t="s">
        <v>151</v>
      </c>
      <c r="D19" s="17">
        <f>(D36+D37)/10</f>
        <v>38334752.58314874</v>
      </c>
      <c r="E19" s="17">
        <f>(E36+E37)/10</f>
        <v>66595739.599208869</v>
      </c>
      <c r="F19" s="17">
        <f>SUM(D19:E19)</f>
        <v>104930492.18235761</v>
      </c>
      <c r="G19" t="str">
        <f>"(Line "&amp;A36&amp;" + Line "&amp;A37&amp;") / 10"</f>
        <v>(Line 200 + Line 201) / 10</v>
      </c>
      <c r="I19" s="4">
        <f>A19</f>
        <v>106</v>
      </c>
    </row>
    <row r="20" spans="1:9">
      <c r="A20" s="4">
        <f>A19+1</f>
        <v>107</v>
      </c>
      <c r="B20" s="2" t="s">
        <v>152</v>
      </c>
      <c r="C20" s="2"/>
      <c r="D20" s="63">
        <f>SUM(D17:D19)</f>
        <v>91646970.086940452</v>
      </c>
      <c r="E20" s="63">
        <f>SUM(E17:E19)</f>
        <v>162366917.09541714</v>
      </c>
      <c r="F20" s="63">
        <f>SUM(F17:F19)</f>
        <v>254013887.18235761</v>
      </c>
      <c r="G20" s="35" t="str">
        <f>"Sum of Lines "&amp;A17&amp;" to "&amp;A19&amp;""</f>
        <v>Sum of Lines 104 to 106</v>
      </c>
      <c r="H20" s="35"/>
      <c r="I20" s="4">
        <f>A20</f>
        <v>107</v>
      </c>
    </row>
    <row r="21" spans="1:9">
      <c r="A21" s="4"/>
      <c r="D21" s="24"/>
      <c r="E21" s="24"/>
      <c r="F21" s="24"/>
      <c r="I21" s="4"/>
    </row>
    <row r="22" spans="1:9">
      <c r="A22" s="4"/>
      <c r="B22" s="1" t="s">
        <v>153</v>
      </c>
      <c r="C22" s="1"/>
      <c r="D22" s="24"/>
      <c r="E22" s="24"/>
      <c r="F22" s="24"/>
      <c r="I22" s="4"/>
    </row>
    <row r="23" spans="1:9">
      <c r="A23" s="4">
        <f>A20+1</f>
        <v>108</v>
      </c>
      <c r="B23" t="s">
        <v>154</v>
      </c>
      <c r="D23" s="23">
        <f>-'10-AccDep'!P51</f>
        <v>-1289381455</v>
      </c>
      <c r="E23" s="23">
        <f>-'10-AccDep'!P76</f>
        <v>-2175111731</v>
      </c>
      <c r="F23" s="23">
        <f>SUM(D23:E23)</f>
        <v>-3464493186</v>
      </c>
      <c r="G23" t="s">
        <v>1920</v>
      </c>
      <c r="I23" s="4">
        <f>A23</f>
        <v>108</v>
      </c>
    </row>
    <row r="24" spans="1:9">
      <c r="A24" s="4">
        <f>A23+1</f>
        <v>109</v>
      </c>
      <c r="B24" t="s">
        <v>157</v>
      </c>
      <c r="D24" s="17">
        <f>-'10-AccDep'!E128</f>
        <v>-162537774.69475508</v>
      </c>
      <c r="E24" s="17">
        <f>-'10-AccDep'!F128</f>
        <v>-286796871.29038715</v>
      </c>
      <c r="F24" s="17">
        <f>SUM(D24:E24)</f>
        <v>-449334645.98514223</v>
      </c>
      <c r="G24" t="s">
        <v>1921</v>
      </c>
      <c r="I24" s="4">
        <f>A24</f>
        <v>109</v>
      </c>
    </row>
    <row r="25" spans="1:9">
      <c r="A25" s="4">
        <f>A24+1</f>
        <v>110</v>
      </c>
      <c r="B25" s="2" t="s">
        <v>159</v>
      </c>
      <c r="C25" s="2"/>
      <c r="D25" s="63">
        <f>+D23+D24</f>
        <v>-1451919229.6947551</v>
      </c>
      <c r="E25" s="63">
        <f>+E23+E24</f>
        <v>-2461908602.2903872</v>
      </c>
      <c r="F25" s="63">
        <f>+F23+F24</f>
        <v>-3913827831.9851422</v>
      </c>
      <c r="G25" t="str">
        <f>"Line "&amp;A23&amp;" + Line "&amp;A24&amp;""</f>
        <v>Line 108 + Line 109</v>
      </c>
      <c r="I25" s="4">
        <f>A25</f>
        <v>110</v>
      </c>
    </row>
    <row r="26" spans="1:9">
      <c r="A26" s="4"/>
      <c r="D26" s="24"/>
      <c r="E26" s="24"/>
      <c r="F26" s="24"/>
      <c r="I26" s="4"/>
    </row>
    <row r="27" spans="1:9">
      <c r="A27" s="4">
        <f>A25+1</f>
        <v>111</v>
      </c>
      <c r="B27" s="5" t="s">
        <v>161</v>
      </c>
      <c r="C27" s="5"/>
      <c r="D27" s="23">
        <f>'1-BaseTRR'!E25*$D$6</f>
        <v>-746075271.26004326</v>
      </c>
      <c r="E27" s="23">
        <f>'1-BaseTRR'!E25*$E$6</f>
        <v>-1297816274.5843639</v>
      </c>
      <c r="F27" s="23">
        <f>SUM(D27:E27)</f>
        <v>-2043891545.8444071</v>
      </c>
      <c r="G27" t="s">
        <v>1922</v>
      </c>
      <c r="I27" s="4">
        <f>A27</f>
        <v>111</v>
      </c>
    </row>
    <row r="28" spans="1:9">
      <c r="A28" s="4">
        <f>A27+1</f>
        <v>112</v>
      </c>
      <c r="B28" s="2" t="s">
        <v>346</v>
      </c>
      <c r="C28" s="2"/>
      <c r="D28" s="23">
        <f>'1-BaseTRR'!E26*$D$6</f>
        <v>-46207507.068571746</v>
      </c>
      <c r="E28" s="23">
        <f>'1-BaseTRR'!E26*$E$6</f>
        <v>-80379094.431428239</v>
      </c>
      <c r="F28" s="23">
        <f>SUM(D28:E28)</f>
        <v>-126586601.49999999</v>
      </c>
      <c r="G28" t="s">
        <v>1923</v>
      </c>
      <c r="I28" s="4">
        <f>A28</f>
        <v>112</v>
      </c>
    </row>
    <row r="29" spans="1:9">
      <c r="A29" s="4">
        <f>A28+1</f>
        <v>113</v>
      </c>
      <c r="B29" s="2" t="s">
        <v>1924</v>
      </c>
      <c r="C29" s="2"/>
      <c r="D29" s="23">
        <f>'1-BaseTRR'!E27*$D$6</f>
        <v>-45734640.717365995</v>
      </c>
      <c r="E29" s="23">
        <f>'1-BaseTRR'!E27*$E$6</f>
        <v>-79556531.789375126</v>
      </c>
      <c r="F29" s="23">
        <f>SUM(D29:E29)</f>
        <v>-125291172.50674112</v>
      </c>
      <c r="G29" t="s">
        <v>1925</v>
      </c>
      <c r="I29" s="4">
        <f>A29</f>
        <v>113</v>
      </c>
    </row>
    <row r="30" spans="1:9">
      <c r="A30" s="4">
        <f>A29+1</f>
        <v>114</v>
      </c>
      <c r="B30" s="2" t="s">
        <v>171</v>
      </c>
      <c r="C30" s="2"/>
      <c r="D30" s="23">
        <f>'1-BaseTRR'!E28*$D$6</f>
        <v>0</v>
      </c>
      <c r="E30" s="23">
        <f>'1-BaseTRR'!E28*$E$6</f>
        <v>0</v>
      </c>
      <c r="F30" s="23">
        <f>SUM(D30:E30)</f>
        <v>0</v>
      </c>
      <c r="G30" t="s">
        <v>1926</v>
      </c>
      <c r="I30" s="4">
        <f>A30</f>
        <v>114</v>
      </c>
    </row>
    <row r="31" spans="1:9">
      <c r="A31" s="4"/>
      <c r="D31" s="24"/>
      <c r="E31" s="24"/>
      <c r="F31" s="24"/>
      <c r="I31" s="4"/>
    </row>
    <row r="32" spans="1:9">
      <c r="A32" s="4">
        <f>A30+1</f>
        <v>115</v>
      </c>
      <c r="B32" s="2" t="s">
        <v>173</v>
      </c>
      <c r="C32" s="2"/>
      <c r="D32" s="63">
        <f ca="1">+D14+D20+D25+D27+D28+D30+D29</f>
        <v>3509953868.5299697</v>
      </c>
      <c r="E32" s="63">
        <f ca="1">+E14+E20+E25+E27+E28+E30+E29</f>
        <v>6721977028.3611984</v>
      </c>
      <c r="F32" s="63">
        <f ca="1">+F14+F20+F25+F27+F28+F30+F29</f>
        <v>10231930896.891171</v>
      </c>
      <c r="G32" t="str">
        <f>"Sum of Lines "&amp;A14&amp;", "&amp;A20&amp;", "&amp;A25&amp;" and Lines "&amp;A27&amp;" to "&amp;A30&amp;""</f>
        <v>Sum of Lines 103, 107, 110 and Lines 111 to 114</v>
      </c>
      <c r="I32" s="4">
        <f>A32</f>
        <v>115</v>
      </c>
    </row>
    <row r="33" spans="1:11">
      <c r="A33" s="4"/>
      <c r="B33" s="2"/>
      <c r="C33" s="2"/>
      <c r="D33" s="13"/>
      <c r="E33" s="13"/>
      <c r="F33" s="13"/>
      <c r="I33" s="4"/>
    </row>
    <row r="34" spans="1:11">
      <c r="A34" s="3"/>
      <c r="B34" s="45" t="s">
        <v>1927</v>
      </c>
      <c r="C34" s="47"/>
      <c r="D34" s="47"/>
      <c r="E34" s="47"/>
      <c r="F34" s="47"/>
      <c r="G34" s="353"/>
      <c r="H34" s="353"/>
      <c r="I34" s="4"/>
    </row>
    <row r="35" spans="1:11">
      <c r="A35" s="3" t="s">
        <v>100</v>
      </c>
      <c r="B35" s="3" t="s">
        <v>6</v>
      </c>
      <c r="D35" s="3" t="s">
        <v>715</v>
      </c>
      <c r="E35" s="3" t="s">
        <v>716</v>
      </c>
      <c r="F35" s="3" t="s">
        <v>465</v>
      </c>
      <c r="G35" s="3" t="s">
        <v>594</v>
      </c>
      <c r="H35" s="3" t="s">
        <v>136</v>
      </c>
      <c r="I35" s="3" t="s">
        <v>100</v>
      </c>
    </row>
    <row r="36" spans="1:11" ht="45">
      <c r="A36" s="4">
        <v>200</v>
      </c>
      <c r="B36" t="s">
        <v>266</v>
      </c>
      <c r="D36" s="23">
        <f>D6*('18-OandM'!P10-'18-OandM'!P24)+'18-OandM'!P24</f>
        <v>237187169.26231983</v>
      </c>
      <c r="E36" s="23">
        <f>E6*('18-OandM'!P10-'18-OandM'!P24)</f>
        <v>411707862.78593653</v>
      </c>
      <c r="F36" s="23">
        <f t="shared" ref="F36:F48" si="0">SUM(D36:E36)</f>
        <v>648895032.0482564</v>
      </c>
      <c r="G36" s="37" t="s">
        <v>1928</v>
      </c>
      <c r="H36" s="37"/>
      <c r="I36" s="4">
        <f t="shared" ref="I36:I48" si="1">A36</f>
        <v>200</v>
      </c>
      <c r="J36" s="24"/>
    </row>
    <row r="37" spans="1:11">
      <c r="A37" s="4">
        <f t="shared" ref="A37:A48" si="2">A36+1</f>
        <v>201</v>
      </c>
      <c r="B37" t="s">
        <v>268</v>
      </c>
      <c r="D37" s="23">
        <f>D6*'1-BaseTRR'!E126</f>
        <v>146160356.56916758</v>
      </c>
      <c r="E37" s="23">
        <f>E6*'1-BaseTRR'!E126</f>
        <v>254249533.20615217</v>
      </c>
      <c r="F37" s="23">
        <f t="shared" si="0"/>
        <v>400409889.77531976</v>
      </c>
      <c r="G37" t="s">
        <v>1929</v>
      </c>
      <c r="I37" s="4">
        <f t="shared" si="1"/>
        <v>201</v>
      </c>
      <c r="J37" s="24"/>
    </row>
    <row r="38" spans="1:11">
      <c r="A38" s="4">
        <f t="shared" si="2"/>
        <v>202</v>
      </c>
      <c r="B38" t="s">
        <v>270</v>
      </c>
      <c r="D38" s="23">
        <f>D6*'1-BaseTRR'!E127</f>
        <v>2727682.2089570896</v>
      </c>
      <c r="E38" s="23">
        <f>E6*'1-BaseTRR'!E127</f>
        <v>4744870.2551151402</v>
      </c>
      <c r="F38" s="23">
        <f t="shared" si="0"/>
        <v>7472552.4640722293</v>
      </c>
      <c r="G38" t="s">
        <v>1930</v>
      </c>
      <c r="I38" s="4">
        <f t="shared" si="1"/>
        <v>202</v>
      </c>
      <c r="J38" s="24"/>
    </row>
    <row r="39" spans="1:11" ht="30">
      <c r="A39" s="4">
        <f t="shared" si="2"/>
        <v>203</v>
      </c>
      <c r="B39" t="s">
        <v>272</v>
      </c>
      <c r="D39" s="23">
        <f>'11-Depreciation'!O13+'11-Depreciation'!D61</f>
        <v>170879149.70400566</v>
      </c>
      <c r="E39" s="23">
        <f>'11-Depreciation'!O14+'11-Depreciation'!E61</f>
        <v>326863829.19527501</v>
      </c>
      <c r="F39" s="23">
        <f t="shared" si="0"/>
        <v>497742978.89928067</v>
      </c>
      <c r="G39" s="37" t="s">
        <v>1931</v>
      </c>
      <c r="H39" s="37"/>
      <c r="I39" s="4">
        <f t="shared" si="1"/>
        <v>203</v>
      </c>
      <c r="J39" s="19"/>
      <c r="K39" s="22"/>
    </row>
    <row r="40" spans="1:11">
      <c r="A40" s="4">
        <f t="shared" si="2"/>
        <v>204</v>
      </c>
      <c r="B40" s="8" t="s">
        <v>1932</v>
      </c>
      <c r="D40" s="23">
        <f>D6*'1-BaseTRR'!$E$129</f>
        <v>906202.30709490215</v>
      </c>
      <c r="E40" s="23">
        <f>E6*'1-BaseTRR'!$E$129</f>
        <v>1576361.1897059374</v>
      </c>
      <c r="F40" s="23">
        <f t="shared" si="0"/>
        <v>2482563.4968008394</v>
      </c>
      <c r="G40" t="s">
        <v>1933</v>
      </c>
      <c r="I40" s="4">
        <f t="shared" si="1"/>
        <v>204</v>
      </c>
      <c r="J40" s="19"/>
      <c r="K40" s="22"/>
    </row>
    <row r="41" spans="1:11">
      <c r="A41" s="4">
        <f t="shared" si="2"/>
        <v>205</v>
      </c>
      <c r="B41" t="s">
        <v>276</v>
      </c>
      <c r="D41" s="23">
        <f ca="1">'8-AbandonedPlant'!I12</f>
        <v>0</v>
      </c>
      <c r="E41" s="23">
        <f ca="1">'8-AbandonedPlant'!I13</f>
        <v>0</v>
      </c>
      <c r="F41" s="23">
        <f t="shared" ca="1" si="0"/>
        <v>0</v>
      </c>
      <c r="G41" t="s">
        <v>1934</v>
      </c>
      <c r="I41" s="4">
        <f t="shared" si="1"/>
        <v>205</v>
      </c>
      <c r="J41" s="24"/>
    </row>
    <row r="42" spans="1:11" ht="30">
      <c r="A42" s="4">
        <f t="shared" si="2"/>
        <v>206</v>
      </c>
      <c r="B42" t="s">
        <v>278</v>
      </c>
      <c r="D42" s="23">
        <f ca="1">D32*'1-BaseTRR'!$E$66-('1-BaseTRR'!E69*'8-AbandonedPlant'!M12)</f>
        <v>245087997.19427145</v>
      </c>
      <c r="E42" s="23">
        <f ca="1">E32*'1-BaseTRR'!$E$66-('1-BaseTRR'!E69*'8-AbandonedPlant'!M13)</f>
        <v>469372518.49322402</v>
      </c>
      <c r="F42" s="23">
        <f t="shared" ca="1" si="0"/>
        <v>714460515.68749547</v>
      </c>
      <c r="G42" s="37" t="s">
        <v>1935</v>
      </c>
      <c r="I42" s="4">
        <f t="shared" si="1"/>
        <v>206</v>
      </c>
      <c r="J42" s="24"/>
    </row>
    <row r="43" spans="1:11">
      <c r="A43" s="4">
        <f t="shared" si="2"/>
        <v>207</v>
      </c>
      <c r="B43" t="s">
        <v>279</v>
      </c>
      <c r="D43" s="23">
        <f>$D$6*'1-BaseTRR'!E132</f>
        <v>49829261.435079366</v>
      </c>
      <c r="E43" s="23">
        <f>$E$6*'1-BaseTRR'!E132</f>
        <v>86679225.182930201</v>
      </c>
      <c r="F43" s="23">
        <f t="shared" si="0"/>
        <v>136508486.61800957</v>
      </c>
      <c r="G43" t="s">
        <v>1936</v>
      </c>
      <c r="I43" s="4">
        <f t="shared" si="1"/>
        <v>207</v>
      </c>
      <c r="J43" s="24"/>
    </row>
    <row r="44" spans="1:11">
      <c r="A44" s="4">
        <f t="shared" si="2"/>
        <v>208</v>
      </c>
      <c r="B44" t="s">
        <v>280</v>
      </c>
      <c r="D44" s="23">
        <f ca="1">$D$6*'1-BaseTRR'!E133</f>
        <v>65847136.362749927</v>
      </c>
      <c r="E44" s="23">
        <f ca="1">$E$6*'1-BaseTRR'!E133</f>
        <v>114542712.37542018</v>
      </c>
      <c r="F44" s="23">
        <f t="shared" ca="1" si="0"/>
        <v>180389848.73817012</v>
      </c>
      <c r="G44" t="s">
        <v>1937</v>
      </c>
      <c r="I44" s="4">
        <f t="shared" si="1"/>
        <v>208</v>
      </c>
      <c r="J44" s="24"/>
    </row>
    <row r="45" spans="1:11">
      <c r="A45" s="4">
        <f t="shared" si="2"/>
        <v>209</v>
      </c>
      <c r="B45" t="s">
        <v>55</v>
      </c>
      <c r="C45" s="332"/>
      <c r="D45" s="23">
        <f>-'20-RevenueCredits'!F10</f>
        <v>-9023571</v>
      </c>
      <c r="E45" s="23">
        <f>-'20-RevenueCredits'!G10</f>
        <v>-8441204</v>
      </c>
      <c r="F45" s="23">
        <f t="shared" si="0"/>
        <v>-17464775</v>
      </c>
      <c r="G45" t="s">
        <v>1938</v>
      </c>
      <c r="I45" s="4">
        <f t="shared" si="1"/>
        <v>209</v>
      </c>
      <c r="J45" s="24"/>
    </row>
    <row r="46" spans="1:11">
      <c r="A46" s="4">
        <f t="shared" si="2"/>
        <v>210</v>
      </c>
      <c r="B46" t="s">
        <v>283</v>
      </c>
      <c r="D46" s="23">
        <f>$D$6*'1-BaseTRR'!E135</f>
        <v>-6457490.8439807137</v>
      </c>
      <c r="E46" s="23">
        <f>$E$6*'1-BaseTRR'!E135</f>
        <v>-11232964.062920449</v>
      </c>
      <c r="F46" s="23">
        <f t="shared" si="0"/>
        <v>-17690454.906901162</v>
      </c>
      <c r="G46" t="s">
        <v>1939</v>
      </c>
      <c r="I46" s="4">
        <f t="shared" si="1"/>
        <v>210</v>
      </c>
      <c r="J46" s="24"/>
    </row>
    <row r="47" spans="1:11">
      <c r="A47" s="4">
        <f t="shared" si="2"/>
        <v>211</v>
      </c>
      <c r="B47" t="s">
        <v>285</v>
      </c>
      <c r="D47" s="17">
        <f>$D$6*'1-BaseTRR'!E136</f>
        <v>0</v>
      </c>
      <c r="E47" s="17">
        <f>$E$6*'1-BaseTRR'!E136</f>
        <v>0</v>
      </c>
      <c r="F47" s="17">
        <f t="shared" si="0"/>
        <v>0</v>
      </c>
      <c r="G47" t="s">
        <v>1940</v>
      </c>
      <c r="I47" s="4">
        <f t="shared" si="1"/>
        <v>211</v>
      </c>
      <c r="J47" s="24"/>
    </row>
    <row r="48" spans="1:11">
      <c r="A48" s="4">
        <f t="shared" si="2"/>
        <v>212</v>
      </c>
      <c r="B48" s="2" t="s">
        <v>288</v>
      </c>
      <c r="D48" s="63">
        <f ca="1">SUM(D36:D47)</f>
        <v>903143893.19966507</v>
      </c>
      <c r="E48" s="63">
        <f ca="1">SUM(E36:E47)</f>
        <v>1650062744.6208389</v>
      </c>
      <c r="F48" s="63">
        <f t="shared" ca="1" si="0"/>
        <v>2553206637.8205042</v>
      </c>
      <c r="G48" t="str">
        <f>"Sum of Lines "&amp;A36&amp;" to Line "&amp;A47&amp;""</f>
        <v>Sum of Lines 200 to Line 211</v>
      </c>
      <c r="I48" s="4">
        <f t="shared" si="1"/>
        <v>212</v>
      </c>
      <c r="J48" s="24"/>
    </row>
    <row r="49" spans="1:9">
      <c r="A49" s="4"/>
      <c r="I49" s="4"/>
    </row>
    <row r="50" spans="1:9">
      <c r="A50" s="4">
        <f>A48+1</f>
        <v>213</v>
      </c>
      <c r="B50" s="2" t="s">
        <v>294</v>
      </c>
      <c r="D50" s="23">
        <f ca="1">D48*('1-BaseTRR'!$E$140+'1-BaseTRR'!$E$141)</f>
        <v>7035490.9280253919</v>
      </c>
      <c r="E50" s="23">
        <f ca="1">E48*('1-BaseTRR'!$E$140+'1-BaseTRR'!$E$141)</f>
        <v>12853988.780596336</v>
      </c>
      <c r="F50" s="23">
        <f ca="1">SUM(D50:E50)</f>
        <v>19889479.708621729</v>
      </c>
      <c r="G50" t="s">
        <v>1941</v>
      </c>
      <c r="I50" s="4">
        <f>A50</f>
        <v>213</v>
      </c>
    </row>
    <row r="51" spans="1:9">
      <c r="A51" s="4"/>
      <c r="D51" s="24"/>
      <c r="E51" s="24"/>
      <c r="F51" s="24"/>
      <c r="I51" s="4"/>
    </row>
    <row r="52" spans="1:9">
      <c r="A52" s="4">
        <f>A50+1</f>
        <v>214</v>
      </c>
      <c r="B52" t="s">
        <v>297</v>
      </c>
      <c r="D52" s="23">
        <f ca="1">D6*'1-BaseTRR'!$E$149</f>
        <v>110292955.64790252</v>
      </c>
      <c r="E52" s="23">
        <f ca="1">E6*'1-BaseTRR'!$E$149</f>
        <v>191857307.60129717</v>
      </c>
      <c r="F52" s="23">
        <f ca="1">SUM(D52:E52)</f>
        <v>302150263.24919969</v>
      </c>
      <c r="G52" t="s">
        <v>1942</v>
      </c>
      <c r="I52" s="4">
        <f>A52</f>
        <v>214</v>
      </c>
    </row>
    <row r="53" spans="1:9">
      <c r="A53" s="4">
        <f>A52+1</f>
        <v>215</v>
      </c>
      <c r="B53" t="s">
        <v>1943</v>
      </c>
      <c r="D53" s="17">
        <f>D6*'1-BaseTRR'!$E$150</f>
        <v>105753118.94423935</v>
      </c>
      <c r="E53" s="17">
        <f>E6*'1-BaseTRR'!$E$150</f>
        <v>183960150.05576059</v>
      </c>
      <c r="F53" s="17">
        <f>SUM(D53:E53)</f>
        <v>289713268.99999994</v>
      </c>
      <c r="G53" t="s">
        <v>1944</v>
      </c>
      <c r="I53" s="4">
        <f>A53</f>
        <v>215</v>
      </c>
    </row>
    <row r="54" spans="1:9">
      <c r="A54" s="4"/>
      <c r="D54" s="24"/>
      <c r="E54" s="24"/>
      <c r="F54" s="24"/>
      <c r="I54" s="4"/>
    </row>
    <row r="55" spans="1:9">
      <c r="A55" s="4">
        <f>A53+1</f>
        <v>216</v>
      </c>
      <c r="B55" s="2" t="s">
        <v>1945</v>
      </c>
      <c r="D55" s="63">
        <f ca="1">ROUND(SUM(D48:D53),2)</f>
        <v>1126225458.72</v>
      </c>
      <c r="E55" s="63">
        <f ca="1">ROUND(SUM(E48:E53),2)</f>
        <v>2038734191.0599999</v>
      </c>
      <c r="F55" s="63">
        <f ca="1">SUM(D55:E55)</f>
        <v>3164959649.7799997</v>
      </c>
      <c r="G55" t="str">
        <f>"Sum of Lines "&amp;A48&amp;" to Line "&amp;A53&amp;""</f>
        <v>Sum of Lines 212 to Line 215</v>
      </c>
      <c r="I55" s="4">
        <f>A55</f>
        <v>216</v>
      </c>
    </row>
    <row r="56" spans="1:9">
      <c r="A56" s="4">
        <f>A55+1</f>
        <v>217</v>
      </c>
      <c r="B56" s="2" t="s">
        <v>1946</v>
      </c>
      <c r="D56" s="44">
        <v>-254058526</v>
      </c>
      <c r="E56" s="44">
        <v>-167448809</v>
      </c>
      <c r="F56" s="23">
        <f>SUM(D56:E56)</f>
        <v>-421507335</v>
      </c>
      <c r="G56" s="374" t="s">
        <v>1947</v>
      </c>
      <c r="H56" s="153"/>
      <c r="I56" s="4">
        <f>A56</f>
        <v>217</v>
      </c>
    </row>
    <row r="57" spans="1:9">
      <c r="A57" s="4">
        <f>A56+1</f>
        <v>218</v>
      </c>
      <c r="B57" s="2" t="s">
        <v>1948</v>
      </c>
      <c r="D57" s="17">
        <f ca="1">-ROUND(D6*'29-RetailRates-1'!F47*0.5,2)</f>
        <v>-3283850.65</v>
      </c>
      <c r="E57" s="17">
        <f ca="1">-ROUND(E6*'29-RetailRates-1'!F47*0.5,2)</f>
        <v>-5712338.9199999999</v>
      </c>
      <c r="F57" s="17">
        <f ca="1">SUM(D57:E57)</f>
        <v>-8996189.5700000003</v>
      </c>
      <c r="G57" t="s">
        <v>1949</v>
      </c>
      <c r="I57" s="4">
        <f>A57</f>
        <v>218</v>
      </c>
    </row>
    <row r="58" spans="1:9">
      <c r="A58" s="4"/>
      <c r="D58" s="24"/>
      <c r="E58" s="24"/>
      <c r="F58" s="24"/>
      <c r="I58" s="4"/>
    </row>
    <row r="59" spans="1:9">
      <c r="A59" s="4">
        <f>A57+1</f>
        <v>219</v>
      </c>
      <c r="B59" s="2" t="s">
        <v>1950</v>
      </c>
      <c r="D59" s="556">
        <f ca="1">ROUND(D57+D56+D55,2)</f>
        <v>868883082.07000005</v>
      </c>
      <c r="E59" s="556">
        <f ca="1">ROUND(E57+E56+E55,2)</f>
        <v>1865573043.1400001</v>
      </c>
      <c r="F59" s="556">
        <f ca="1">ROUND(F57+F56+F55,2)</f>
        <v>2734456125.21</v>
      </c>
      <c r="G59" t="str">
        <f>"Sum of Lines "&amp;A55&amp;" to Line "&amp;A57&amp;""</f>
        <v>Sum of Lines 216 to Line 218</v>
      </c>
      <c r="I59" s="4">
        <f>A59</f>
        <v>219</v>
      </c>
    </row>
    <row r="61" spans="1:9">
      <c r="B61" s="7"/>
    </row>
  </sheetData>
  <printOptions horizontalCentered="1"/>
  <pageMargins left="1" right="1" top="1" bottom="1" header="0.5" footer="0.5"/>
  <pageSetup scale="47" fitToHeight="0" orientation="portrait" r:id="rId1"/>
  <headerFooter>
    <oddHeader>&amp;C&amp;"-,Bold"&amp;12Pacific Gas and Electric Company
Formula Rate Model
Schedule 26-WholesaleTRRs&amp;"-,Regular"&amp;11</oddHeader>
  </headerFooter>
  <customProperties>
    <customPr name="_pios_id" r:id="rId2"/>
    <customPr name="EpmWorksheetKeyString_GUID" r:id="rId3"/>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8"/>
  <sheetViews>
    <sheetView view="pageBreakPreview" zoomScale="115" zoomScaleSheetLayoutView="115" workbookViewId="0">
      <selection activeCell="C12" sqref="C12"/>
    </sheetView>
  </sheetViews>
  <sheetFormatPr defaultColWidth="9.140625" defaultRowHeight="15"/>
  <cols>
    <col min="1" max="1" width="4.7109375" bestFit="1" customWidth="1"/>
    <col min="2" max="2" width="38.5703125" bestFit="1" customWidth="1"/>
    <col min="3" max="3" width="15.7109375" bestFit="1" customWidth="1"/>
    <col min="4" max="4" width="25" bestFit="1" customWidth="1"/>
    <col min="5" max="5" width="9.85546875" bestFit="1" customWidth="1"/>
    <col min="6" max="6" width="4.7109375" bestFit="1" customWidth="1"/>
  </cols>
  <sheetData>
    <row r="1" spans="1:6">
      <c r="B1" s="2" t="s">
        <v>69</v>
      </c>
      <c r="E1" s="6" t="str">
        <f>CONCATENATE("Rate Year: ",'1-BaseTRR'!$G$1)</f>
        <v>Rate Year: 2023</v>
      </c>
    </row>
    <row r="3" spans="1:6">
      <c r="A3" s="3" t="s">
        <v>100</v>
      </c>
      <c r="B3" s="3" t="s">
        <v>6</v>
      </c>
      <c r="C3" s="3" t="s">
        <v>134</v>
      </c>
      <c r="D3" s="3" t="s">
        <v>135</v>
      </c>
      <c r="E3" s="3" t="s">
        <v>136</v>
      </c>
      <c r="F3" s="3" t="str">
        <f>A3</f>
        <v>Line</v>
      </c>
    </row>
    <row r="4" spans="1:6">
      <c r="B4" s="50" t="s">
        <v>1951</v>
      </c>
      <c r="C4" s="47"/>
      <c r="D4" s="47"/>
      <c r="E4" s="47"/>
    </row>
    <row r="5" spans="1:6">
      <c r="A5" s="4">
        <v>100</v>
      </c>
      <c r="B5" t="s">
        <v>1952</v>
      </c>
      <c r="C5" s="332">
        <f ca="1">'26-WholesaleTRRs'!D59</f>
        <v>868883082.07000005</v>
      </c>
      <c r="D5" s="336" t="s">
        <v>1953</v>
      </c>
      <c r="F5" s="4">
        <f>A5</f>
        <v>100</v>
      </c>
    </row>
    <row r="6" spans="1:6">
      <c r="A6" s="4">
        <f>A5+1</f>
        <v>101</v>
      </c>
      <c r="B6" t="s">
        <v>1954</v>
      </c>
      <c r="C6" s="12">
        <f>'28-GrossLoad'!$C$12/1000</f>
        <v>91428372.763398543</v>
      </c>
      <c r="D6" t="str">
        <f>CONCATENATE("28-GrossLoad, L. ",'28-GrossLoad'!$A$12," / 1000")</f>
        <v>28-GrossLoad, L. 104 / 1000</v>
      </c>
      <c r="F6" s="4">
        <f>A6</f>
        <v>101</v>
      </c>
    </row>
    <row r="7" spans="1:6">
      <c r="A7" s="4">
        <f>A6+1</f>
        <v>102</v>
      </c>
      <c r="B7" s="2" t="s">
        <v>1955</v>
      </c>
      <c r="C7" s="559">
        <f ca="1">C5/C6</f>
        <v>9.5034293601454038</v>
      </c>
      <c r="D7" t="str">
        <f>"Line "&amp;A5&amp;" / Line "&amp;A6&amp;""</f>
        <v>Line 100 / Line 101</v>
      </c>
      <c r="F7" s="4">
        <f>A7</f>
        <v>102</v>
      </c>
    </row>
    <row r="8" spans="1:6">
      <c r="F8" s="4"/>
    </row>
    <row r="9" spans="1:6">
      <c r="B9" s="50" t="s">
        <v>1956</v>
      </c>
      <c r="C9" s="47"/>
      <c r="D9" s="47"/>
      <c r="E9" s="47"/>
      <c r="F9" s="4"/>
    </row>
    <row r="10" spans="1:6">
      <c r="A10" s="4">
        <v>200</v>
      </c>
      <c r="B10" t="s">
        <v>1957</v>
      </c>
      <c r="C10" s="332">
        <f ca="1">'26-WholesaleTRRs'!E59</f>
        <v>1865573043.1400001</v>
      </c>
      <c r="D10" s="336" t="s">
        <v>1958</v>
      </c>
      <c r="F10" s="4">
        <f>A10</f>
        <v>200</v>
      </c>
    </row>
    <row r="11" spans="1:6">
      <c r="A11" s="4">
        <f>A10+1</f>
        <v>201</v>
      </c>
      <c r="B11" t="s">
        <v>1954</v>
      </c>
      <c r="C11" s="12">
        <f>C6</f>
        <v>91428372.763398543</v>
      </c>
      <c r="D11" t="str">
        <f>CONCATENATE("28-GrossLoad, L. ",'28-GrossLoad'!$A$12," / 1000")</f>
        <v>28-GrossLoad, L. 104 / 1000</v>
      </c>
      <c r="F11" s="4">
        <f>A11</f>
        <v>201</v>
      </c>
    </row>
    <row r="12" spans="1:6">
      <c r="A12" s="4">
        <f>A11+1</f>
        <v>202</v>
      </c>
      <c r="B12" s="2" t="s">
        <v>1959</v>
      </c>
      <c r="C12" s="559">
        <f ca="1">C10/C11</f>
        <v>20.404749496830636</v>
      </c>
      <c r="D12" t="str">
        <f>"Line "&amp;A10&amp;" / Line "&amp;A11&amp;""</f>
        <v>Line 200 / Line 201</v>
      </c>
      <c r="F12" s="4">
        <f>A12</f>
        <v>202</v>
      </c>
    </row>
    <row r="14" spans="1:6">
      <c r="B14" s="2"/>
    </row>
    <row r="28" spans="4:4">
      <c r="D28" s="8"/>
    </row>
  </sheetData>
  <printOptions horizontalCentered="1"/>
  <pageMargins left="1" right="1" top="1.25" bottom="1" header="0.5" footer="0.5"/>
  <pageSetup scale="83" orientation="portrait" r:id="rId1"/>
  <headerFooter>
    <oddHeader>&amp;C&amp;"-,Bold"&amp;12Pacific Gas and Electric Company
Formula Rate Model
Schedule 27-WholesaleRates&amp;"-,Regular"&amp;11</oddHeader>
  </headerFooter>
  <customProperties>
    <customPr name="_pios_id" r:id="rId2"/>
    <customPr name="EpmWorksheetKeyString_GUID" r:id="rId3"/>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2"/>
  <sheetViews>
    <sheetView zoomScaleNormal="100" zoomScaleSheetLayoutView="100" workbookViewId="0">
      <selection activeCell="C12" sqref="C12"/>
    </sheetView>
  </sheetViews>
  <sheetFormatPr defaultColWidth="9.140625" defaultRowHeight="15"/>
  <cols>
    <col min="1" max="1" width="4.7109375" bestFit="1" customWidth="1"/>
    <col min="2" max="2" width="50" customWidth="1"/>
    <col min="3" max="3" width="18" bestFit="1" customWidth="1"/>
    <col min="4" max="4" width="31.140625" bestFit="1" customWidth="1"/>
    <col min="5" max="5" width="9.42578125" bestFit="1" customWidth="1"/>
    <col min="6" max="6" width="4.7109375" bestFit="1" customWidth="1"/>
    <col min="8" max="8" width="21.7109375" bestFit="1" customWidth="1"/>
    <col min="9" max="9" width="13.28515625" bestFit="1" customWidth="1"/>
  </cols>
  <sheetData>
    <row r="1" spans="1:9">
      <c r="B1" s="2" t="s">
        <v>71</v>
      </c>
      <c r="E1" s="6" t="str">
        <f>CONCATENATE("Rate Year: ",'1-BaseTRR'!$G$1)</f>
        <v>Rate Year: 2023</v>
      </c>
    </row>
    <row r="2" spans="1:9">
      <c r="B2" s="113" t="s">
        <v>131</v>
      </c>
      <c r="E2" s="6"/>
    </row>
    <row r="3" spans="1:9">
      <c r="B3" s="138"/>
    </row>
    <row r="4" spans="1:9">
      <c r="B4" s="7" t="s">
        <v>350</v>
      </c>
    </row>
    <row r="5" spans="1:9">
      <c r="B5" t="s">
        <v>1960</v>
      </c>
    </row>
    <row r="6" spans="1:9">
      <c r="B6" s="138"/>
    </row>
    <row r="7" spans="1:9">
      <c r="A7" s="3" t="s">
        <v>100</v>
      </c>
      <c r="B7" s="3" t="s">
        <v>6</v>
      </c>
      <c r="C7" s="3" t="s">
        <v>134</v>
      </c>
      <c r="D7" s="3" t="s">
        <v>135</v>
      </c>
      <c r="E7" s="3" t="s">
        <v>136</v>
      </c>
      <c r="F7" s="3" t="s">
        <v>100</v>
      </c>
    </row>
    <row r="8" spans="1:9">
      <c r="A8" s="4">
        <v>100</v>
      </c>
      <c r="B8" t="s">
        <v>1961</v>
      </c>
      <c r="C8" s="125">
        <v>93707348115.778366</v>
      </c>
      <c r="D8" s="376" t="s">
        <v>1962</v>
      </c>
      <c r="E8" s="21"/>
      <c r="F8" s="4">
        <f>A8</f>
        <v>100</v>
      </c>
    </row>
    <row r="9" spans="1:9">
      <c r="A9" s="4">
        <f>A8+1</f>
        <v>101</v>
      </c>
      <c r="B9" t="s">
        <v>1963</v>
      </c>
      <c r="C9" s="378">
        <v>0.96528000000000003</v>
      </c>
      <c r="D9" s="376" t="s">
        <v>1964</v>
      </c>
      <c r="E9" s="21"/>
      <c r="F9" s="4">
        <f>A9</f>
        <v>101</v>
      </c>
    </row>
    <row r="10" spans="1:9">
      <c r="A10" s="4">
        <f t="shared" ref="A10:A12" si="0">A9+1</f>
        <v>102</v>
      </c>
      <c r="B10" t="s">
        <v>1965</v>
      </c>
      <c r="C10" s="12">
        <f>C8*C9</f>
        <v>90453828989.198547</v>
      </c>
      <c r="D10" s="12" t="str">
        <f>"Line "&amp;A8&amp;" * Line "&amp;A9&amp;""</f>
        <v>Line 100 * Line 101</v>
      </c>
      <c r="E10" s="21"/>
      <c r="F10" s="4">
        <f>A10</f>
        <v>102</v>
      </c>
    </row>
    <row r="11" spans="1:9">
      <c r="A11" s="4">
        <f t="shared" si="0"/>
        <v>103</v>
      </c>
      <c r="B11" t="s">
        <v>1966</v>
      </c>
      <c r="C11" s="377">
        <v>974543774.20000005</v>
      </c>
      <c r="D11" s="376" t="s">
        <v>1967</v>
      </c>
      <c r="E11" s="21"/>
      <c r="F11" s="4">
        <f>A11</f>
        <v>103</v>
      </c>
    </row>
    <row r="12" spans="1:9">
      <c r="A12" s="4">
        <f t="shared" si="0"/>
        <v>104</v>
      </c>
      <c r="B12" s="2" t="s">
        <v>1968</v>
      </c>
      <c r="C12" s="530">
        <f>C11+C10</f>
        <v>91428372763.398544</v>
      </c>
      <c r="D12" s="12" t="str">
        <f>"Line "&amp;A10&amp;" + Line "&amp;A11&amp;""</f>
        <v>Line 102 + Line 103</v>
      </c>
      <c r="E12" s="21"/>
      <c r="F12" s="4">
        <f>A12</f>
        <v>104</v>
      </c>
      <c r="H12" s="574"/>
      <c r="I12" s="574"/>
    </row>
    <row r="14" spans="1:9">
      <c r="B14" s="7"/>
    </row>
    <row r="32" spans="4:4">
      <c r="D32" s="8"/>
    </row>
  </sheetData>
  <printOptions horizontalCentered="1"/>
  <pageMargins left="1" right="1" top="1.25" bottom="1" header="0.5" footer="0.5"/>
  <pageSetup scale="70" orientation="portrait" r:id="rId1"/>
  <headerFooter>
    <oddHeader>&amp;C&amp;"-,Bold"&amp;12Pacific Gas and Electric Company
Formula Rate Model
Schedule 28-GrossLoad&amp;"-,Regular"&amp;11</oddHeader>
  </headerFooter>
  <customProperties>
    <customPr name="_pios_id" r:id="rId2"/>
    <customPr name="EpmWorksheetKeyString_GUID" r:id="rId3"/>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19E6-0B63-463F-8650-8636E69D782D}">
  <sheetPr>
    <pageSetUpPr fitToPage="1"/>
  </sheetPr>
  <dimension ref="A1:P57"/>
  <sheetViews>
    <sheetView topLeftCell="A30" zoomScale="85" zoomScaleNormal="85" zoomScaleSheetLayoutView="85" workbookViewId="0">
      <selection activeCell="AF54" sqref="AF54"/>
    </sheetView>
  </sheetViews>
  <sheetFormatPr defaultColWidth="8.85546875" defaultRowHeight="15"/>
  <cols>
    <col min="1" max="1" width="5.28515625" style="143" customWidth="1"/>
    <col min="2" max="2" width="6.5703125" style="8" customWidth="1"/>
    <col min="3" max="3" width="3.7109375" style="8" customWidth="1"/>
    <col min="4" max="4" width="16.7109375" style="8" customWidth="1"/>
    <col min="5" max="5" width="1.140625" style="8" customWidth="1"/>
    <col min="6" max="6" width="16.42578125" style="8" customWidth="1"/>
    <col min="7" max="7" width="2.7109375" style="380" hidden="1" customWidth="1"/>
    <col min="8" max="8" width="18" style="8" customWidth="1"/>
    <col min="9" max="9" width="7.7109375" style="8" customWidth="1"/>
    <col min="10" max="10" width="13.28515625" style="8" customWidth="1"/>
    <col min="11" max="11" width="15.5703125" style="379" customWidth="1"/>
    <col min="12" max="12" width="15.42578125" style="8" customWidth="1"/>
    <col min="13" max="13" width="13.28515625" style="18" customWidth="1"/>
    <col min="14" max="14" width="7.140625" style="18" customWidth="1"/>
    <col min="15" max="16384" width="8.85546875" style="8"/>
  </cols>
  <sheetData>
    <row r="1" spans="1:14">
      <c r="A1" s="201"/>
      <c r="B1" s="201" t="s">
        <v>73</v>
      </c>
      <c r="M1" s="6" t="s">
        <v>1969</v>
      </c>
      <c r="N1" s="8"/>
    </row>
    <row r="2" spans="1:14">
      <c r="A2" s="201"/>
      <c r="B2" s="201" t="s">
        <v>1970</v>
      </c>
      <c r="C2" s="143"/>
      <c r="D2" s="387"/>
      <c r="E2" s="383"/>
      <c r="F2" s="143"/>
      <c r="L2" s="386"/>
      <c r="M2" s="385" t="s">
        <v>1971</v>
      </c>
      <c r="N2" s="8"/>
    </row>
    <row r="3" spans="1:14">
      <c r="A3" s="201"/>
      <c r="B3" s="413" t="s">
        <v>131</v>
      </c>
      <c r="C3" s="413"/>
      <c r="D3" s="413"/>
      <c r="E3" s="383"/>
      <c r="F3" s="143"/>
      <c r="M3" s="8"/>
      <c r="N3" s="8"/>
    </row>
    <row r="5" spans="1:14">
      <c r="D5" s="731"/>
      <c r="F5" s="118" t="s">
        <v>371</v>
      </c>
      <c r="G5" s="732"/>
      <c r="H5" s="118" t="s">
        <v>372</v>
      </c>
      <c r="I5" s="111"/>
      <c r="J5" s="118" t="s">
        <v>373</v>
      </c>
      <c r="K5" s="388"/>
      <c r="L5" s="118" t="s">
        <v>374</v>
      </c>
      <c r="M5" s="118" t="s">
        <v>375</v>
      </c>
      <c r="N5" s="8"/>
    </row>
    <row r="6" spans="1:14">
      <c r="D6" s="731"/>
      <c r="F6" s="118"/>
      <c r="G6" s="732"/>
      <c r="H6" s="118"/>
      <c r="I6" s="111"/>
      <c r="J6" s="118"/>
      <c r="K6" s="388"/>
      <c r="L6" s="118"/>
      <c r="M6" s="118"/>
      <c r="N6" s="8"/>
    </row>
    <row r="7" spans="1:14">
      <c r="F7" s="18" t="s">
        <v>111</v>
      </c>
      <c r="G7" s="18"/>
      <c r="H7" s="18" t="s">
        <v>203</v>
      </c>
      <c r="I7" s="390"/>
      <c r="J7" s="136" t="s">
        <v>1972</v>
      </c>
      <c r="K7" s="390"/>
      <c r="L7" s="384" t="s">
        <v>251</v>
      </c>
      <c r="M7" s="136" t="s">
        <v>1973</v>
      </c>
      <c r="N7" s="8"/>
    </row>
    <row r="8" spans="1:14">
      <c r="F8" s="18" t="s">
        <v>1974</v>
      </c>
      <c r="H8" s="18" t="s">
        <v>1975</v>
      </c>
      <c r="I8" s="18" t="s">
        <v>1976</v>
      </c>
      <c r="J8" s="384" t="s">
        <v>380</v>
      </c>
      <c r="K8" s="384" t="s">
        <v>1976</v>
      </c>
      <c r="L8" s="384" t="s">
        <v>1977</v>
      </c>
      <c r="M8" s="18" t="s">
        <v>1978</v>
      </c>
      <c r="N8" s="8"/>
    </row>
    <row r="9" spans="1:14">
      <c r="A9" s="115" t="s">
        <v>100</v>
      </c>
      <c r="B9" s="733" t="s">
        <v>1979</v>
      </c>
      <c r="C9" s="111"/>
      <c r="D9" s="733" t="s">
        <v>1980</v>
      </c>
      <c r="F9" s="733" t="s">
        <v>1981</v>
      </c>
      <c r="G9" s="111"/>
      <c r="H9" s="733" t="s">
        <v>1982</v>
      </c>
      <c r="I9" s="733" t="s">
        <v>1983</v>
      </c>
      <c r="J9" s="733" t="s">
        <v>1984</v>
      </c>
      <c r="K9" s="733" t="s">
        <v>1983</v>
      </c>
      <c r="L9" s="733" t="s">
        <v>1985</v>
      </c>
      <c r="M9" s="733" t="s">
        <v>1986</v>
      </c>
      <c r="N9" s="115" t="str">
        <f>A9</f>
        <v>Line</v>
      </c>
    </row>
    <row r="10" spans="1:14">
      <c r="G10" s="8"/>
      <c r="I10" s="380"/>
      <c r="J10" s="138"/>
      <c r="K10" s="138"/>
      <c r="L10" s="379"/>
      <c r="M10" s="8"/>
      <c r="N10" s="143"/>
    </row>
    <row r="11" spans="1:14">
      <c r="A11" s="127">
        <v>100</v>
      </c>
      <c r="B11" s="221" t="s">
        <v>1987</v>
      </c>
      <c r="C11" s="221"/>
      <c r="D11" s="734" t="s">
        <v>1988</v>
      </c>
      <c r="E11" s="221"/>
      <c r="F11" s="486">
        <f ca="1">+'29-RetailRates-2'!M12</f>
        <v>1470441636.9542913</v>
      </c>
      <c r="G11" s="735"/>
      <c r="H11" s="736">
        <f>'29-RetailRates-2'!E12</f>
        <v>27986117172</v>
      </c>
      <c r="I11" s="737" t="s">
        <v>1989</v>
      </c>
      <c r="J11" s="738">
        <f ca="1">F11/(H11-'29-RetailRates-2'!$E$13)</f>
        <v>5.254191198366253E-2</v>
      </c>
      <c r="K11" s="739" t="s">
        <v>1990</v>
      </c>
      <c r="L11" s="736">
        <f>'29-RetailRates-2'!E12</f>
        <v>27986117172</v>
      </c>
      <c r="M11" s="740">
        <f ca="1">F11/L11</f>
        <v>5.2541823787740818E-2</v>
      </c>
      <c r="N11" s="127">
        <f>A11</f>
        <v>100</v>
      </c>
    </row>
    <row r="12" spans="1:14">
      <c r="A12" s="127"/>
      <c r="D12" s="386"/>
      <c r="F12" s="163"/>
      <c r="G12" s="163"/>
      <c r="H12" s="379"/>
      <c r="I12" s="741"/>
      <c r="J12" s="742" t="s">
        <v>1991</v>
      </c>
      <c r="K12" s="138"/>
      <c r="L12" s="379"/>
      <c r="N12" s="8"/>
    </row>
    <row r="13" spans="1:14">
      <c r="A13" s="127">
        <f>A11+1</f>
        <v>101</v>
      </c>
      <c r="B13" s="221" t="s">
        <v>1992</v>
      </c>
      <c r="C13" s="221"/>
      <c r="D13" s="734" t="s">
        <v>1993</v>
      </c>
      <c r="E13" s="221"/>
      <c r="F13" s="486">
        <f ca="1">+'29-RetailRates-2'!M14</f>
        <v>299753755.7947675</v>
      </c>
      <c r="G13" s="735"/>
      <c r="H13" s="736">
        <f>'29-RetailRates-2'!E14</f>
        <v>8170970533</v>
      </c>
      <c r="I13" s="737" t="s">
        <v>1989</v>
      </c>
      <c r="J13" s="738">
        <f ca="1">F13/H13</f>
        <v>3.6685208272891894E-2</v>
      </c>
      <c r="K13" s="739" t="s">
        <v>1990</v>
      </c>
      <c r="L13" s="736">
        <f>'29-RetailRates-2'!E14</f>
        <v>8170970533</v>
      </c>
      <c r="M13" s="740">
        <f ca="1">F13/L13</f>
        <v>3.6685208272891894E-2</v>
      </c>
      <c r="N13" s="127">
        <f>A13</f>
        <v>101</v>
      </c>
    </row>
    <row r="14" spans="1:14">
      <c r="A14" s="127"/>
      <c r="D14" s="386"/>
      <c r="F14" s="163"/>
      <c r="G14" s="163"/>
      <c r="H14" s="379"/>
      <c r="I14" s="741"/>
      <c r="J14" s="742" t="s">
        <v>1991</v>
      </c>
      <c r="K14" s="138"/>
      <c r="L14" s="379"/>
      <c r="N14" s="8"/>
    </row>
    <row r="15" spans="1:14">
      <c r="A15" s="127">
        <f>A13+1</f>
        <v>102</v>
      </c>
      <c r="B15" s="8" t="s">
        <v>1994</v>
      </c>
      <c r="D15" s="386" t="s">
        <v>1995</v>
      </c>
      <c r="F15" s="163"/>
      <c r="G15" s="163"/>
      <c r="H15" s="743">
        <v>28573782</v>
      </c>
      <c r="I15" s="741" t="s">
        <v>1996</v>
      </c>
      <c r="J15" s="744"/>
      <c r="K15" s="120"/>
      <c r="L15" s="379">
        <f>'29-RetailRates-2'!E16</f>
        <v>7905628709</v>
      </c>
      <c r="M15" s="745">
        <f ca="1">(H15*$J$23)/L15</f>
        <v>4.2020596955617981E-2</v>
      </c>
      <c r="N15" s="127">
        <f>A15</f>
        <v>102</v>
      </c>
    </row>
    <row r="16" spans="1:14">
      <c r="A16" s="127"/>
      <c r="D16" s="386"/>
      <c r="F16" s="163"/>
      <c r="G16" s="163"/>
      <c r="H16" s="379"/>
      <c r="I16" s="741"/>
      <c r="J16" s="744"/>
      <c r="K16" s="138"/>
      <c r="L16" s="379"/>
      <c r="N16" s="8"/>
    </row>
    <row r="17" spans="1:14">
      <c r="A17" s="127">
        <f>A15+1</f>
        <v>103</v>
      </c>
      <c r="B17" s="8" t="s">
        <v>1997</v>
      </c>
      <c r="D17" s="386" t="s">
        <v>1998</v>
      </c>
      <c r="F17" s="163"/>
      <c r="G17" s="163"/>
      <c r="H17" s="743">
        <v>130434</v>
      </c>
      <c r="I17" s="741" t="s">
        <v>1996</v>
      </c>
      <c r="J17" s="744"/>
      <c r="K17" s="120"/>
      <c r="L17" s="379">
        <f>'29-RetailRates-2'!E18</f>
        <v>47969131</v>
      </c>
      <c r="M17" s="745">
        <f ca="1">(H17*$J$23)/L17</f>
        <v>3.1612574545669909E-2</v>
      </c>
      <c r="N17" s="127">
        <f>A17</f>
        <v>103</v>
      </c>
    </row>
    <row r="18" spans="1:14">
      <c r="A18" s="127"/>
      <c r="D18" s="386"/>
      <c r="F18" s="163"/>
      <c r="G18" s="163"/>
      <c r="H18" s="379"/>
      <c r="I18" s="741"/>
      <c r="J18" s="744"/>
      <c r="K18" s="138"/>
      <c r="L18" s="379"/>
      <c r="N18" s="8"/>
    </row>
    <row r="19" spans="1:14">
      <c r="A19" s="127">
        <f>A17+1</f>
        <v>104</v>
      </c>
      <c r="B19" s="8" t="s">
        <v>1997</v>
      </c>
      <c r="D19" s="386" t="s">
        <v>1999</v>
      </c>
      <c r="F19" s="163"/>
      <c r="G19" s="163"/>
      <c r="H19" s="743">
        <v>3394078</v>
      </c>
      <c r="I19" s="741" t="s">
        <v>1996</v>
      </c>
      <c r="J19" s="744"/>
      <c r="K19" s="120"/>
      <c r="L19" s="379">
        <f>'29-RetailRates-2'!E20</f>
        <v>1295857674</v>
      </c>
      <c r="M19" s="745">
        <f ca="1">(H19*$J$23)/L19</f>
        <v>3.0450569418135131E-2</v>
      </c>
      <c r="N19" s="127">
        <f>A19</f>
        <v>104</v>
      </c>
    </row>
    <row r="20" spans="1:14">
      <c r="A20" s="127"/>
      <c r="D20" s="386"/>
      <c r="F20" s="163"/>
      <c r="G20" s="163"/>
      <c r="H20" s="379"/>
      <c r="I20" s="741"/>
      <c r="J20" s="744" t="s">
        <v>1991</v>
      </c>
      <c r="K20" s="138"/>
      <c r="L20" s="379"/>
      <c r="N20" s="8"/>
    </row>
    <row r="21" spans="1:14">
      <c r="A21" s="127">
        <f>A19+1</f>
        <v>105</v>
      </c>
      <c r="B21" s="8" t="s">
        <v>1997</v>
      </c>
      <c r="D21" s="386" t="s">
        <v>2000</v>
      </c>
      <c r="F21" s="163"/>
      <c r="G21" s="163"/>
      <c r="H21" s="382">
        <v>32996630</v>
      </c>
      <c r="I21" s="741" t="s">
        <v>1996</v>
      </c>
      <c r="J21" s="744"/>
      <c r="K21" s="120"/>
      <c r="L21" s="379">
        <f>'29-RetailRates-2'!E22</f>
        <v>13079422246</v>
      </c>
      <c r="M21" s="745">
        <f ca="1">(H21*$J$23)/L21</f>
        <v>2.9329991085163151E-2</v>
      </c>
      <c r="N21" s="127">
        <f>A21</f>
        <v>105</v>
      </c>
    </row>
    <row r="22" spans="1:14">
      <c r="A22" s="127"/>
      <c r="D22" s="386"/>
      <c r="F22" s="163"/>
      <c r="G22" s="163"/>
      <c r="H22" s="379"/>
      <c r="I22" s="741"/>
      <c r="J22" s="742" t="s">
        <v>1991</v>
      </c>
      <c r="K22" s="138"/>
      <c r="L22" s="379"/>
      <c r="N22" s="8"/>
    </row>
    <row r="23" spans="1:14">
      <c r="A23" s="127">
        <f>A21+1</f>
        <v>106</v>
      </c>
      <c r="B23" s="746" t="s">
        <v>2001</v>
      </c>
      <c r="C23" s="221"/>
      <c r="D23" s="734"/>
      <c r="E23" s="221"/>
      <c r="F23" s="486">
        <f ca="1">+'29-RetailRates-2'!M24</f>
        <v>756794607.32370472</v>
      </c>
      <c r="G23" s="735"/>
      <c r="H23" s="736">
        <f>SUM(H15:H21)</f>
        <v>65094924</v>
      </c>
      <c r="I23" s="737" t="s">
        <v>1996</v>
      </c>
      <c r="J23" s="747">
        <f ca="1">F23/H23</f>
        <v>11.626015683245974</v>
      </c>
      <c r="K23" s="739" t="s">
        <v>2002</v>
      </c>
      <c r="L23" s="736"/>
      <c r="M23" s="748"/>
      <c r="N23" s="127">
        <f>A23</f>
        <v>106</v>
      </c>
    </row>
    <row r="24" spans="1:14">
      <c r="A24" s="127"/>
      <c r="D24" s="386"/>
      <c r="F24" s="163"/>
      <c r="G24" s="163"/>
      <c r="H24" s="379"/>
      <c r="I24" s="741"/>
      <c r="J24" s="742"/>
      <c r="K24" s="138"/>
      <c r="L24" s="379"/>
      <c r="N24" s="8"/>
    </row>
    <row r="25" spans="1:14">
      <c r="A25" s="127">
        <f>A23+1</f>
        <v>107</v>
      </c>
      <c r="B25" s="221" t="s">
        <v>2003</v>
      </c>
      <c r="C25" s="221"/>
      <c r="D25" s="734" t="s">
        <v>2004</v>
      </c>
      <c r="E25" s="221"/>
      <c r="F25" s="486">
        <f ca="1">+'29-RetailRates-2'!M26</f>
        <v>7225815.8493959336</v>
      </c>
      <c r="G25" s="735"/>
      <c r="H25" s="736">
        <f>'29-RetailRates-2'!E26</f>
        <v>226995462</v>
      </c>
      <c r="I25" s="737" t="s">
        <v>1989</v>
      </c>
      <c r="J25" s="738">
        <f ca="1">F25/H25</f>
        <v>3.1832424250824595E-2</v>
      </c>
      <c r="K25" s="739" t="s">
        <v>1990</v>
      </c>
      <c r="L25" s="736">
        <f>'29-RetailRates-2'!E26</f>
        <v>226995462</v>
      </c>
      <c r="M25" s="740">
        <f ca="1">F25/L25</f>
        <v>3.1832424250824595E-2</v>
      </c>
      <c r="N25" s="127">
        <f>A25</f>
        <v>107</v>
      </c>
    </row>
    <row r="26" spans="1:14">
      <c r="A26" s="127"/>
      <c r="D26" s="386"/>
      <c r="F26" s="163"/>
      <c r="G26" s="163"/>
      <c r="H26" s="379"/>
      <c r="I26" s="741"/>
      <c r="J26" s="742" t="s">
        <v>1991</v>
      </c>
      <c r="K26" s="138"/>
      <c r="L26" s="379"/>
      <c r="N26" s="8"/>
    </row>
    <row r="27" spans="1:14">
      <c r="A27" s="127">
        <f>A25+1</f>
        <v>108</v>
      </c>
      <c r="B27" s="8" t="s">
        <v>2005</v>
      </c>
      <c r="D27" s="386" t="s">
        <v>2006</v>
      </c>
      <c r="F27" s="163"/>
      <c r="G27" s="163"/>
      <c r="H27" s="379">
        <f>'29-RetailRates-2'!E28</f>
        <v>397561552</v>
      </c>
      <c r="I27" s="741" t="s">
        <v>1989</v>
      </c>
      <c r="J27" s="742"/>
      <c r="K27" s="120"/>
      <c r="L27" s="379">
        <f>'29-RetailRates-2'!E28</f>
        <v>397561552</v>
      </c>
      <c r="M27" s="745">
        <f ca="1">H27*$J$31/L27</f>
        <v>3.4736918499119876E-2</v>
      </c>
      <c r="N27" s="127">
        <f>A27</f>
        <v>108</v>
      </c>
    </row>
    <row r="28" spans="1:14">
      <c r="A28" s="127"/>
      <c r="D28" s="386"/>
      <c r="F28" s="163"/>
      <c r="G28" s="163"/>
      <c r="H28" s="379"/>
      <c r="I28" s="741"/>
      <c r="J28" s="742"/>
      <c r="K28" s="138"/>
      <c r="L28" s="379"/>
      <c r="N28" s="8"/>
    </row>
    <row r="29" spans="1:14">
      <c r="A29" s="127">
        <f>A27+1</f>
        <v>109</v>
      </c>
      <c r="B29" s="8" t="s">
        <v>2007</v>
      </c>
      <c r="D29" s="386" t="s">
        <v>2008</v>
      </c>
      <c r="F29" s="163"/>
      <c r="G29" s="163"/>
      <c r="H29" s="736">
        <f>'29-RetailRates-2'!E30</f>
        <v>6171587359</v>
      </c>
      <c r="I29" s="741" t="s">
        <v>1989</v>
      </c>
      <c r="J29" s="742"/>
      <c r="K29" s="120"/>
      <c r="L29" s="379">
        <f>'29-RetailRates-2'!E30</f>
        <v>6171587359</v>
      </c>
      <c r="M29" s="745">
        <f ca="1">H29*$J$31/L29</f>
        <v>3.4736918499119876E-2</v>
      </c>
      <c r="N29" s="127">
        <f>A29</f>
        <v>109</v>
      </c>
    </row>
    <row r="30" spans="1:14">
      <c r="A30" s="127"/>
      <c r="D30" s="386"/>
      <c r="F30" s="163"/>
      <c r="G30" s="163"/>
      <c r="H30" s="379"/>
      <c r="I30" s="741"/>
      <c r="J30" s="742"/>
      <c r="K30" s="120"/>
      <c r="L30" s="379"/>
      <c r="N30" s="8"/>
    </row>
    <row r="31" spans="1:14">
      <c r="A31" s="127">
        <f>A29+1</f>
        <v>110</v>
      </c>
      <c r="B31" s="746" t="s">
        <v>2009</v>
      </c>
      <c r="C31" s="221"/>
      <c r="D31" s="734"/>
      <c r="E31" s="221"/>
      <c r="F31" s="486">
        <f ca="1">+'29-RetailRates-2'!M32</f>
        <v>228191990.32998911</v>
      </c>
      <c r="G31" s="735"/>
      <c r="H31" s="736">
        <f>SUM(H27:H29)</f>
        <v>6569148911</v>
      </c>
      <c r="I31" s="737" t="s">
        <v>1989</v>
      </c>
      <c r="J31" s="738">
        <f ca="1">F31/H31</f>
        <v>3.4736918499119876E-2</v>
      </c>
      <c r="K31" s="739" t="s">
        <v>1990</v>
      </c>
      <c r="L31" s="736"/>
      <c r="M31" s="748"/>
      <c r="N31" s="127">
        <f>A31</f>
        <v>110</v>
      </c>
    </row>
    <row r="32" spans="1:14">
      <c r="A32" s="127"/>
      <c r="D32" s="386"/>
      <c r="F32" s="163"/>
      <c r="G32" s="163"/>
      <c r="H32" s="379"/>
      <c r="I32" s="741"/>
      <c r="J32" s="742"/>
      <c r="K32" s="138"/>
      <c r="L32" s="379"/>
      <c r="N32" s="8"/>
    </row>
    <row r="33" spans="1:16">
      <c r="A33" s="127">
        <f>A31+1</f>
        <v>111</v>
      </c>
      <c r="B33" s="8" t="s">
        <v>2010</v>
      </c>
      <c r="D33" s="386" t="s">
        <v>1998</v>
      </c>
      <c r="F33" s="163"/>
      <c r="G33" s="163"/>
      <c r="H33" s="743">
        <v>10996890</v>
      </c>
      <c r="I33" s="741" t="s">
        <v>1996</v>
      </c>
      <c r="J33" s="744"/>
      <c r="K33" s="120"/>
      <c r="L33" s="379">
        <f>'29-RetailRates-2'!E34</f>
        <v>5743354916</v>
      </c>
      <c r="M33" s="745">
        <f ca="1">+H33*$J$39/L33</f>
        <v>2.7169727621419261E-2</v>
      </c>
      <c r="N33" s="127">
        <f>A33</f>
        <v>111</v>
      </c>
    </row>
    <row r="34" spans="1:16">
      <c r="A34" s="127"/>
      <c r="D34" s="386"/>
      <c r="F34" s="163"/>
      <c r="G34" s="163"/>
      <c r="H34" s="379"/>
      <c r="I34" s="741"/>
      <c r="J34" s="744"/>
      <c r="K34" s="138"/>
      <c r="L34" s="379"/>
      <c r="N34" s="8"/>
    </row>
    <row r="35" spans="1:16">
      <c r="A35" s="127">
        <f>A33+1</f>
        <v>112</v>
      </c>
      <c r="B35" s="8" t="s">
        <v>2010</v>
      </c>
      <c r="D35" s="386" t="s">
        <v>1999</v>
      </c>
      <c r="F35" s="163"/>
      <c r="G35" s="163"/>
      <c r="H35" s="743">
        <v>13080927</v>
      </c>
      <c r="I35" s="741" t="s">
        <v>1996</v>
      </c>
      <c r="J35" s="744"/>
      <c r="K35" s="120"/>
      <c r="L35" s="379">
        <f>'29-RetailRates-2'!E36</f>
        <v>6321274535</v>
      </c>
      <c r="M35" s="745">
        <f ca="1">+H35*$J$39/L35</f>
        <v>2.9363980580492662E-2</v>
      </c>
      <c r="N35" s="127">
        <f>A35</f>
        <v>112</v>
      </c>
    </row>
    <row r="36" spans="1:16">
      <c r="A36" s="127"/>
      <c r="D36" s="386"/>
      <c r="F36" s="163"/>
      <c r="G36" s="163"/>
      <c r="H36" s="379"/>
      <c r="I36" s="741"/>
      <c r="J36" s="744"/>
      <c r="K36" s="138"/>
      <c r="L36" s="379"/>
      <c r="N36" s="8"/>
    </row>
    <row r="37" spans="1:16">
      <c r="A37" s="127">
        <f>A35+1</f>
        <v>113</v>
      </c>
      <c r="B37" s="8" t="s">
        <v>2010</v>
      </c>
      <c r="D37" s="386" t="s">
        <v>2000</v>
      </c>
      <c r="F37" s="163"/>
      <c r="G37" s="163"/>
      <c r="H37" s="382">
        <v>4009315</v>
      </c>
      <c r="I37" s="741" t="s">
        <v>1996</v>
      </c>
      <c r="J37" s="744"/>
      <c r="K37" s="120"/>
      <c r="L37" s="379">
        <f>'29-RetailRates-2'!E38</f>
        <v>1821435326</v>
      </c>
      <c r="M37" s="745">
        <f ca="1">+H37*$J$39/L37</f>
        <v>3.1234710280936894E-2</v>
      </c>
      <c r="N37" s="127">
        <f>A37</f>
        <v>113</v>
      </c>
    </row>
    <row r="38" spans="1:16">
      <c r="A38" s="127"/>
      <c r="D38" s="386"/>
      <c r="F38" s="163"/>
      <c r="G38" s="379"/>
      <c r="H38" s="379"/>
      <c r="I38" s="407"/>
      <c r="J38" s="744"/>
      <c r="K38" s="120"/>
      <c r="L38" s="379"/>
      <c r="N38" s="8"/>
    </row>
    <row r="39" spans="1:16">
      <c r="A39" s="127">
        <f>A37+1</f>
        <v>114</v>
      </c>
      <c r="B39" s="746" t="s">
        <v>2011</v>
      </c>
      <c r="C39" s="221"/>
      <c r="D39" s="734"/>
      <c r="E39" s="221"/>
      <c r="F39" s="486">
        <f ca="1">+'29-RetailRates-2'!M40</f>
        <v>398555176.09363592</v>
      </c>
      <c r="G39" s="736"/>
      <c r="H39" s="736">
        <f>SUM(H33:H37)</f>
        <v>28087132</v>
      </c>
      <c r="I39" s="737" t="s">
        <v>1996</v>
      </c>
      <c r="J39" s="747">
        <f ca="1">F39/H39</f>
        <v>14.189956314999906</v>
      </c>
      <c r="K39" s="739" t="s">
        <v>2002</v>
      </c>
      <c r="L39" s="736"/>
      <c r="M39" s="748"/>
      <c r="N39" s="127">
        <f>A39</f>
        <v>114</v>
      </c>
    </row>
    <row r="40" spans="1:16">
      <c r="A40" s="127"/>
      <c r="D40" s="386"/>
      <c r="F40" s="163"/>
      <c r="G40" s="379"/>
      <c r="H40" s="379"/>
      <c r="I40" s="407"/>
      <c r="J40" s="406"/>
      <c r="K40" s="138"/>
      <c r="L40" s="379"/>
      <c r="N40" s="8"/>
    </row>
    <row r="41" spans="1:16">
      <c r="A41" s="127">
        <f>A39+1</f>
        <v>115</v>
      </c>
      <c r="B41" s="8" t="s">
        <v>2012</v>
      </c>
      <c r="D41" s="386" t="s">
        <v>1998</v>
      </c>
      <c r="F41" s="749"/>
      <c r="G41" s="163"/>
      <c r="H41" s="743">
        <v>7206768</v>
      </c>
      <c r="I41" s="741" t="s">
        <v>1996</v>
      </c>
      <c r="J41" s="853"/>
      <c r="K41" s="853"/>
      <c r="L41" s="379">
        <f>'29-RetailRates-2'!E45</f>
        <v>452505129</v>
      </c>
      <c r="M41" s="750">
        <f ca="1">($J$46*H41*0.85+$J$44*L41)/L41</f>
        <v>3.7385277929630069E-2</v>
      </c>
      <c r="N41" s="127">
        <f>A41</f>
        <v>115</v>
      </c>
    </row>
    <row r="42" spans="1:16">
      <c r="A42" s="127"/>
      <c r="D42" s="386"/>
      <c r="F42" s="749"/>
      <c r="G42" s="163"/>
      <c r="H42" s="379"/>
      <c r="I42" s="741"/>
      <c r="J42" s="730"/>
      <c r="K42" s="751"/>
      <c r="L42" s="379"/>
      <c r="M42" s="752"/>
      <c r="N42" s="8"/>
    </row>
    <row r="43" spans="1:16">
      <c r="A43" s="127">
        <f>A41+1</f>
        <v>116</v>
      </c>
      <c r="B43" s="8" t="s">
        <v>2012</v>
      </c>
      <c r="D43" s="386" t="s">
        <v>1999</v>
      </c>
      <c r="F43" s="749"/>
      <c r="G43" s="163"/>
      <c r="H43" s="743">
        <v>458684</v>
      </c>
      <c r="I43" s="741" t="s">
        <v>1996</v>
      </c>
      <c r="J43" s="853" t="s">
        <v>2013</v>
      </c>
      <c r="K43" s="853"/>
      <c r="L43" s="379">
        <f>'29-RetailRates-2'!E47</f>
        <v>13523930</v>
      </c>
      <c r="M43" s="750">
        <f ca="1">($J$46*H43*0.85+$J$44*L43)/L43</f>
        <v>5.8300823460055565E-2</v>
      </c>
      <c r="N43" s="127">
        <f>A43</f>
        <v>116</v>
      </c>
    </row>
    <row r="44" spans="1:16">
      <c r="A44" s="127"/>
      <c r="D44" s="386"/>
      <c r="F44" s="749"/>
      <c r="G44" s="163"/>
      <c r="H44" s="379"/>
      <c r="I44" s="741"/>
      <c r="J44" s="742">
        <f ca="1">(F47*0.5)/SUM(L41:L45)</f>
        <v>1.8869037922434283E-2</v>
      </c>
      <c r="K44" s="751" t="s">
        <v>1990</v>
      </c>
      <c r="L44" s="379"/>
      <c r="M44" s="752"/>
      <c r="N44" s="8"/>
    </row>
    <row r="45" spans="1:16">
      <c r="A45" s="127">
        <f>A43+1</f>
        <v>117</v>
      </c>
      <c r="B45" s="8" t="s">
        <v>2012</v>
      </c>
      <c r="D45" s="386" t="s">
        <v>2000</v>
      </c>
      <c r="F45" s="749"/>
      <c r="G45" s="163"/>
      <c r="H45" s="382">
        <v>72443</v>
      </c>
      <c r="I45" s="741" t="s">
        <v>1996</v>
      </c>
      <c r="J45" s="853" t="s">
        <v>2014</v>
      </c>
      <c r="K45" s="853"/>
      <c r="L45" s="379">
        <f>'29-RetailRates-2'!E49</f>
        <v>10740854</v>
      </c>
      <c r="M45" s="750">
        <f ca="1">($J$46*H45*0.85+$J$44*L45)/L45</f>
        <v>2.6710433796151591E-2</v>
      </c>
      <c r="N45" s="127">
        <f>A45</f>
        <v>117</v>
      </c>
    </row>
    <row r="46" spans="1:16">
      <c r="A46" s="127"/>
      <c r="D46" s="386"/>
      <c r="F46" s="749"/>
      <c r="G46" s="163"/>
      <c r="H46" s="379"/>
      <c r="I46" s="741"/>
      <c r="J46" s="744">
        <f ca="1">(F47*0.5)/(H47*0.85)</f>
        <v>1.3677818623453253</v>
      </c>
      <c r="K46" s="751" t="s">
        <v>2015</v>
      </c>
      <c r="L46" s="379"/>
      <c r="M46" s="752"/>
      <c r="N46" s="8"/>
    </row>
    <row r="47" spans="1:16">
      <c r="A47" s="127">
        <f>A45+1</f>
        <v>118</v>
      </c>
      <c r="B47" s="746" t="s">
        <v>2016</v>
      </c>
      <c r="C47" s="221"/>
      <c r="D47" s="734"/>
      <c r="E47" s="221"/>
      <c r="F47" s="486">
        <f ca="1">+'29-RetailRates-2'!M51</f>
        <v>17992379.137345389</v>
      </c>
      <c r="G47" s="736"/>
      <c r="H47" s="736">
        <f>SUM(H41:H45)</f>
        <v>7737895</v>
      </c>
      <c r="I47" s="737" t="s">
        <v>1996</v>
      </c>
      <c r="J47" s="221"/>
      <c r="K47" s="736"/>
      <c r="L47" s="736">
        <f>SUM(L41:L46)</f>
        <v>476769913</v>
      </c>
      <c r="M47" s="753">
        <f ca="1">($J$46*H47*0.85+$J$44*L47)/L47</f>
        <v>3.7738075844868567E-2</v>
      </c>
      <c r="N47" s="127">
        <f>A47</f>
        <v>118</v>
      </c>
      <c r="O47" s="18"/>
      <c r="P47" s="22"/>
    </row>
    <row r="48" spans="1:16">
      <c r="A48" s="127"/>
      <c r="C48" s="754"/>
      <c r="D48" s="755"/>
      <c r="E48" s="755"/>
      <c r="F48" s="755"/>
      <c r="G48" s="756"/>
      <c r="H48" s="749"/>
      <c r="J48" s="757"/>
      <c r="L48" s="379"/>
      <c r="M48" s="8"/>
      <c r="N48" s="8"/>
    </row>
    <row r="49" spans="1:14">
      <c r="A49" s="127">
        <f>A47+1</f>
        <v>119</v>
      </c>
      <c r="B49" s="138" t="s">
        <v>465</v>
      </c>
      <c r="D49" s="8" t="s">
        <v>2017</v>
      </c>
      <c r="F49" s="465">
        <f ca="1">SUM(F10:F47)</f>
        <v>3178955361.4831295</v>
      </c>
      <c r="G49" s="379"/>
      <c r="L49" s="379">
        <f>SUM(L11:L45)</f>
        <v>79644944528</v>
      </c>
      <c r="M49" s="745">
        <f ca="1">F49/L49</f>
        <v>3.9914088462520494E-2</v>
      </c>
      <c r="N49" s="127">
        <f>A49</f>
        <v>119</v>
      </c>
    </row>
    <row r="50" spans="1:14">
      <c r="B50" s="138"/>
      <c r="F50" s="758"/>
      <c r="G50" s="379"/>
      <c r="L50" s="379"/>
      <c r="M50" s="745"/>
      <c r="N50" s="8"/>
    </row>
    <row r="51" spans="1:14">
      <c r="F51" s="759"/>
      <c r="G51" s="379"/>
      <c r="H51" s="509"/>
      <c r="J51" s="509"/>
      <c r="L51" s="379"/>
      <c r="M51" s="745"/>
      <c r="N51" s="8"/>
    </row>
    <row r="52" spans="1:14">
      <c r="B52" s="206" t="s">
        <v>306</v>
      </c>
      <c r="E52" s="381"/>
      <c r="F52" s="217"/>
      <c r="G52" s="8"/>
      <c r="L52" s="379"/>
      <c r="M52" s="8"/>
      <c r="N52" s="8"/>
    </row>
    <row r="53" spans="1:14">
      <c r="B53" s="817" t="s">
        <v>2018</v>
      </c>
      <c r="C53" s="817"/>
      <c r="D53" s="817"/>
      <c r="E53" s="817"/>
      <c r="F53" s="817"/>
      <c r="G53" s="817"/>
      <c r="H53" s="817"/>
      <c r="I53" s="817"/>
      <c r="J53" s="817"/>
      <c r="K53" s="817"/>
      <c r="L53" s="817"/>
      <c r="M53" s="817"/>
      <c r="N53" s="8"/>
    </row>
    <row r="54" spans="1:14">
      <c r="B54" s="816" t="s">
        <v>2019</v>
      </c>
      <c r="C54" s="816"/>
      <c r="D54" s="816"/>
      <c r="E54" s="816"/>
      <c r="F54" s="816"/>
      <c r="G54" s="816"/>
      <c r="H54" s="816"/>
      <c r="I54" s="816"/>
      <c r="J54" s="816"/>
      <c r="K54" s="816"/>
      <c r="L54" s="816"/>
      <c r="M54" s="816"/>
      <c r="N54" s="8"/>
    </row>
    <row r="55" spans="1:14">
      <c r="B55" s="816"/>
      <c r="C55" s="816"/>
      <c r="D55" s="816"/>
      <c r="E55" s="816"/>
      <c r="F55" s="816"/>
      <c r="G55" s="816"/>
      <c r="H55" s="816"/>
      <c r="I55" s="816"/>
      <c r="J55" s="816"/>
      <c r="K55" s="816"/>
      <c r="L55" s="816"/>
      <c r="M55" s="816"/>
      <c r="N55" s="8"/>
    </row>
    <row r="56" spans="1:14">
      <c r="B56" s="816" t="s">
        <v>2020</v>
      </c>
      <c r="C56" s="816"/>
      <c r="D56" s="816"/>
      <c r="E56" s="816"/>
      <c r="F56" s="816"/>
      <c r="G56" s="816"/>
      <c r="H56" s="816"/>
      <c r="I56" s="816"/>
      <c r="J56" s="816"/>
      <c r="K56" s="816"/>
      <c r="L56" s="816"/>
      <c r="M56" s="816"/>
      <c r="N56" s="8"/>
    </row>
    <row r="57" spans="1:14" ht="29.45" customHeight="1">
      <c r="B57" s="816"/>
      <c r="C57" s="816"/>
      <c r="D57" s="816"/>
      <c r="E57" s="816"/>
      <c r="F57" s="816"/>
      <c r="G57" s="816"/>
      <c r="H57" s="816"/>
      <c r="I57" s="816"/>
      <c r="J57" s="816"/>
      <c r="K57" s="816"/>
      <c r="L57" s="816"/>
      <c r="M57" s="816"/>
      <c r="N57" s="8"/>
    </row>
  </sheetData>
  <mergeCells count="7">
    <mergeCell ref="B57:M57"/>
    <mergeCell ref="J41:K41"/>
    <mergeCell ref="J43:K43"/>
    <mergeCell ref="J45:K45"/>
    <mergeCell ref="B53:M53"/>
    <mergeCell ref="B54:M55"/>
    <mergeCell ref="B56:M56"/>
  </mergeCells>
  <printOptions horizontalCentered="1"/>
  <pageMargins left="1" right="1" top="1" bottom="1" header="0.5" footer="0.5"/>
  <pageSetup scale="59" orientation="portrait" r:id="rId1"/>
  <headerFooter alignWithMargins="0">
    <oddHeader>&amp;C&amp;"-,Bold"Pacific Gas and Electric Company
Formula Rate Model
Schedule 29-RetailRates-1</oddHeader>
  </headerFooter>
  <customProperties>
    <customPr name="_pios_id" r:id="rId2"/>
    <customPr name="EpmWorksheetKeyString_GUID" r:id="rId3"/>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A349-CE99-416F-A270-8DC54C9D19D7}">
  <sheetPr>
    <pageSetUpPr fitToPage="1"/>
  </sheetPr>
  <dimension ref="A1:P81"/>
  <sheetViews>
    <sheetView topLeftCell="A3" zoomScaleNormal="100" zoomScaleSheetLayoutView="70" workbookViewId="0">
      <selection activeCell="P45" sqref="P45"/>
    </sheetView>
  </sheetViews>
  <sheetFormatPr defaultColWidth="8.85546875" defaultRowHeight="15"/>
  <cols>
    <col min="1" max="2" width="5.7109375" style="8" customWidth="1"/>
    <col min="3" max="3" width="18.42578125" style="8" customWidth="1"/>
    <col min="4" max="4" width="19.5703125" style="379" customWidth="1"/>
    <col min="5" max="5" width="19.28515625" style="8" customWidth="1"/>
    <col min="6" max="6" width="16.7109375" style="8" customWidth="1"/>
    <col min="7" max="7" width="18.5703125" style="8" customWidth="1"/>
    <col min="8" max="8" width="10.42578125" style="8" customWidth="1"/>
    <col min="9" max="9" width="18.5703125" style="8" customWidth="1"/>
    <col min="10" max="10" width="2" style="8" customWidth="1"/>
    <col min="11" max="12" width="16.5703125" style="384" customWidth="1"/>
    <col min="13" max="13" width="21.28515625" style="18" customWidth="1"/>
    <col min="14" max="14" width="6.7109375" style="8" customWidth="1"/>
    <col min="15" max="15" width="12.7109375" style="379" customWidth="1"/>
    <col min="16" max="16384" width="8.85546875" style="8"/>
  </cols>
  <sheetData>
    <row r="1" spans="1:16">
      <c r="B1" s="201" t="s">
        <v>75</v>
      </c>
      <c r="M1" s="6" t="s">
        <v>1969</v>
      </c>
    </row>
    <row r="2" spans="1:16">
      <c r="B2" s="201" t="s">
        <v>2021</v>
      </c>
      <c r="C2" s="383"/>
      <c r="D2" s="405"/>
      <c r="E2" s="143"/>
      <c r="F2" s="143"/>
      <c r="K2" s="406"/>
      <c r="L2" s="406">
        <v>5</v>
      </c>
      <c r="M2" s="126" t="s">
        <v>2022</v>
      </c>
    </row>
    <row r="3" spans="1:16">
      <c r="B3" s="413" t="s">
        <v>131</v>
      </c>
      <c r="C3" s="413"/>
      <c r="D3" s="413"/>
      <c r="E3" s="143"/>
      <c r="F3" s="143"/>
      <c r="K3" s="406"/>
      <c r="L3" s="406"/>
    </row>
    <row r="4" spans="1:16" ht="15.75" thickBot="1">
      <c r="B4" s="201"/>
      <c r="C4" s="383"/>
      <c r="D4" s="405"/>
      <c r="E4" s="407"/>
      <c r="F4" s="143"/>
      <c r="G4" s="18"/>
      <c r="H4" s="18"/>
      <c r="I4" s="18"/>
      <c r="K4" s="406"/>
      <c r="L4" s="406"/>
      <c r="M4" s="126"/>
    </row>
    <row r="5" spans="1:16">
      <c r="B5" s="201"/>
      <c r="C5" s="731"/>
      <c r="D5" s="501" t="s">
        <v>371</v>
      </c>
      <c r="E5" s="502" t="s">
        <v>372</v>
      </c>
      <c r="F5" s="118" t="s">
        <v>373</v>
      </c>
      <c r="G5" s="118" t="s">
        <v>374</v>
      </c>
      <c r="H5" s="118" t="s">
        <v>375</v>
      </c>
      <c r="I5" s="503" t="s">
        <v>376</v>
      </c>
      <c r="J5" s="206"/>
      <c r="K5" s="502" t="s">
        <v>377</v>
      </c>
      <c r="L5" s="581" t="s">
        <v>378</v>
      </c>
      <c r="M5" s="118" t="s">
        <v>409</v>
      </c>
    </row>
    <row r="6" spans="1:16">
      <c r="B6" s="201"/>
      <c r="C6" s="731"/>
      <c r="D6" s="501"/>
      <c r="E6" s="502"/>
      <c r="F6" s="118"/>
      <c r="G6" s="118"/>
      <c r="H6" s="118"/>
      <c r="I6" s="503"/>
      <c r="J6" s="206"/>
      <c r="K6" s="502"/>
      <c r="L6" s="582"/>
      <c r="M6" s="118"/>
    </row>
    <row r="7" spans="1:16">
      <c r="B7" s="143"/>
      <c r="C7" s="383"/>
      <c r="D7" s="384" t="s">
        <v>111</v>
      </c>
      <c r="E7" s="384" t="s">
        <v>203</v>
      </c>
      <c r="F7" s="384" t="s">
        <v>251</v>
      </c>
      <c r="G7" s="760" t="s">
        <v>2023</v>
      </c>
      <c r="H7" s="384" t="s">
        <v>287</v>
      </c>
      <c r="I7" s="760" t="s">
        <v>2024</v>
      </c>
      <c r="K7" s="760" t="s">
        <v>2025</v>
      </c>
      <c r="L7" s="761" t="s">
        <v>2026</v>
      </c>
      <c r="M7" s="136" t="s">
        <v>2027</v>
      </c>
    </row>
    <row r="8" spans="1:16">
      <c r="D8" s="384" t="s">
        <v>2028</v>
      </c>
      <c r="E8" s="136" t="s">
        <v>2029</v>
      </c>
      <c r="F8" s="384" t="s">
        <v>2028</v>
      </c>
      <c r="G8" s="18" t="s">
        <v>2030</v>
      </c>
      <c r="H8" s="402" t="s">
        <v>2031</v>
      </c>
      <c r="I8" s="18" t="s">
        <v>2030</v>
      </c>
      <c r="K8" s="403" t="s">
        <v>2032</v>
      </c>
      <c r="L8" s="583" t="s">
        <v>2033</v>
      </c>
      <c r="M8" s="18" t="s">
        <v>1974</v>
      </c>
      <c r="P8" s="95"/>
    </row>
    <row r="9" spans="1:16">
      <c r="D9" s="762" t="s">
        <v>2034</v>
      </c>
      <c r="E9" s="404" t="s">
        <v>2035</v>
      </c>
      <c r="F9" s="762" t="str">
        <f>D9</f>
        <v>5-Year Historical</v>
      </c>
      <c r="G9" s="763" t="str">
        <f>CONCATENATE("Scaled to ",E4)</f>
        <v xml:space="preserve">Scaled to </v>
      </c>
      <c r="H9" s="402" t="s">
        <v>2036</v>
      </c>
      <c r="I9" s="403" t="s">
        <v>2037</v>
      </c>
      <c r="K9" s="403" t="s">
        <v>2038</v>
      </c>
      <c r="L9" s="583" t="s">
        <v>2039</v>
      </c>
      <c r="M9" s="18" t="s">
        <v>1981</v>
      </c>
      <c r="P9" s="95"/>
    </row>
    <row r="10" spans="1:16">
      <c r="A10" s="115" t="s">
        <v>100</v>
      </c>
      <c r="B10" s="733" t="s">
        <v>1979</v>
      </c>
      <c r="C10" s="733" t="s">
        <v>1980</v>
      </c>
      <c r="D10" s="764" t="s">
        <v>1985</v>
      </c>
      <c r="E10" s="733" t="s">
        <v>1985</v>
      </c>
      <c r="F10" s="733" t="s">
        <v>2040</v>
      </c>
      <c r="G10" s="733" t="s">
        <v>2040</v>
      </c>
      <c r="H10" s="765" t="s">
        <v>2041</v>
      </c>
      <c r="I10" s="733" t="s">
        <v>2040</v>
      </c>
      <c r="J10" s="111"/>
      <c r="K10" s="766" t="s">
        <v>2042</v>
      </c>
      <c r="L10" s="584" t="s">
        <v>2043</v>
      </c>
      <c r="M10" s="733" t="s">
        <v>2044</v>
      </c>
      <c r="N10" s="115" t="str">
        <f>A10</f>
        <v>Line</v>
      </c>
      <c r="P10" s="95"/>
    </row>
    <row r="11" spans="1:16">
      <c r="H11" s="402"/>
      <c r="K11" s="401"/>
      <c r="L11" s="585"/>
      <c r="M11" s="138"/>
      <c r="P11" s="95"/>
    </row>
    <row r="12" spans="1:16">
      <c r="A12" s="127">
        <v>100</v>
      </c>
      <c r="B12" s="8" t="s">
        <v>1987</v>
      </c>
      <c r="C12" s="8" t="s">
        <v>1988</v>
      </c>
      <c r="D12" s="743">
        <v>28496540705</v>
      </c>
      <c r="E12" s="743">
        <v>27986117172</v>
      </c>
      <c r="F12" s="394">
        <v>72869423</v>
      </c>
      <c r="G12" s="379">
        <f>(E12/D12)*F12</f>
        <v>71564202.527088165</v>
      </c>
      <c r="H12" s="767">
        <v>1.1384794179171955</v>
      </c>
      <c r="I12" s="768">
        <f>H12*G12</f>
        <v>81474371.636747628</v>
      </c>
      <c r="K12" s="769">
        <f>I12/I$42</f>
        <v>0.4651878700151878</v>
      </c>
      <c r="L12" s="770">
        <f>(I12/I$42)*L$42</f>
        <v>0.46255498103888509</v>
      </c>
      <c r="M12" s="465">
        <f ca="1">L12*$M$56</f>
        <v>1470441636.9542913</v>
      </c>
      <c r="N12" s="127">
        <f>A12</f>
        <v>100</v>
      </c>
      <c r="P12" s="95"/>
    </row>
    <row r="13" spans="1:16">
      <c r="A13" s="127"/>
      <c r="D13" s="768" t="s">
        <v>2045</v>
      </c>
      <c r="E13" s="743">
        <v>46977</v>
      </c>
      <c r="F13" s="396"/>
      <c r="G13" s="379"/>
      <c r="H13" s="402"/>
      <c r="I13" s="379"/>
      <c r="K13" s="769"/>
      <c r="L13" s="770"/>
      <c r="M13" s="163"/>
      <c r="N13" s="127"/>
      <c r="P13" s="95"/>
    </row>
    <row r="14" spans="1:16">
      <c r="A14" s="127">
        <f>A12+1</f>
        <v>101</v>
      </c>
      <c r="B14" s="8" t="s">
        <v>1992</v>
      </c>
      <c r="C14" s="8" t="s">
        <v>1993</v>
      </c>
      <c r="D14" s="743">
        <v>8160989959</v>
      </c>
      <c r="E14" s="743">
        <v>8170970533</v>
      </c>
      <c r="F14" s="394">
        <v>14570749</v>
      </c>
      <c r="G14" s="379">
        <f>(E14/D14)*F14</f>
        <v>14588568.460550806</v>
      </c>
      <c r="H14" s="402">
        <f>$H$12</f>
        <v>1.1384794179171955</v>
      </c>
      <c r="I14" s="768">
        <f>H14*G14</f>
        <v>16608784.929213038</v>
      </c>
      <c r="K14" s="769">
        <f>I14/I$42</f>
        <v>9.4829884901820968E-2</v>
      </c>
      <c r="L14" s="770">
        <f>(I14/I$42)*L$42</f>
        <v>9.429316291340388E-2</v>
      </c>
      <c r="M14" s="465">
        <f ca="1">L14*$M$56</f>
        <v>299753755.7947675</v>
      </c>
      <c r="N14" s="127">
        <f>A14</f>
        <v>101</v>
      </c>
      <c r="P14" s="95"/>
    </row>
    <row r="15" spans="1:16">
      <c r="A15" s="127"/>
      <c r="E15" s="379"/>
      <c r="F15" s="396"/>
      <c r="G15" s="379"/>
      <c r="H15" s="402"/>
      <c r="I15" s="379"/>
      <c r="K15" s="769"/>
      <c r="L15" s="770"/>
      <c r="M15" s="758"/>
      <c r="N15" s="127"/>
      <c r="P15" s="95"/>
    </row>
    <row r="16" spans="1:16">
      <c r="A16" s="127">
        <f>A14+1</f>
        <v>102</v>
      </c>
      <c r="B16" s="8" t="s">
        <v>1994</v>
      </c>
      <c r="C16" s="8" t="s">
        <v>1995</v>
      </c>
      <c r="D16" s="743">
        <v>8254004798</v>
      </c>
      <c r="E16" s="743">
        <v>7905628709</v>
      </c>
      <c r="F16" s="394">
        <v>14077219</v>
      </c>
      <c r="G16" s="379">
        <f>(E16/D16)*F16</f>
        <v>13483062.997037074</v>
      </c>
      <c r="H16" s="402">
        <f>$H$12</f>
        <v>1.1384794179171955</v>
      </c>
      <c r="I16" s="768">
        <f>H16*G16</f>
        <v>15350189.712607646</v>
      </c>
      <c r="K16" s="769"/>
      <c r="L16" s="770"/>
      <c r="M16" s="758"/>
      <c r="N16" s="127">
        <f>A16</f>
        <v>102</v>
      </c>
      <c r="P16" s="95"/>
    </row>
    <row r="17" spans="1:16">
      <c r="A17" s="127"/>
      <c r="E17" s="379"/>
      <c r="F17" s="396"/>
      <c r="G17" s="379"/>
      <c r="H17" s="402"/>
      <c r="I17" s="379"/>
      <c r="K17" s="769"/>
      <c r="L17" s="770"/>
      <c r="M17" s="758"/>
      <c r="N17" s="127"/>
      <c r="P17" s="95"/>
    </row>
    <row r="18" spans="1:16">
      <c r="A18" s="127">
        <f>A16+1</f>
        <v>103</v>
      </c>
      <c r="B18" s="8" t="s">
        <v>1997</v>
      </c>
      <c r="C18" s="8" t="s">
        <v>1998</v>
      </c>
      <c r="D18" s="743">
        <v>34944741</v>
      </c>
      <c r="E18" s="399">
        <v>47969131</v>
      </c>
      <c r="F18" s="394">
        <v>52369</v>
      </c>
      <c r="G18" s="379">
        <f>(E18/D18)*F18</f>
        <v>71887.653176167471</v>
      </c>
      <c r="H18" s="767">
        <v>1.0435094</v>
      </c>
      <c r="I18" s="768">
        <f>H18*G18</f>
        <v>75015.441833270612</v>
      </c>
      <c r="K18" s="769"/>
      <c r="L18" s="770"/>
      <c r="M18" s="758"/>
      <c r="N18" s="127">
        <f>A18</f>
        <v>103</v>
      </c>
      <c r="P18" s="95"/>
    </row>
    <row r="19" spans="1:16">
      <c r="A19" s="127"/>
      <c r="E19" s="400"/>
      <c r="F19" s="396"/>
      <c r="G19" s="379"/>
      <c r="H19" s="402"/>
      <c r="I19" s="379"/>
      <c r="K19" s="769"/>
      <c r="L19" s="770"/>
      <c r="M19" s="758"/>
      <c r="N19" s="127"/>
      <c r="P19" s="95"/>
    </row>
    <row r="20" spans="1:16">
      <c r="A20" s="127">
        <f>A18+1</f>
        <v>104</v>
      </c>
      <c r="B20" s="8" t="s">
        <v>1997</v>
      </c>
      <c r="C20" s="8" t="s">
        <v>1999</v>
      </c>
      <c r="D20" s="743">
        <v>1073071755</v>
      </c>
      <c r="E20" s="399">
        <v>1295857674</v>
      </c>
      <c r="F20" s="394">
        <v>1639231</v>
      </c>
      <c r="G20" s="379">
        <f>(E20/D20)*F20</f>
        <v>1979560.1374380542</v>
      </c>
      <c r="H20" s="767">
        <v>1.074143946010695</v>
      </c>
      <c r="I20" s="768">
        <f>H20*G20</f>
        <v>2126332.5373931853</v>
      </c>
      <c r="K20" s="769"/>
      <c r="L20" s="770"/>
      <c r="M20" s="758"/>
      <c r="N20" s="127">
        <f>A20</f>
        <v>104</v>
      </c>
      <c r="P20" s="95"/>
    </row>
    <row r="21" spans="1:16">
      <c r="A21" s="127"/>
      <c r="E21" s="400"/>
      <c r="F21" s="396"/>
      <c r="G21" s="379"/>
      <c r="H21" s="402"/>
      <c r="I21" s="379"/>
      <c r="K21" s="769"/>
      <c r="L21" s="770"/>
      <c r="M21" s="758"/>
      <c r="N21" s="127"/>
      <c r="P21" s="95"/>
    </row>
    <row r="22" spans="1:16">
      <c r="A22" s="127">
        <f>A20+1</f>
        <v>105</v>
      </c>
      <c r="B22" s="8" t="s">
        <v>1997</v>
      </c>
      <c r="C22" s="8" t="s">
        <v>2000</v>
      </c>
      <c r="D22" s="743">
        <v>11941630330</v>
      </c>
      <c r="E22" s="399">
        <v>13079422246</v>
      </c>
      <c r="F22" s="394">
        <v>19552468</v>
      </c>
      <c r="G22" s="379">
        <f>(E22/D22)*F22</f>
        <v>21415416.308855299</v>
      </c>
      <c r="H22" s="402">
        <f>$H$12</f>
        <v>1.1384794179171955</v>
      </c>
      <c r="I22" s="768">
        <f>H22*G22</f>
        <v>24381010.693759996</v>
      </c>
      <c r="K22" s="769"/>
      <c r="L22" s="770"/>
      <c r="M22" s="758"/>
      <c r="N22" s="127">
        <f>A22</f>
        <v>105</v>
      </c>
      <c r="P22" s="95"/>
    </row>
    <row r="23" spans="1:16">
      <c r="A23" s="127"/>
      <c r="E23" s="379"/>
      <c r="F23" s="396"/>
      <c r="G23" s="379"/>
      <c r="H23" s="402"/>
      <c r="I23" s="379"/>
      <c r="K23" s="769"/>
      <c r="L23" s="770"/>
      <c r="M23" s="758"/>
      <c r="N23" s="127"/>
      <c r="P23" s="95"/>
    </row>
    <row r="24" spans="1:16">
      <c r="A24" s="127">
        <f>A22+1</f>
        <v>106</v>
      </c>
      <c r="B24" s="8" t="s">
        <v>2001</v>
      </c>
      <c r="D24" s="379">
        <f>SUM(D16,D18,D20,D22)</f>
        <v>21303651624</v>
      </c>
      <c r="E24" s="379">
        <f t="shared" ref="E24:F24" si="0">SUM(E16,E18,E20,E22)</f>
        <v>22328877760</v>
      </c>
      <c r="F24" s="379">
        <f t="shared" si="0"/>
        <v>35321287</v>
      </c>
      <c r="G24" s="379">
        <f>SUM(G16:G22)</f>
        <v>36949927.096506596</v>
      </c>
      <c r="H24" s="379"/>
      <c r="I24" s="379">
        <f>SUM(I16:I22)</f>
        <v>41932548.3855941</v>
      </c>
      <c r="K24" s="769">
        <f>I24/I$42</f>
        <v>0.23941900349686454</v>
      </c>
      <c r="L24" s="770">
        <f>(I24/I$42)*L$42</f>
        <v>0.2380639302121641</v>
      </c>
      <c r="M24" s="465">
        <f ca="1">L24*$M$56</f>
        <v>756794607.32370472</v>
      </c>
      <c r="N24" s="127">
        <f>A24</f>
        <v>106</v>
      </c>
      <c r="P24" s="95"/>
    </row>
    <row r="25" spans="1:16">
      <c r="A25" s="127"/>
      <c r="E25" s="379"/>
      <c r="F25" s="396"/>
      <c r="G25" s="379"/>
      <c r="H25" s="402"/>
      <c r="I25" s="379"/>
      <c r="K25" s="769"/>
      <c r="L25" s="770"/>
      <c r="M25" s="758"/>
      <c r="N25" s="127"/>
      <c r="P25" s="95"/>
    </row>
    <row r="26" spans="1:16">
      <c r="A26" s="127">
        <f>A24+1</f>
        <v>107</v>
      </c>
      <c r="B26" s="8" t="s">
        <v>2003</v>
      </c>
      <c r="C26" s="8" t="s">
        <v>2004</v>
      </c>
      <c r="D26" s="743">
        <v>275078700</v>
      </c>
      <c r="E26" s="743">
        <v>226995462</v>
      </c>
      <c r="F26" s="394">
        <v>426162</v>
      </c>
      <c r="G26" s="379">
        <f>(E26/D26)*F26</f>
        <v>351669.68608199764</v>
      </c>
      <c r="H26" s="402">
        <f>$H$12</f>
        <v>1.1384794179171955</v>
      </c>
      <c r="I26" s="768">
        <f>H26*G26</f>
        <v>400368.69950975553</v>
      </c>
      <c r="K26" s="769">
        <f>I26/I$42</f>
        <v>2.2859539607874746E-3</v>
      </c>
      <c r="L26" s="770">
        <f>(I26/I$42)*L$42</f>
        <v>2.273015826817007E-3</v>
      </c>
      <c r="M26" s="465">
        <f ca="1">L26*$M$56</f>
        <v>7225815.8493959336</v>
      </c>
      <c r="N26" s="127">
        <f>A26</f>
        <v>107</v>
      </c>
      <c r="P26" s="95"/>
    </row>
    <row r="27" spans="1:16">
      <c r="A27" s="127"/>
      <c r="E27" s="379"/>
      <c r="F27" s="396"/>
      <c r="G27" s="379"/>
      <c r="H27" s="402"/>
      <c r="I27" s="379"/>
      <c r="K27" s="769"/>
      <c r="L27" s="770"/>
      <c r="M27" s="758"/>
      <c r="N27" s="127"/>
      <c r="P27" s="95"/>
    </row>
    <row r="28" spans="1:16">
      <c r="A28" s="127">
        <f>A26+1</f>
        <v>108</v>
      </c>
      <c r="B28" s="8" t="s">
        <v>2005</v>
      </c>
      <c r="C28" s="8" t="s">
        <v>2006</v>
      </c>
      <c r="D28" s="397">
        <v>492302512</v>
      </c>
      <c r="E28" s="743">
        <v>397561552</v>
      </c>
      <c r="F28" s="394">
        <v>763808</v>
      </c>
      <c r="G28" s="379">
        <f>(E28/D28)*F28</f>
        <v>616817.27496449579</v>
      </c>
      <c r="H28" s="402">
        <f>$H$12</f>
        <v>1.1384794179171955</v>
      </c>
      <c r="I28" s="768">
        <f>H28*G28</f>
        <v>702233.7721628499</v>
      </c>
      <c r="K28" s="769"/>
      <c r="L28" s="770"/>
      <c r="M28" s="758"/>
      <c r="N28" s="127">
        <f>A28</f>
        <v>108</v>
      </c>
      <c r="P28" s="95"/>
    </row>
    <row r="29" spans="1:16">
      <c r="A29" s="127"/>
      <c r="D29" s="398"/>
      <c r="E29" s="379"/>
      <c r="F29" s="396"/>
      <c r="G29" s="379"/>
      <c r="H29" s="402"/>
      <c r="I29" s="379"/>
      <c r="K29" s="769"/>
      <c r="L29" s="770"/>
      <c r="M29" s="758"/>
      <c r="N29" s="127"/>
      <c r="P29" s="95"/>
    </row>
    <row r="30" spans="1:16">
      <c r="A30" s="127">
        <f>A28+1</f>
        <v>109</v>
      </c>
      <c r="B30" s="8" t="s">
        <v>2007</v>
      </c>
      <c r="C30" s="8" t="s">
        <v>2008</v>
      </c>
      <c r="D30" s="397">
        <v>5488060003</v>
      </c>
      <c r="E30" s="743">
        <v>6171587359</v>
      </c>
      <c r="F30" s="394">
        <v>9327255</v>
      </c>
      <c r="G30" s="379">
        <f>(E30/D30)*F30</f>
        <v>10488946.73540426</v>
      </c>
      <c r="H30" s="402">
        <f>$H$12</f>
        <v>1.1384794179171955</v>
      </c>
      <c r="I30" s="768">
        <f>H30*G30</f>
        <v>11941449.973887511</v>
      </c>
      <c r="K30" s="769"/>
      <c r="L30" s="770"/>
      <c r="M30" s="758"/>
      <c r="N30" s="127">
        <f>A30</f>
        <v>109</v>
      </c>
      <c r="P30" s="95"/>
    </row>
    <row r="31" spans="1:16">
      <c r="A31" s="127"/>
      <c r="D31" s="8"/>
      <c r="E31" s="379"/>
      <c r="F31" s="396"/>
      <c r="G31" s="379"/>
      <c r="H31" s="402"/>
      <c r="I31" s="379"/>
      <c r="K31" s="769"/>
      <c r="L31" s="770"/>
      <c r="M31" s="758"/>
      <c r="N31" s="127"/>
      <c r="P31" s="95"/>
    </row>
    <row r="32" spans="1:16">
      <c r="A32" s="127">
        <f>A30+1</f>
        <v>110</v>
      </c>
      <c r="B32" s="8" t="s">
        <v>2009</v>
      </c>
      <c r="D32" s="379">
        <f>SUM(D28:D31)</f>
        <v>5980362515</v>
      </c>
      <c r="E32" s="379">
        <f>SUM(E28:E31)</f>
        <v>6569148911</v>
      </c>
      <c r="F32" s="379">
        <f>SUM(F28:F31)</f>
        <v>10091063</v>
      </c>
      <c r="G32" s="379">
        <f>SUM(G28:G31)</f>
        <v>11105764.010368757</v>
      </c>
      <c r="H32" s="402"/>
      <c r="I32" s="379">
        <f>SUM(I28:I31)</f>
        <v>12643683.74605036</v>
      </c>
      <c r="K32" s="769">
        <f>I32/I$42</f>
        <v>7.2190655697158906E-2</v>
      </c>
      <c r="L32" s="770">
        <f>(I32/I$42)*L$42</f>
        <v>7.1782068126784573E-2</v>
      </c>
      <c r="M32" s="465">
        <f ca="1">L32*$M$56</f>
        <v>228191990.32998911</v>
      </c>
      <c r="N32" s="127">
        <f>A32</f>
        <v>110</v>
      </c>
      <c r="P32" s="95"/>
    </row>
    <row r="33" spans="1:16">
      <c r="A33" s="127"/>
      <c r="D33" s="8"/>
      <c r="E33" s="379"/>
      <c r="F33" s="396"/>
      <c r="G33" s="379"/>
      <c r="H33" s="402"/>
      <c r="I33" s="379"/>
      <c r="K33" s="769"/>
      <c r="L33" s="770"/>
      <c r="M33" s="758"/>
      <c r="N33" s="127"/>
      <c r="P33" s="95"/>
    </row>
    <row r="34" spans="1:16">
      <c r="A34" s="127">
        <f>A32+1</f>
        <v>111</v>
      </c>
      <c r="B34" s="8" t="s">
        <v>2010</v>
      </c>
      <c r="C34" s="8" t="s">
        <v>1998</v>
      </c>
      <c r="D34" s="392">
        <v>5957481110</v>
      </c>
      <c r="E34" s="743">
        <v>5743354916</v>
      </c>
      <c r="F34" s="394">
        <v>8586365</v>
      </c>
      <c r="G34" s="379">
        <f>(E34/D34)*F34</f>
        <v>8277750.3986614132</v>
      </c>
      <c r="H34" s="402">
        <f>$H$18</f>
        <v>1.0435094</v>
      </c>
      <c r="I34" s="768">
        <f>H34*G34</f>
        <v>8637910.351856932</v>
      </c>
      <c r="K34" s="769"/>
      <c r="L34" s="770"/>
      <c r="M34" s="758"/>
      <c r="N34" s="127">
        <f>A34</f>
        <v>111</v>
      </c>
      <c r="P34" s="95"/>
    </row>
    <row r="35" spans="1:16">
      <c r="A35" s="127"/>
      <c r="D35" s="393"/>
      <c r="E35" s="379"/>
      <c r="F35" s="396"/>
      <c r="G35" s="379"/>
      <c r="H35" s="402"/>
      <c r="I35" s="379"/>
      <c r="K35" s="769"/>
      <c r="L35" s="770"/>
      <c r="M35" s="758"/>
      <c r="N35" s="127"/>
      <c r="P35" s="95"/>
    </row>
    <row r="36" spans="1:16">
      <c r="A36" s="127">
        <f>A34+1</f>
        <v>112</v>
      </c>
      <c r="B36" s="8" t="s">
        <v>2010</v>
      </c>
      <c r="C36" s="8" t="s">
        <v>1999</v>
      </c>
      <c r="D36" s="392">
        <v>6420528775</v>
      </c>
      <c r="E36" s="743">
        <v>6321274535</v>
      </c>
      <c r="F36" s="394">
        <v>9743047</v>
      </c>
      <c r="G36" s="379">
        <f>(E36/D36)*F36</f>
        <v>9592430.320415182</v>
      </c>
      <c r="H36" s="402">
        <f>$H$20</f>
        <v>1.074143946010695</v>
      </c>
      <c r="I36" s="768">
        <f>H36*G36</f>
        <v>10303650.956203399</v>
      </c>
      <c r="K36" s="769"/>
      <c r="L36" s="770"/>
      <c r="M36" s="758"/>
      <c r="N36" s="127">
        <f>A36</f>
        <v>112</v>
      </c>
      <c r="P36" s="95"/>
    </row>
    <row r="37" spans="1:16">
      <c r="A37" s="127"/>
      <c r="D37" s="393"/>
      <c r="E37" s="379"/>
      <c r="F37" s="396"/>
      <c r="G37" s="379"/>
      <c r="H37" s="402"/>
      <c r="I37" s="379"/>
      <c r="K37" s="769"/>
      <c r="L37" s="770"/>
      <c r="M37" s="758"/>
      <c r="N37" s="127"/>
      <c r="P37" s="95"/>
    </row>
    <row r="38" spans="1:16">
      <c r="A38" s="127">
        <f>A36+1</f>
        <v>113</v>
      </c>
      <c r="B38" s="8" t="s">
        <v>2010</v>
      </c>
      <c r="C38" s="8" t="s">
        <v>2000</v>
      </c>
      <c r="D38" s="392">
        <v>2228297318</v>
      </c>
      <c r="E38" s="743">
        <v>1821435326</v>
      </c>
      <c r="F38" s="394">
        <v>3375889</v>
      </c>
      <c r="G38" s="379">
        <f>(E38/D38)*F38</f>
        <v>2759489.6926832874</v>
      </c>
      <c r="H38" s="402">
        <f>$H$12</f>
        <v>1.1384794179171955</v>
      </c>
      <c r="I38" s="768">
        <f>H38*G38</f>
        <v>3141622.2190745696</v>
      </c>
      <c r="K38" s="769"/>
      <c r="L38" s="770"/>
      <c r="M38" s="758"/>
      <c r="N38" s="127">
        <f>A38</f>
        <v>113</v>
      </c>
      <c r="P38" s="95"/>
    </row>
    <row r="39" spans="1:16">
      <c r="A39" s="127"/>
      <c r="D39" s="393"/>
      <c r="E39" s="379"/>
      <c r="F39" s="395"/>
      <c r="G39" s="379"/>
      <c r="H39" s="402"/>
      <c r="I39" s="379"/>
      <c r="K39" s="769"/>
      <c r="L39" s="770"/>
      <c r="M39" s="758"/>
      <c r="N39" s="127"/>
      <c r="P39" s="95"/>
    </row>
    <row r="40" spans="1:16">
      <c r="A40" s="127">
        <f>A38+1</f>
        <v>114</v>
      </c>
      <c r="B40" s="8" t="s">
        <v>2011</v>
      </c>
      <c r="D40" s="379">
        <f>SUM(D34:D39)</f>
        <v>14606307203</v>
      </c>
      <c r="E40" s="379">
        <f>SUM(E34:E39)</f>
        <v>13886064777</v>
      </c>
      <c r="F40" s="379">
        <f>SUM(F34:F39)</f>
        <v>21705301</v>
      </c>
      <c r="G40" s="379">
        <f>SUM(G34:G39)</f>
        <v>20629670.411759883</v>
      </c>
      <c r="H40" s="402"/>
      <c r="I40" s="379">
        <f>SUM(I34:I39)</f>
        <v>22083183.527134903</v>
      </c>
      <c r="K40" s="769">
        <f>I40/I$42</f>
        <v>0.12608663192818026</v>
      </c>
      <c r="L40" s="770">
        <f>(I40/I$42)*L$42</f>
        <v>0.12537300174850252</v>
      </c>
      <c r="M40" s="465">
        <f ca="1">L40*$M$56</f>
        <v>398555176.09363592</v>
      </c>
      <c r="N40" s="127">
        <f>A40</f>
        <v>114</v>
      </c>
      <c r="P40" s="95"/>
    </row>
    <row r="41" spans="1:16">
      <c r="A41" s="127"/>
      <c r="D41" s="393"/>
      <c r="E41" s="379"/>
      <c r="F41" s="395"/>
      <c r="G41" s="379"/>
      <c r="H41" s="402"/>
      <c r="I41" s="379"/>
      <c r="K41" s="771"/>
      <c r="L41" s="770"/>
      <c r="M41" s="758"/>
      <c r="N41" s="127"/>
      <c r="P41" s="95"/>
    </row>
    <row r="42" spans="1:16">
      <c r="A42" s="127">
        <f>A40+1</f>
        <v>115</v>
      </c>
      <c r="B42" s="138" t="s">
        <v>2046</v>
      </c>
      <c r="C42" s="138"/>
      <c r="D42" s="406">
        <f>+D12+D14+D24+D26+D32+D40</f>
        <v>78822930706</v>
      </c>
      <c r="E42" s="406">
        <f>+E12+E14+E24+E26+E32+E40</f>
        <v>79168174615</v>
      </c>
      <c r="F42" s="406">
        <f>+F12+F14+F24+F26+F32+F40</f>
        <v>154983985</v>
      </c>
      <c r="G42" s="406">
        <f>+G12+G14+G24+G26+G32+G40</f>
        <v>155189802.1923562</v>
      </c>
      <c r="H42" s="138"/>
      <c r="I42" s="406">
        <f>+I12+I14+I24+I26+I32+I40</f>
        <v>175142940.9242498</v>
      </c>
      <c r="J42" s="138"/>
      <c r="K42" s="772">
        <f>SUM(K12:K41)</f>
        <v>0.99999999999999989</v>
      </c>
      <c r="L42" s="806">
        <f>1-L51</f>
        <v>0.99434015986655722</v>
      </c>
      <c r="M42" s="465">
        <f ca="1">L42*$M$56</f>
        <v>3160962982.3457847</v>
      </c>
      <c r="N42" s="127">
        <f>A42</f>
        <v>115</v>
      </c>
      <c r="P42" s="95"/>
    </row>
    <row r="43" spans="1:16">
      <c r="A43" s="127"/>
      <c r="D43" s="393"/>
      <c r="E43" s="379"/>
      <c r="F43" s="395"/>
      <c r="G43" s="379"/>
      <c r="H43" s="402"/>
      <c r="I43" s="379"/>
      <c r="K43" s="771"/>
      <c r="L43" s="770"/>
      <c r="M43" s="758"/>
      <c r="N43" s="127"/>
      <c r="P43" s="95"/>
    </row>
    <row r="44" spans="1:16">
      <c r="A44" s="127"/>
      <c r="D44" s="393"/>
      <c r="E44" s="379"/>
      <c r="F44" s="395"/>
      <c r="G44" s="379"/>
      <c r="H44" s="402"/>
      <c r="I44" s="379"/>
      <c r="K44" s="771"/>
      <c r="L44" s="770"/>
      <c r="M44" s="758"/>
      <c r="N44" s="127"/>
      <c r="P44" s="95"/>
    </row>
    <row r="45" spans="1:16">
      <c r="A45" s="127">
        <f>A42+1</f>
        <v>116</v>
      </c>
      <c r="B45" s="8" t="s">
        <v>2012</v>
      </c>
      <c r="C45" s="8" t="s">
        <v>1998</v>
      </c>
      <c r="D45" s="392">
        <v>453160713</v>
      </c>
      <c r="E45" s="743">
        <v>452505129</v>
      </c>
      <c r="F45" s="394">
        <v>524176</v>
      </c>
      <c r="G45" s="379">
        <f>(E45/D45)*F45</f>
        <v>523417.67874900484</v>
      </c>
      <c r="H45" s="402">
        <f>$H$18</f>
        <v>1.0435094</v>
      </c>
      <c r="I45" s="768">
        <f>H45*G45</f>
        <v>546191.2679007668</v>
      </c>
      <c r="K45" s="773"/>
      <c r="L45" s="774"/>
      <c r="M45" s="758"/>
      <c r="N45" s="127">
        <f>A45</f>
        <v>116</v>
      </c>
      <c r="P45" s="95"/>
    </row>
    <row r="46" spans="1:16">
      <c r="A46" s="127"/>
      <c r="D46" s="393"/>
      <c r="E46" s="379"/>
      <c r="F46" s="393"/>
      <c r="G46" s="379"/>
      <c r="H46" s="402"/>
      <c r="I46" s="379"/>
      <c r="K46" s="773"/>
      <c r="L46" s="774"/>
      <c r="M46" s="758"/>
      <c r="N46" s="127"/>
      <c r="P46" s="95"/>
    </row>
    <row r="47" spans="1:16">
      <c r="A47" s="127">
        <f>A45+1</f>
        <v>117</v>
      </c>
      <c r="B47" s="8" t="s">
        <v>2012</v>
      </c>
      <c r="C47" s="8" t="s">
        <v>1999</v>
      </c>
      <c r="D47" s="392">
        <v>20590793</v>
      </c>
      <c r="E47" s="743">
        <v>13523930</v>
      </c>
      <c r="F47" s="394">
        <v>27403</v>
      </c>
      <c r="G47" s="379">
        <f>(E47/D47)*F47</f>
        <v>17998.153533474888</v>
      </c>
      <c r="H47" s="402">
        <f>$H$20</f>
        <v>1.074143946010695</v>
      </c>
      <c r="I47" s="768">
        <f>H47*G47</f>
        <v>19332.607657353048</v>
      </c>
      <c r="K47" s="773"/>
      <c r="L47" s="774"/>
      <c r="M47" s="758"/>
      <c r="N47" s="127">
        <f>A47</f>
        <v>117</v>
      </c>
      <c r="P47" s="95"/>
    </row>
    <row r="48" spans="1:16">
      <c r="A48" s="127"/>
      <c r="D48" s="393"/>
      <c r="E48" s="379"/>
      <c r="F48" s="393"/>
      <c r="G48" s="379"/>
      <c r="H48" s="402"/>
      <c r="I48" s="379"/>
      <c r="K48" s="773"/>
      <c r="L48" s="774"/>
      <c r="M48" s="758"/>
      <c r="N48" s="127"/>
      <c r="P48" s="95"/>
    </row>
    <row r="49" spans="1:16">
      <c r="A49" s="127">
        <f>A47+1</f>
        <v>118</v>
      </c>
      <c r="B49" s="8" t="s">
        <v>2012</v>
      </c>
      <c r="C49" s="8" t="s">
        <v>2000</v>
      </c>
      <c r="D49" s="392">
        <v>2168734</v>
      </c>
      <c r="E49" s="743">
        <v>10740854</v>
      </c>
      <c r="F49" s="392">
        <v>2731</v>
      </c>
      <c r="G49" s="379">
        <f>(E49/D49)*F49</f>
        <v>13525.527922742023</v>
      </c>
      <c r="H49" s="402">
        <f>$H$12</f>
        <v>1.1384794179171955</v>
      </c>
      <c r="I49" s="768">
        <f>H49*G49</f>
        <v>15398.535156506114</v>
      </c>
      <c r="K49" s="773"/>
      <c r="L49" s="774"/>
      <c r="M49" s="758"/>
      <c r="N49" s="127">
        <f>A49</f>
        <v>118</v>
      </c>
      <c r="P49" s="95"/>
    </row>
    <row r="50" spans="1:16">
      <c r="A50" s="127"/>
      <c r="E50" s="379"/>
      <c r="F50" s="379"/>
      <c r="G50" s="379"/>
      <c r="H50" s="402"/>
      <c r="I50" s="379"/>
      <c r="K50" s="773"/>
      <c r="L50" s="774"/>
      <c r="M50" s="758"/>
      <c r="N50" s="127"/>
      <c r="P50" s="95"/>
    </row>
    <row r="51" spans="1:16">
      <c r="A51" s="127">
        <f>A49+1</f>
        <v>119</v>
      </c>
      <c r="B51" s="8" t="s">
        <v>2047</v>
      </c>
      <c r="D51" s="379">
        <f>SUM(D45:D49)</f>
        <v>475920240</v>
      </c>
      <c r="E51" s="379">
        <f>SUM(E45:E49)</f>
        <v>476769913</v>
      </c>
      <c r="F51" s="379">
        <f>SUM(F45:F49)</f>
        <v>554310</v>
      </c>
      <c r="G51" s="379">
        <f>SUM(G45:G49)</f>
        <v>554941.3602052218</v>
      </c>
      <c r="H51" s="379"/>
      <c r="I51" s="379">
        <f>SUM(I45:I49)</f>
        <v>580922.41071462596</v>
      </c>
      <c r="K51" s="775"/>
      <c r="L51" s="776">
        <v>5.6598401334428021E-3</v>
      </c>
      <c r="M51" s="465">
        <f ca="1">L51*$M$56</f>
        <v>17992379.137345389</v>
      </c>
      <c r="N51" s="127">
        <f>A51</f>
        <v>119</v>
      </c>
      <c r="P51" s="95"/>
    </row>
    <row r="52" spans="1:16">
      <c r="A52" s="127"/>
      <c r="B52" s="401"/>
      <c r="E52" s="379"/>
      <c r="F52" s="379"/>
      <c r="G52" s="379"/>
      <c r="I52" s="379"/>
      <c r="K52" s="771"/>
      <c r="L52" s="777"/>
      <c r="M52" s="758"/>
      <c r="N52" s="127"/>
      <c r="P52" s="95"/>
    </row>
    <row r="53" spans="1:16" ht="15.75" thickBot="1">
      <c r="A53" s="127"/>
      <c r="K53" s="773"/>
      <c r="L53" s="778"/>
      <c r="M53" s="127"/>
      <c r="N53" s="127"/>
    </row>
    <row r="54" spans="1:16" ht="15.75" thickBot="1">
      <c r="A54" s="127">
        <f>A51+1</f>
        <v>120</v>
      </c>
      <c r="B54" s="391" t="s">
        <v>2048</v>
      </c>
      <c r="C54" s="779"/>
      <c r="D54" s="780">
        <f>+D12+D14+D24+D26+D32+D40+D51</f>
        <v>79298850946</v>
      </c>
      <c r="E54" s="780">
        <f>+E12+E14+E24+E26+E32+E40+E51</f>
        <v>79644944528</v>
      </c>
      <c r="F54" s="780">
        <f>+F12+F14+F24+F26+F32+F40+F51</f>
        <v>155538295</v>
      </c>
      <c r="G54" s="780">
        <f>+G51++G42</f>
        <v>155744743.55256143</v>
      </c>
      <c r="H54" s="779"/>
      <c r="I54" s="780">
        <f>I42+I51</f>
        <v>175723863.33496442</v>
      </c>
      <c r="J54" s="779"/>
      <c r="K54" s="569"/>
      <c r="L54" s="586">
        <f>L42+L51</f>
        <v>1</v>
      </c>
      <c r="M54" s="781">
        <f ca="1">M42+M51</f>
        <v>3178955361.48313</v>
      </c>
      <c r="N54" s="127">
        <f>A54</f>
        <v>120</v>
      </c>
    </row>
    <row r="55" spans="1:16" ht="15.75" thickBot="1">
      <c r="A55" s="127"/>
      <c r="D55" s="8"/>
      <c r="N55" s="127"/>
    </row>
    <row r="56" spans="1:16" ht="15.75" thickBot="1">
      <c r="A56" s="127">
        <f>A54+1</f>
        <v>121</v>
      </c>
      <c r="B56" s="854" t="s">
        <v>2049</v>
      </c>
      <c r="C56" s="855"/>
      <c r="D56" s="855"/>
      <c r="E56" s="855"/>
      <c r="F56" s="855"/>
      <c r="G56" s="855"/>
      <c r="H56" s="855"/>
      <c r="I56" s="855"/>
      <c r="J56" s="855"/>
      <c r="K56" s="855"/>
      <c r="L56" s="855"/>
      <c r="M56" s="781">
        <f ca="1">'1-BaseTRR'!E160</f>
        <v>3178955361.48313</v>
      </c>
      <c r="N56" s="127">
        <f>A56</f>
        <v>121</v>
      </c>
    </row>
    <row r="57" spans="1:16">
      <c r="M57" s="390"/>
    </row>
    <row r="58" spans="1:16">
      <c r="B58" s="206" t="s">
        <v>306</v>
      </c>
      <c r="D58" s="8"/>
      <c r="E58" s="381"/>
      <c r="F58" s="217"/>
      <c r="K58" s="8"/>
      <c r="L58" s="8"/>
      <c r="M58" s="8"/>
      <c r="N58" s="379"/>
      <c r="O58" s="8"/>
    </row>
    <row r="59" spans="1:16">
      <c r="B59" s="817" t="s">
        <v>2050</v>
      </c>
      <c r="C59" s="817"/>
      <c r="D59" s="817"/>
      <c r="E59" s="817"/>
      <c r="F59" s="817"/>
      <c r="G59" s="817"/>
      <c r="H59" s="817"/>
      <c r="I59" s="817"/>
      <c r="J59" s="817"/>
      <c r="K59" s="817"/>
      <c r="L59" s="817"/>
      <c r="M59" s="817"/>
      <c r="N59" s="817"/>
      <c r="O59" s="817"/>
    </row>
    <row r="60" spans="1:16">
      <c r="B60" s="8" t="s">
        <v>2051</v>
      </c>
      <c r="D60" s="8"/>
      <c r="K60" s="8"/>
      <c r="L60" s="8"/>
      <c r="M60" s="8"/>
      <c r="O60" s="8"/>
    </row>
    <row r="61" spans="1:16">
      <c r="B61" s="817" t="s">
        <v>2052</v>
      </c>
      <c r="C61" s="817"/>
      <c r="D61" s="817"/>
      <c r="E61" s="817"/>
      <c r="F61" s="817"/>
      <c r="G61" s="817"/>
      <c r="H61" s="817"/>
      <c r="I61" s="817"/>
      <c r="J61" s="817"/>
      <c r="K61" s="817"/>
      <c r="L61" s="817"/>
      <c r="M61" s="817"/>
      <c r="N61" s="817"/>
      <c r="O61" s="817"/>
    </row>
    <row r="62" spans="1:16">
      <c r="B62" s="816" t="s">
        <v>2053</v>
      </c>
      <c r="C62" s="816"/>
      <c r="D62" s="816"/>
      <c r="E62" s="816"/>
      <c r="F62" s="816"/>
      <c r="G62" s="816"/>
      <c r="H62" s="816"/>
      <c r="I62" s="816"/>
      <c r="J62" s="816"/>
      <c r="K62" s="816"/>
      <c r="L62" s="816"/>
      <c r="M62" s="816"/>
      <c r="N62" s="816"/>
      <c r="O62" s="816"/>
    </row>
    <row r="63" spans="1:16" ht="33" customHeight="1">
      <c r="B63" s="816" t="s">
        <v>2054</v>
      </c>
      <c r="C63" s="816"/>
      <c r="D63" s="816"/>
      <c r="E63" s="816"/>
      <c r="F63" s="816"/>
      <c r="G63" s="816"/>
      <c r="H63" s="816"/>
      <c r="I63" s="816"/>
      <c r="J63" s="816"/>
      <c r="K63" s="816"/>
      <c r="L63" s="816"/>
      <c r="M63" s="816"/>
      <c r="N63" s="148"/>
      <c r="O63" s="148"/>
    </row>
    <row r="64" spans="1:16" ht="51.75" customHeight="1">
      <c r="B64" s="816"/>
      <c r="C64" s="816"/>
      <c r="D64" s="816"/>
      <c r="E64" s="816"/>
      <c r="F64" s="816"/>
      <c r="G64" s="816"/>
      <c r="H64" s="816"/>
      <c r="I64" s="816"/>
      <c r="J64" s="816"/>
      <c r="K64" s="816"/>
      <c r="L64" s="816"/>
      <c r="M64" s="816"/>
    </row>
    <row r="65" spans="4:6">
      <c r="E65" s="389"/>
      <c r="F65" s="389"/>
    </row>
    <row r="66" spans="4:6">
      <c r="F66" s="389"/>
    </row>
    <row r="67" spans="4:6">
      <c r="D67" s="388"/>
      <c r="F67" s="379"/>
    </row>
    <row r="68" spans="4:6">
      <c r="F68" s="379"/>
    </row>
    <row r="69" spans="4:6">
      <c r="F69" s="379"/>
    </row>
    <row r="70" spans="4:6">
      <c r="F70" s="379"/>
    </row>
    <row r="71" spans="4:6">
      <c r="F71" s="379"/>
    </row>
    <row r="72" spans="4:6">
      <c r="F72" s="389"/>
    </row>
    <row r="73" spans="4:6">
      <c r="F73" s="389"/>
    </row>
    <row r="74" spans="4:6">
      <c r="D74" s="388"/>
      <c r="F74" s="389"/>
    </row>
    <row r="75" spans="4:6">
      <c r="E75" s="379"/>
      <c r="F75" s="379"/>
    </row>
    <row r="76" spans="4:6">
      <c r="F76" s="389"/>
    </row>
    <row r="77" spans="4:6">
      <c r="F77" s="389"/>
    </row>
    <row r="78" spans="4:6">
      <c r="F78" s="389"/>
    </row>
    <row r="79" spans="4:6">
      <c r="F79" s="389"/>
    </row>
    <row r="81" spans="4:4">
      <c r="D81" s="388"/>
    </row>
  </sheetData>
  <mergeCells count="6">
    <mergeCell ref="B64:M64"/>
    <mergeCell ref="B56:L56"/>
    <mergeCell ref="B59:O59"/>
    <mergeCell ref="B61:O61"/>
    <mergeCell ref="B62:O62"/>
    <mergeCell ref="B63:M63"/>
  </mergeCells>
  <printOptions horizontalCentered="1"/>
  <pageMargins left="1" right="1" top="1" bottom="1" header="0.5" footer="0.5"/>
  <pageSetup scale="47" orientation="landscape" r:id="rId1"/>
  <headerFooter alignWithMargins="0">
    <oddHeader>&amp;C&amp;"-,Bold"Pacific Gas and Electric Company
Formula Rate Model
Schedule 29-RetailRates-2</oddHeader>
  </headerFooter>
  <customProperties>
    <customPr name="_pios_id" r:id="rId2"/>
    <customPr name="EpmWorksheetKeyString_GU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169"/>
  <sheetViews>
    <sheetView tabSelected="1" topLeftCell="A136" zoomScaleNormal="100" zoomScaleSheetLayoutView="80" zoomScalePageLayoutView="70" workbookViewId="0">
      <selection activeCell="L146" sqref="L146"/>
    </sheetView>
  </sheetViews>
  <sheetFormatPr defaultColWidth="9.140625" defaultRowHeight="15"/>
  <cols>
    <col min="1" max="1" width="4.7109375" style="4" customWidth="1"/>
    <col min="2" max="2" width="2.140625" style="4" bestFit="1" customWidth="1"/>
    <col min="3" max="3" width="72.5703125" customWidth="1"/>
    <col min="4" max="4" width="3.7109375" customWidth="1"/>
    <col min="5" max="5" width="19.140625" bestFit="1" customWidth="1"/>
    <col min="6" max="6" width="37.140625" bestFit="1" customWidth="1"/>
    <col min="7" max="7" width="26.42578125" bestFit="1" customWidth="1"/>
    <col min="8" max="8" width="4.5703125" bestFit="1" customWidth="1"/>
    <col min="9" max="9" width="2.7109375" customWidth="1"/>
    <col min="11" max="11" width="12.85546875" bestFit="1" customWidth="1"/>
    <col min="12" max="12" width="10.85546875" bestFit="1" customWidth="1"/>
  </cols>
  <sheetData>
    <row r="1" spans="1:9">
      <c r="C1" s="2" t="s">
        <v>129</v>
      </c>
      <c r="F1" s="6" t="s">
        <v>130</v>
      </c>
      <c r="G1" s="40">
        <v>2023</v>
      </c>
    </row>
    <row r="2" spans="1:9">
      <c r="A2" s="5"/>
      <c r="B2" s="5"/>
      <c r="C2" s="39" t="s">
        <v>131</v>
      </c>
      <c r="F2" s="6" t="s">
        <v>132</v>
      </c>
      <c r="G2" s="5">
        <f>G1-2</f>
        <v>2021</v>
      </c>
      <c r="I2" s="6"/>
    </row>
    <row r="3" spans="1:9">
      <c r="A3" s="3"/>
      <c r="B3" s="3"/>
      <c r="G3" s="35"/>
      <c r="H3" s="3"/>
    </row>
    <row r="4" spans="1:9">
      <c r="C4" s="45" t="s">
        <v>133</v>
      </c>
      <c r="D4" s="46"/>
      <c r="E4" s="47"/>
      <c r="F4" s="47"/>
      <c r="G4" s="47"/>
    </row>
    <row r="5" spans="1:9">
      <c r="A5" s="3" t="s">
        <v>100</v>
      </c>
      <c r="B5" s="3"/>
      <c r="C5" s="3" t="s">
        <v>6</v>
      </c>
      <c r="E5" s="3" t="s">
        <v>134</v>
      </c>
      <c r="F5" s="3" t="s">
        <v>135</v>
      </c>
      <c r="G5" s="3" t="s">
        <v>136</v>
      </c>
      <c r="H5" s="3" t="str">
        <f>A5</f>
        <v>Line</v>
      </c>
    </row>
    <row r="6" spans="1:9">
      <c r="C6" s="1" t="s">
        <v>137</v>
      </c>
      <c r="D6" s="1"/>
    </row>
    <row r="7" spans="1:9">
      <c r="A7" s="4">
        <v>100</v>
      </c>
      <c r="C7" t="s">
        <v>138</v>
      </c>
      <c r="E7" s="23">
        <f>'7-PlantInService'!P24</f>
        <v>14839705596</v>
      </c>
      <c r="F7" t="s">
        <v>139</v>
      </c>
      <c r="G7" t="s">
        <v>140</v>
      </c>
      <c r="H7" s="4">
        <f>A7</f>
        <v>100</v>
      </c>
    </row>
    <row r="8" spans="1:9">
      <c r="A8" s="4">
        <f>A7+1</f>
        <v>101</v>
      </c>
      <c r="C8" t="s">
        <v>141</v>
      </c>
      <c r="E8" s="23">
        <f>'7-PlantInService'!D128</f>
        <v>1347808565.5451002</v>
      </c>
      <c r="F8" t="s">
        <v>142</v>
      </c>
      <c r="G8" t="s">
        <v>140</v>
      </c>
      <c r="H8" s="4">
        <f t="shared" ref="H8:H10" si="0">A8</f>
        <v>101</v>
      </c>
    </row>
    <row r="9" spans="1:9">
      <c r="A9" s="4">
        <f t="shared" ref="A9:A10" si="1">A8+1</f>
        <v>102</v>
      </c>
      <c r="C9" t="s">
        <v>143</v>
      </c>
      <c r="E9" s="17">
        <f ca="1">+'8-AbandonedPlant'!M14</f>
        <v>0</v>
      </c>
      <c r="F9" t="s">
        <v>144</v>
      </c>
      <c r="G9" t="s">
        <v>140</v>
      </c>
      <c r="H9" s="4">
        <f t="shared" si="0"/>
        <v>102</v>
      </c>
    </row>
    <row r="10" spans="1:9">
      <c r="A10" s="4">
        <f t="shared" si="1"/>
        <v>103</v>
      </c>
      <c r="C10" s="2" t="s">
        <v>145</v>
      </c>
      <c r="D10" s="2"/>
      <c r="E10" s="63">
        <f ca="1">+E7+E8+E9</f>
        <v>16187514161.545101</v>
      </c>
      <c r="F10" s="35" t="str">
        <f>"Sum of Lines "&amp;A7&amp;" to "&amp;A9&amp;""</f>
        <v>Sum of Lines 100 to 102</v>
      </c>
      <c r="H10" s="4">
        <f t="shared" si="0"/>
        <v>103</v>
      </c>
    </row>
    <row r="12" spans="1:9">
      <c r="C12" s="1" t="s">
        <v>146</v>
      </c>
      <c r="D12" s="1"/>
    </row>
    <row r="13" spans="1:9">
      <c r="A13" s="4">
        <f>A10+1</f>
        <v>104</v>
      </c>
      <c r="C13" t="s">
        <v>147</v>
      </c>
      <c r="E13" s="23">
        <f>'13-WorkCap'!E25</f>
        <v>90974457</v>
      </c>
      <c r="F13" t="s">
        <v>148</v>
      </c>
      <c r="G13" t="s">
        <v>140</v>
      </c>
      <c r="H13" s="4">
        <f t="shared" ref="H13:H16" si="2">A13</f>
        <v>104</v>
      </c>
    </row>
    <row r="14" spans="1:9">
      <c r="A14" s="4">
        <f>A13+1</f>
        <v>105</v>
      </c>
      <c r="C14" t="s">
        <v>149</v>
      </c>
      <c r="E14" s="23">
        <f>'13-WorkCap'!F60</f>
        <v>58108938</v>
      </c>
      <c r="F14" t="s">
        <v>150</v>
      </c>
      <c r="G14" t="s">
        <v>140</v>
      </c>
      <c r="H14" s="4">
        <f t="shared" si="2"/>
        <v>105</v>
      </c>
    </row>
    <row r="15" spans="1:9">
      <c r="A15" s="4">
        <f t="shared" ref="A15:A16" si="3">A14+1</f>
        <v>106</v>
      </c>
      <c r="C15" t="s">
        <v>151</v>
      </c>
      <c r="E15" s="17">
        <f>(E125+E126)/10</f>
        <v>104930492.18235764</v>
      </c>
      <c r="F15" t="str">
        <f>"(Line "&amp;A125&amp;" + Line "&amp;A126&amp;") / 10"</f>
        <v>(Line 500 + Line 501) / 10</v>
      </c>
      <c r="H15" s="4">
        <f t="shared" si="2"/>
        <v>106</v>
      </c>
    </row>
    <row r="16" spans="1:9">
      <c r="A16" s="4">
        <f t="shared" si="3"/>
        <v>107</v>
      </c>
      <c r="C16" s="2" t="s">
        <v>152</v>
      </c>
      <c r="D16" s="2"/>
      <c r="E16" s="63">
        <f>+E13+E15+E14</f>
        <v>254013887.18235764</v>
      </c>
      <c r="F16" s="35" t="str">
        <f>"Sum of Lines "&amp;A13&amp;" to "&amp;A15&amp;""</f>
        <v>Sum of Lines 104 to 106</v>
      </c>
      <c r="H16" s="4">
        <f t="shared" si="2"/>
        <v>107</v>
      </c>
    </row>
    <row r="18" spans="1:9">
      <c r="C18" s="1" t="s">
        <v>153</v>
      </c>
      <c r="D18" s="1"/>
    </row>
    <row r="19" spans="1:9">
      <c r="A19" s="4">
        <f>A16+1</f>
        <v>108</v>
      </c>
      <c r="C19" t="s">
        <v>154</v>
      </c>
      <c r="E19" s="23">
        <f>-'10-AccDep'!P26</f>
        <v>-3464493186</v>
      </c>
      <c r="F19" t="s">
        <v>155</v>
      </c>
      <c r="G19" t="s">
        <v>156</v>
      </c>
      <c r="H19" s="4">
        <f t="shared" ref="H19:H30" si="4">A19</f>
        <v>108</v>
      </c>
    </row>
    <row r="20" spans="1:9">
      <c r="A20" s="4">
        <f>A19+1</f>
        <v>109</v>
      </c>
      <c r="C20" t="s">
        <v>157</v>
      </c>
      <c r="E20" s="17">
        <f>-'10-AccDep'!D128</f>
        <v>-449334645.98514223</v>
      </c>
      <c r="F20" t="s">
        <v>158</v>
      </c>
      <c r="G20" t="s">
        <v>156</v>
      </c>
      <c r="H20" s="4">
        <f t="shared" si="4"/>
        <v>109</v>
      </c>
    </row>
    <row r="21" spans="1:9">
      <c r="A21" s="4">
        <f>A20+1</f>
        <v>110</v>
      </c>
      <c r="C21" s="2" t="s">
        <v>159</v>
      </c>
      <c r="D21" s="2"/>
      <c r="E21" s="63">
        <f>+E19+E20</f>
        <v>-3913827831.9851422</v>
      </c>
      <c r="F21" t="str">
        <f>"Line "&amp;A19&amp;" + Line "&amp;A20&amp;""</f>
        <v>Line 108 + Line 109</v>
      </c>
      <c r="H21" s="4">
        <f t="shared" si="4"/>
        <v>110</v>
      </c>
    </row>
    <row r="23" spans="1:9">
      <c r="A23" s="4">
        <f>A21+1</f>
        <v>111</v>
      </c>
      <c r="B23" s="5" t="s">
        <v>160</v>
      </c>
      <c r="C23" s="5" t="s">
        <v>161</v>
      </c>
      <c r="D23" s="5"/>
      <c r="E23" s="23">
        <f>'14-ADIT'!D13</f>
        <v>-1508728940.0507174</v>
      </c>
      <c r="F23" t="s">
        <v>162</v>
      </c>
      <c r="G23" t="s">
        <v>140</v>
      </c>
      <c r="H23" s="4">
        <f t="shared" si="4"/>
        <v>111</v>
      </c>
      <c r="I23" s="2" t="s">
        <v>160</v>
      </c>
    </row>
    <row r="24" spans="1:9">
      <c r="A24" s="4">
        <v>111</v>
      </c>
      <c r="B24" s="5" t="s">
        <v>163</v>
      </c>
      <c r="C24" s="201" t="s">
        <v>164</v>
      </c>
      <c r="D24" s="5"/>
      <c r="E24" s="17">
        <f>'17-RegAssets-1'!C47</f>
        <v>-535162605.7936902</v>
      </c>
      <c r="F24" t="s">
        <v>165</v>
      </c>
      <c r="G24" t="s">
        <v>140</v>
      </c>
      <c r="H24" s="4">
        <f t="shared" si="4"/>
        <v>111</v>
      </c>
      <c r="I24" s="2" t="s">
        <v>163</v>
      </c>
    </row>
    <row r="25" spans="1:9">
      <c r="A25" s="4">
        <v>111</v>
      </c>
      <c r="B25" s="5" t="s">
        <v>166</v>
      </c>
      <c r="C25" s="201" t="s">
        <v>167</v>
      </c>
      <c r="D25" s="636"/>
      <c r="E25" s="63">
        <f>+E23+E24</f>
        <v>-2043891545.8444076</v>
      </c>
      <c r="F25" t="str">
        <f>"Line "&amp;A23&amp;"a + Line "&amp;A24&amp;"b"</f>
        <v>Line 111a + Line 111b</v>
      </c>
      <c r="G25" t="s">
        <v>140</v>
      </c>
      <c r="H25" s="4">
        <f t="shared" si="4"/>
        <v>111</v>
      </c>
      <c r="I25" s="2" t="s">
        <v>166</v>
      </c>
    </row>
    <row r="26" spans="1:9">
      <c r="A26" s="4">
        <f>A23+1</f>
        <v>112</v>
      </c>
      <c r="C26" s="2" t="s">
        <v>168</v>
      </c>
      <c r="D26" s="555"/>
      <c r="E26" s="23">
        <f>-'15-NUC'!C12</f>
        <v>-126586601.5</v>
      </c>
      <c r="F26" t="s">
        <v>169</v>
      </c>
      <c r="G26" t="s">
        <v>156</v>
      </c>
      <c r="H26" s="4">
        <f t="shared" si="4"/>
        <v>112</v>
      </c>
    </row>
    <row r="27" spans="1:9">
      <c r="A27" s="4">
        <f>A26+1</f>
        <v>113</v>
      </c>
      <c r="C27" s="2" t="s">
        <v>44</v>
      </c>
      <c r="D27" s="555"/>
      <c r="E27" s="23">
        <f>'16-UnfundedReserves'!E6</f>
        <v>-125291172.50674115</v>
      </c>
      <c r="F27" t="s">
        <v>170</v>
      </c>
      <c r="G27" t="s">
        <v>140</v>
      </c>
      <c r="H27" s="4">
        <f t="shared" si="4"/>
        <v>113</v>
      </c>
    </row>
    <row r="28" spans="1:9">
      <c r="A28" s="4">
        <f>A27+1</f>
        <v>114</v>
      </c>
      <c r="C28" s="2" t="s">
        <v>171</v>
      </c>
      <c r="D28" s="2"/>
      <c r="E28" s="23">
        <f>'17-RegAssets-1'!E25</f>
        <v>0</v>
      </c>
      <c r="F28" t="s">
        <v>172</v>
      </c>
      <c r="G28" t="s">
        <v>140</v>
      </c>
      <c r="H28" s="4">
        <f t="shared" si="4"/>
        <v>114</v>
      </c>
    </row>
    <row r="29" spans="1:9">
      <c r="E29" s="23"/>
      <c r="H29" s="4"/>
    </row>
    <row r="30" spans="1:9">
      <c r="A30" s="4">
        <f>A28+1</f>
        <v>115</v>
      </c>
      <c r="C30" s="2" t="s">
        <v>173</v>
      </c>
      <c r="D30" s="2"/>
      <c r="E30" s="63">
        <f ca="1">+E10+E16+E21+E25+E26+E28+E27</f>
        <v>10231930896.891169</v>
      </c>
      <c r="F30" t="str">
        <f>"Sum of Lines "&amp;A10&amp;", "&amp;A16&amp;", "&amp;A21&amp;" and Lines "&amp;A25&amp;B25&amp;" to "&amp;A28&amp;""</f>
        <v>Sum of Lines 103, 107, 110 and Lines 111c to 114</v>
      </c>
      <c r="H30" s="4">
        <f t="shared" si="4"/>
        <v>115</v>
      </c>
    </row>
    <row r="31" spans="1:9">
      <c r="E31" s="8"/>
      <c r="H31" s="4"/>
    </row>
    <row r="32" spans="1:9">
      <c r="C32" s="45" t="s">
        <v>174</v>
      </c>
      <c r="D32" s="47"/>
      <c r="E32" s="47"/>
      <c r="F32" s="47"/>
      <c r="G32" s="47"/>
    </row>
    <row r="33" spans="1:8">
      <c r="A33" s="3" t="s">
        <v>100</v>
      </c>
      <c r="B33" s="3"/>
      <c r="C33" s="3" t="s">
        <v>6</v>
      </c>
      <c r="E33" s="3" t="s">
        <v>134</v>
      </c>
      <c r="F33" s="3" t="s">
        <v>135</v>
      </c>
      <c r="G33" s="3" t="s">
        <v>136</v>
      </c>
      <c r="H33" s="3" t="str">
        <f>A33</f>
        <v>Line</v>
      </c>
    </row>
    <row r="34" spans="1:8">
      <c r="C34" s="1" t="s">
        <v>175</v>
      </c>
      <c r="D34" s="1"/>
    </row>
    <row r="35" spans="1:8">
      <c r="A35" s="4">
        <v>200</v>
      </c>
      <c r="C35" t="s">
        <v>176</v>
      </c>
      <c r="E35" s="81">
        <f>'5-CostofCap-1'!D16</f>
        <v>36997110483.858284</v>
      </c>
      <c r="F35" t="s">
        <v>177</v>
      </c>
      <c r="H35" s="4">
        <f t="shared" ref="H35" si="5">A35</f>
        <v>200</v>
      </c>
    </row>
    <row r="36" spans="1:8">
      <c r="A36" s="4">
        <f>A35+1</f>
        <v>201</v>
      </c>
      <c r="C36" t="s">
        <v>178</v>
      </c>
      <c r="E36" s="410">
        <f>'5-CostofCap-3'!F24</f>
        <v>3.5299999999999998E-2</v>
      </c>
      <c r="F36" t="s">
        <v>179</v>
      </c>
      <c r="H36" s="4">
        <f t="shared" ref="H36:H37" si="6">A36</f>
        <v>201</v>
      </c>
    </row>
    <row r="37" spans="1:8">
      <c r="A37" s="4">
        <f>A36+1</f>
        <v>202</v>
      </c>
      <c r="C37" s="2" t="s">
        <v>180</v>
      </c>
      <c r="E37" s="63">
        <f>E35*E36</f>
        <v>1305998000.0801973</v>
      </c>
      <c r="F37" t="str">
        <f>"Line "&amp;A35&amp;" * Line "&amp;A36&amp;""</f>
        <v>Line 200 * Line 201</v>
      </c>
      <c r="H37" s="4">
        <f t="shared" si="6"/>
        <v>202</v>
      </c>
    </row>
    <row r="39" spans="1:8">
      <c r="C39" s="1" t="s">
        <v>181</v>
      </c>
      <c r="D39" s="1"/>
    </row>
    <row r="40" spans="1:8">
      <c r="A40" s="4">
        <f>A37+1</f>
        <v>203</v>
      </c>
      <c r="C40" t="s">
        <v>182</v>
      </c>
      <c r="E40" s="23">
        <f>'5-CostofCap-1'!D22</f>
        <v>252054300.31999999</v>
      </c>
      <c r="F40" t="s">
        <v>183</v>
      </c>
      <c r="H40" s="4">
        <f t="shared" ref="H40:H42" si="7">A40</f>
        <v>203</v>
      </c>
    </row>
    <row r="41" spans="1:8">
      <c r="A41" s="4">
        <f>A40+1</f>
        <v>204</v>
      </c>
      <c r="C41" t="s">
        <v>22</v>
      </c>
      <c r="E41" s="32">
        <f>'5-CostofCap-4'!E14</f>
        <v>5.5211589517762859E-2</v>
      </c>
      <c r="F41" t="s">
        <v>184</v>
      </c>
      <c r="H41" s="4">
        <f t="shared" si="7"/>
        <v>204</v>
      </c>
    </row>
    <row r="42" spans="1:8">
      <c r="A42" s="4">
        <f>A41+1</f>
        <v>205</v>
      </c>
      <c r="C42" s="2" t="s">
        <v>185</v>
      </c>
      <c r="E42" s="63">
        <f>E40*E41</f>
        <v>13916318.565454762</v>
      </c>
      <c r="F42" t="str">
        <f>"Line "&amp;A40&amp;" * Line "&amp;A41&amp;""</f>
        <v>Line 203 * Line 204</v>
      </c>
      <c r="H42" s="4">
        <f t="shared" si="7"/>
        <v>205</v>
      </c>
    </row>
    <row r="44" spans="1:8">
      <c r="C44" s="1" t="s">
        <v>186</v>
      </c>
      <c r="D44" s="1"/>
    </row>
    <row r="45" spans="1:8">
      <c r="A45" s="4">
        <f>A42+1</f>
        <v>206</v>
      </c>
      <c r="C45" t="s">
        <v>187</v>
      </c>
      <c r="E45" s="81">
        <f>'5-CostofCap-1'!D30</f>
        <v>25021810263.84</v>
      </c>
      <c r="F45" t="s">
        <v>188</v>
      </c>
      <c r="H45" s="4">
        <f t="shared" ref="H45:H47" si="8">A45</f>
        <v>206</v>
      </c>
    </row>
    <row r="46" spans="1:8">
      <c r="H46" s="4"/>
    </row>
    <row r="47" spans="1:8">
      <c r="A47" s="4">
        <f>A45+1</f>
        <v>207</v>
      </c>
      <c r="C47" s="2" t="s">
        <v>189</v>
      </c>
      <c r="D47" s="2"/>
      <c r="E47" s="63">
        <f>E35+E40+E45</f>
        <v>62270975048.01828</v>
      </c>
      <c r="F47" t="str">
        <f>"Line "&amp;A35&amp;" + Line "&amp;A40&amp;" + Line "&amp;A45&amp;""</f>
        <v>Line 200 + Line 203 + Line 206</v>
      </c>
      <c r="H47" s="4">
        <f t="shared" si="8"/>
        <v>207</v>
      </c>
    </row>
    <row r="49" spans="1:8">
      <c r="C49" s="1" t="s">
        <v>190</v>
      </c>
      <c r="D49" s="1"/>
    </row>
    <row r="50" spans="1:8">
      <c r="A50" s="4">
        <f>A47+1</f>
        <v>208</v>
      </c>
      <c r="C50" t="s">
        <v>191</v>
      </c>
      <c r="E50" s="22">
        <v>0.4975</v>
      </c>
      <c r="F50" s="8" t="s">
        <v>192</v>
      </c>
      <c r="G50" s="8" t="s">
        <v>193</v>
      </c>
      <c r="H50" s="4">
        <f t="shared" ref="H50:H52" si="9">A50</f>
        <v>208</v>
      </c>
    </row>
    <row r="51" spans="1:8">
      <c r="A51" s="4">
        <f>A50+1</f>
        <v>209</v>
      </c>
      <c r="C51" t="s">
        <v>194</v>
      </c>
      <c r="E51" s="22">
        <v>5.0000000000000001E-3</v>
      </c>
      <c r="F51" s="8" t="s">
        <v>195</v>
      </c>
      <c r="G51" s="8" t="s">
        <v>193</v>
      </c>
      <c r="H51" s="4">
        <f t="shared" si="9"/>
        <v>209</v>
      </c>
    </row>
    <row r="52" spans="1:8">
      <c r="A52" s="4">
        <f>A51+1</f>
        <v>210</v>
      </c>
      <c r="C52" t="s">
        <v>196</v>
      </c>
      <c r="E52" s="22">
        <v>0.4975</v>
      </c>
      <c r="F52" s="8" t="s">
        <v>192</v>
      </c>
      <c r="G52" s="8" t="s">
        <v>193</v>
      </c>
      <c r="H52" s="4">
        <f t="shared" si="9"/>
        <v>210</v>
      </c>
    </row>
    <row r="54" spans="1:8">
      <c r="C54" s="1" t="s">
        <v>197</v>
      </c>
      <c r="D54" s="1"/>
      <c r="H54" s="4"/>
    </row>
    <row r="55" spans="1:8">
      <c r="A55" s="4">
        <f>A52+1</f>
        <v>211</v>
      </c>
      <c r="C55" t="s">
        <v>20</v>
      </c>
      <c r="E55" s="22">
        <f>E36</f>
        <v>3.5299999999999998E-2</v>
      </c>
      <c r="F55" t="str">
        <f>"Line "&amp;A36&amp;""</f>
        <v>Line 201</v>
      </c>
      <c r="H55" s="4">
        <f t="shared" ref="H55:H60" si="10">A55</f>
        <v>211</v>
      </c>
    </row>
    <row r="56" spans="1:8">
      <c r="A56" s="4">
        <f>A55+1</f>
        <v>212</v>
      </c>
      <c r="C56" t="s">
        <v>22</v>
      </c>
      <c r="E56" s="22">
        <f>E41</f>
        <v>5.5211589517762859E-2</v>
      </c>
      <c r="F56" t="str">
        <f>"Line "&amp;A41&amp;""</f>
        <v>Line 204</v>
      </c>
      <c r="H56" s="4">
        <f t="shared" si="10"/>
        <v>212</v>
      </c>
    </row>
    <row r="57" spans="1:8">
      <c r="E57" s="22"/>
      <c r="H57" s="4"/>
    </row>
    <row r="58" spans="1:8">
      <c r="A58" s="4">
        <f>A56+1</f>
        <v>213</v>
      </c>
      <c r="C58" s="2" t="s">
        <v>198</v>
      </c>
      <c r="E58" s="505">
        <f>E59+E60</f>
        <v>0.1045</v>
      </c>
      <c r="F58" t="s">
        <v>199</v>
      </c>
      <c r="H58" s="4">
        <f t="shared" si="10"/>
        <v>213</v>
      </c>
    </row>
    <row r="59" spans="1:8">
      <c r="A59" s="4">
        <f t="shared" ref="A59:A60" si="11">A58+1</f>
        <v>214</v>
      </c>
      <c r="C59" t="s">
        <v>200</v>
      </c>
      <c r="E59" s="20">
        <v>0.1045</v>
      </c>
      <c r="F59" t="s">
        <v>201</v>
      </c>
      <c r="G59" s="8" t="s">
        <v>111</v>
      </c>
      <c r="H59" s="4">
        <f t="shared" si="10"/>
        <v>214</v>
      </c>
    </row>
    <row r="60" spans="1:8">
      <c r="A60" s="4">
        <f t="shared" si="11"/>
        <v>215</v>
      </c>
      <c r="C60" t="s">
        <v>202</v>
      </c>
      <c r="E60" s="20">
        <v>0</v>
      </c>
      <c r="G60" t="s">
        <v>203</v>
      </c>
      <c r="H60" s="4">
        <f t="shared" si="10"/>
        <v>215</v>
      </c>
    </row>
    <row r="62" spans="1:8">
      <c r="C62" s="1" t="s">
        <v>204</v>
      </c>
      <c r="D62" s="1"/>
    </row>
    <row r="63" spans="1:8">
      <c r="A63" s="4">
        <f>A60+1</f>
        <v>216</v>
      </c>
      <c r="C63" t="s">
        <v>205</v>
      </c>
      <c r="E63" s="19">
        <f>E50*E55</f>
        <v>1.7561749999999998E-2</v>
      </c>
      <c r="F63" t="str">
        <f>"Line "&amp;A50&amp;" * Line "&amp;A55&amp;""</f>
        <v>Line 208 * Line 211</v>
      </c>
      <c r="H63" s="4">
        <f t="shared" ref="H63:H66" si="12">A63</f>
        <v>216</v>
      </c>
    </row>
    <row r="64" spans="1:8">
      <c r="A64" s="4">
        <f>A63+1</f>
        <v>217</v>
      </c>
      <c r="C64" t="s">
        <v>206</v>
      </c>
      <c r="E64" s="19">
        <f>E51*E56</f>
        <v>2.7605794758881429E-4</v>
      </c>
      <c r="F64" t="str">
        <f>"Line "&amp;A51&amp;" * Line "&amp;A56&amp;""</f>
        <v>Line 209 * Line 212</v>
      </c>
      <c r="H64" s="4">
        <f t="shared" si="12"/>
        <v>217</v>
      </c>
    </row>
    <row r="65" spans="1:12">
      <c r="A65" s="4">
        <f>A64+1</f>
        <v>218</v>
      </c>
      <c r="C65" t="s">
        <v>207</v>
      </c>
      <c r="E65" s="25">
        <f>E52*E58</f>
        <v>5.198875E-2</v>
      </c>
      <c r="F65" t="str">
        <f>"Line "&amp;A52&amp;" * Line "&amp;A58&amp;""</f>
        <v>Line 210 * Line 213</v>
      </c>
      <c r="H65" s="4">
        <f t="shared" si="12"/>
        <v>218</v>
      </c>
    </row>
    <row r="66" spans="1:12">
      <c r="A66" s="4">
        <f>A65+1</f>
        <v>219</v>
      </c>
      <c r="C66" s="2" t="s">
        <v>208</v>
      </c>
      <c r="D66" s="2"/>
      <c r="E66" s="370">
        <f>SUM(E63:E65)</f>
        <v>6.982655794758881E-2</v>
      </c>
      <c r="F66" s="35" t="str">
        <f>"Sum of Lines "&amp;A63&amp;" to "&amp;A65&amp;""</f>
        <v>Sum of Lines 216 to 218</v>
      </c>
      <c r="H66" s="4">
        <f t="shared" si="12"/>
        <v>219</v>
      </c>
    </row>
    <row r="68" spans="1:12">
      <c r="A68" s="4">
        <f>A66+1</f>
        <v>220</v>
      </c>
      <c r="C68" s="2" t="s">
        <v>209</v>
      </c>
      <c r="D68" s="2"/>
      <c r="E68" s="22">
        <f>E64+E65</f>
        <v>5.2264807947588816E-2</v>
      </c>
      <c r="F68" t="str">
        <f>"Line "&amp;A64&amp;" + Line "&amp;A65&amp;""</f>
        <v>Line 217 + Line 218</v>
      </c>
      <c r="G68" s="8"/>
      <c r="H68" s="4">
        <f t="shared" ref="H68:H69" si="13">A68</f>
        <v>220</v>
      </c>
    </row>
    <row r="69" spans="1:12">
      <c r="A69" s="4">
        <f>A68+1</f>
        <v>221</v>
      </c>
      <c r="C69" s="2" t="s">
        <v>210</v>
      </c>
      <c r="D69" s="2"/>
      <c r="E69" s="22">
        <f>E60*E52</f>
        <v>0</v>
      </c>
      <c r="F69" t="str">
        <f>"Line "&amp;A52&amp;" * Line "&amp;A60&amp;""</f>
        <v>Line 210 * Line 215</v>
      </c>
      <c r="G69" s="8"/>
      <c r="H69" s="4">
        <f t="shared" si="13"/>
        <v>221</v>
      </c>
    </row>
    <row r="70" spans="1:12">
      <c r="H70" s="4"/>
    </row>
    <row r="71" spans="1:12">
      <c r="A71" s="4">
        <f>A69+1</f>
        <v>222</v>
      </c>
      <c r="C71" t="s">
        <v>211</v>
      </c>
      <c r="D71" s="2"/>
      <c r="E71" s="23">
        <f ca="1">E66*E30</f>
        <v>714460515.68749559</v>
      </c>
      <c r="F71" t="str">
        <f>"Line "&amp;A66&amp;" * Line "&amp;A30&amp;""</f>
        <v>Line 219 * Line 115</v>
      </c>
      <c r="H71" s="4">
        <f t="shared" ref="H71:H73" si="14">A71</f>
        <v>222</v>
      </c>
    </row>
    <row r="72" spans="1:12">
      <c r="A72" s="4">
        <f>A71+1</f>
        <v>223</v>
      </c>
      <c r="C72" t="s">
        <v>212</v>
      </c>
      <c r="D72" s="2"/>
      <c r="E72" s="23">
        <f ca="1">E69*E9</f>
        <v>0</v>
      </c>
      <c r="F72" t="str">
        <f>"Line "&amp;A9&amp;" * Line "&amp;A69&amp;""</f>
        <v>Line 102 * Line 221</v>
      </c>
      <c r="H72" s="4">
        <f t="shared" si="14"/>
        <v>223</v>
      </c>
      <c r="K72" s="22"/>
    </row>
    <row r="73" spans="1:12">
      <c r="A73" s="4">
        <f>A72+1</f>
        <v>224</v>
      </c>
      <c r="C73" s="2" t="s">
        <v>213</v>
      </c>
      <c r="D73" s="2"/>
      <c r="E73" s="63">
        <f ca="1">E71-E72</f>
        <v>714460515.68749559</v>
      </c>
      <c r="F73" t="str">
        <f>"Line "&amp;A71&amp;" - Line "&amp;A72&amp;""</f>
        <v>Line 222 - Line 223</v>
      </c>
      <c r="H73" s="4">
        <f t="shared" si="14"/>
        <v>224</v>
      </c>
      <c r="J73" s="22"/>
      <c r="K73" s="24"/>
      <c r="L73" s="24"/>
    </row>
    <row r="74" spans="1:12">
      <c r="J74" s="56"/>
      <c r="K74" s="24"/>
      <c r="L74" s="24"/>
    </row>
    <row r="75" spans="1:12">
      <c r="C75" s="45" t="s">
        <v>214</v>
      </c>
      <c r="D75" s="47"/>
      <c r="E75" s="47"/>
      <c r="F75" s="47"/>
      <c r="G75" s="47"/>
      <c r="J75" s="22"/>
      <c r="K75" s="24"/>
    </row>
    <row r="76" spans="1:12">
      <c r="A76" s="3" t="s">
        <v>100</v>
      </c>
      <c r="B76" s="3"/>
      <c r="C76" s="3" t="s">
        <v>6</v>
      </c>
      <c r="E76" s="3" t="s">
        <v>134</v>
      </c>
      <c r="F76" s="3" t="s">
        <v>135</v>
      </c>
      <c r="G76" s="3" t="s">
        <v>136</v>
      </c>
      <c r="H76" s="3" t="str">
        <f>A76</f>
        <v>Line</v>
      </c>
      <c r="K76" s="24"/>
    </row>
    <row r="77" spans="1:12">
      <c r="C77" s="1" t="s">
        <v>215</v>
      </c>
      <c r="D77" s="1"/>
      <c r="K77" s="24"/>
    </row>
    <row r="78" spans="1:12">
      <c r="A78" s="4">
        <v>300</v>
      </c>
      <c r="C78" t="s">
        <v>216</v>
      </c>
      <c r="E78" s="44">
        <v>386998160</v>
      </c>
      <c r="F78" t="s">
        <v>217</v>
      </c>
      <c r="H78" s="4">
        <f t="shared" ref="H78:H80" si="15">A78</f>
        <v>300</v>
      </c>
    </row>
    <row r="79" spans="1:12">
      <c r="A79" s="4">
        <f>A78+1</f>
        <v>301</v>
      </c>
      <c r="C79" t="s">
        <v>218</v>
      </c>
      <c r="E79" s="32">
        <f>'24-Allocators'!C64</f>
        <v>0.29759276086494879</v>
      </c>
      <c r="F79" t="s">
        <v>219</v>
      </c>
      <c r="H79" s="4">
        <f t="shared" si="15"/>
        <v>301</v>
      </c>
    </row>
    <row r="80" spans="1:12">
      <c r="A80" s="4">
        <f>A79+1</f>
        <v>302</v>
      </c>
      <c r="C80" s="2" t="s">
        <v>220</v>
      </c>
      <c r="D80" s="2"/>
      <c r="E80" s="63">
        <f>+E78*E79</f>
        <v>115167850.8840552</v>
      </c>
      <c r="F80" t="str">
        <f>"Line "&amp;A78&amp;" * Line "&amp;A79&amp;""</f>
        <v>Line 300 * Line 301</v>
      </c>
      <c r="H80" s="4">
        <f t="shared" si="15"/>
        <v>302</v>
      </c>
    </row>
    <row r="82" spans="1:8">
      <c r="C82" s="1" t="s">
        <v>221</v>
      </c>
      <c r="D82" s="1"/>
    </row>
    <row r="83" spans="1:8">
      <c r="A83" s="4">
        <f>A80+1</f>
        <v>303</v>
      </c>
      <c r="C83" t="s">
        <v>222</v>
      </c>
      <c r="E83" s="670">
        <v>102363274</v>
      </c>
      <c r="F83" t="s">
        <v>223</v>
      </c>
      <c r="H83" s="4">
        <f t="shared" ref="H83" si="16">A83</f>
        <v>303</v>
      </c>
    </row>
    <row r="84" spans="1:8">
      <c r="A84" s="4">
        <f>A83+1</f>
        <v>304</v>
      </c>
      <c r="C84" t="s">
        <v>224</v>
      </c>
      <c r="E84" s="670">
        <v>4436145</v>
      </c>
      <c r="F84" t="s">
        <v>225</v>
      </c>
      <c r="H84" s="4">
        <f t="shared" ref="H84:H88" si="17">A84</f>
        <v>304</v>
      </c>
    </row>
    <row r="85" spans="1:8">
      <c r="A85" s="4">
        <f>A84+1</f>
        <v>305</v>
      </c>
      <c r="C85" t="s">
        <v>226</v>
      </c>
      <c r="E85" s="670">
        <v>807174</v>
      </c>
      <c r="F85" t="s">
        <v>227</v>
      </c>
      <c r="H85" s="4">
        <f t="shared" si="17"/>
        <v>305</v>
      </c>
    </row>
    <row r="86" spans="1:8">
      <c r="A86" s="4">
        <f t="shared" ref="A86:A91" si="18">A85+1</f>
        <v>306</v>
      </c>
      <c r="C86" t="s">
        <v>228</v>
      </c>
      <c r="E86" s="670">
        <v>37665761</v>
      </c>
      <c r="F86" t="s">
        <v>229</v>
      </c>
      <c r="G86" t="s">
        <v>230</v>
      </c>
      <c r="H86" s="4">
        <f t="shared" si="17"/>
        <v>306</v>
      </c>
    </row>
    <row r="87" spans="1:8">
      <c r="A87" s="4">
        <f t="shared" si="18"/>
        <v>307</v>
      </c>
      <c r="C87" t="s">
        <v>231</v>
      </c>
      <c r="E87" s="695">
        <v>0</v>
      </c>
      <c r="F87" t="s">
        <v>232</v>
      </c>
      <c r="G87" t="s">
        <v>230</v>
      </c>
      <c r="H87" s="4">
        <f t="shared" si="17"/>
        <v>307</v>
      </c>
    </row>
    <row r="88" spans="1:8">
      <c r="A88" s="4">
        <f t="shared" si="18"/>
        <v>308</v>
      </c>
      <c r="C88" s="2" t="s">
        <v>233</v>
      </c>
      <c r="D88" s="2"/>
      <c r="E88" s="63">
        <f>SUM(E83:E87)</f>
        <v>145272354</v>
      </c>
      <c r="F88" s="35" t="str">
        <f>"Sum of Lines "&amp;A83&amp;" to "&amp;A87&amp;""</f>
        <v>Sum of Lines 303 to 307</v>
      </c>
      <c r="H88" s="4">
        <f t="shared" si="17"/>
        <v>308</v>
      </c>
    </row>
    <row r="90" spans="1:8">
      <c r="A90" s="4">
        <f>A88+1</f>
        <v>309</v>
      </c>
      <c r="C90" t="s">
        <v>234</v>
      </c>
      <c r="E90" s="22">
        <f>'24-Allocators'!C23</f>
        <v>0.14690087374748809</v>
      </c>
      <c r="F90" t="s">
        <v>235</v>
      </c>
      <c r="H90" s="4">
        <f t="shared" ref="H90:H91" si="19">A90</f>
        <v>309</v>
      </c>
    </row>
    <row r="91" spans="1:8">
      <c r="A91" s="4">
        <f t="shared" si="18"/>
        <v>310</v>
      </c>
      <c r="C91" s="2" t="s">
        <v>236</v>
      </c>
      <c r="D91" s="2"/>
      <c r="E91" s="63">
        <f>E88*E90</f>
        <v>21340635.733954396</v>
      </c>
      <c r="F91" s="8" t="str">
        <f>"Line "&amp;A90&amp;" *  Line "&amp;A88&amp;""</f>
        <v>Line 309 *  Line 308</v>
      </c>
      <c r="H91" s="4">
        <f t="shared" si="19"/>
        <v>310</v>
      </c>
    </row>
    <row r="93" spans="1:8">
      <c r="A93" s="4">
        <f>A91+1</f>
        <v>311</v>
      </c>
      <c r="C93" s="2" t="s">
        <v>237</v>
      </c>
      <c r="D93" s="2"/>
      <c r="E93" s="63">
        <f>E91+E80</f>
        <v>136508486.6180096</v>
      </c>
      <c r="F93" t="str">
        <f>"Line "&amp;A80&amp;" + Line "&amp;A91&amp;""</f>
        <v>Line 302 + Line 310</v>
      </c>
      <c r="G93" s="36"/>
      <c r="H93" s="4">
        <f t="shared" ref="H93" si="20">A93</f>
        <v>311</v>
      </c>
    </row>
    <row r="95" spans="1:8">
      <c r="A95"/>
      <c r="B95"/>
      <c r="C95" s="45" t="s">
        <v>238</v>
      </c>
      <c r="D95" s="47"/>
      <c r="E95" s="47"/>
      <c r="F95" s="47"/>
      <c r="G95" s="47"/>
    </row>
    <row r="96" spans="1:8">
      <c r="A96" s="3" t="s">
        <v>100</v>
      </c>
      <c r="B96" s="3"/>
      <c r="C96" s="3" t="s">
        <v>6</v>
      </c>
      <c r="E96" s="3"/>
      <c r="F96" s="3" t="s">
        <v>135</v>
      </c>
      <c r="G96" s="3" t="s">
        <v>136</v>
      </c>
      <c r="H96" s="3" t="str">
        <f>A96</f>
        <v>Line</v>
      </c>
    </row>
    <row r="97" spans="1:8">
      <c r="A97" s="4">
        <v>400</v>
      </c>
      <c r="C97" t="s">
        <v>239</v>
      </c>
      <c r="E97" s="800">
        <f>'22-TaxRates'!C6</f>
        <v>0.21</v>
      </c>
      <c r="F97" t="s">
        <v>240</v>
      </c>
      <c r="H97" s="4">
        <f t="shared" ref="H97:H99" si="21">A97</f>
        <v>400</v>
      </c>
    </row>
    <row r="98" spans="1:8">
      <c r="A98" s="4">
        <f>A97+1</f>
        <v>401</v>
      </c>
      <c r="C98" t="s">
        <v>241</v>
      </c>
      <c r="E98" s="801">
        <f>'22-TaxRates'!C7</f>
        <v>8.8400000000000006E-2</v>
      </c>
      <c r="F98" t="s">
        <v>242</v>
      </c>
      <c r="H98" s="4">
        <f t="shared" si="21"/>
        <v>401</v>
      </c>
    </row>
    <row r="99" spans="1:8">
      <c r="A99" s="4">
        <f>A98+1</f>
        <v>402</v>
      </c>
      <c r="C99" s="2" t="s">
        <v>243</v>
      </c>
      <c r="D99" s="2"/>
      <c r="E99" s="799">
        <f>(E97+E98)-(E97*E98)</f>
        <v>0.27983599999999997</v>
      </c>
      <c r="F99" s="8" t="str">
        <f>"(Line "&amp;A97&amp;" + Line "&amp;A98&amp;") - (Line "&amp;A97&amp;" * Line "&amp;A98&amp;")"</f>
        <v>(Line 400 + Line 401) - (Line 400 * Line 401)</v>
      </c>
      <c r="H99" s="4">
        <f t="shared" si="21"/>
        <v>402</v>
      </c>
    </row>
    <row r="101" spans="1:8">
      <c r="C101" s="1" t="s">
        <v>244</v>
      </c>
      <c r="H101" s="4"/>
    </row>
    <row r="102" spans="1:8">
      <c r="A102" s="4">
        <f>A99+1</f>
        <v>403</v>
      </c>
      <c r="C102" t="s">
        <v>245</v>
      </c>
      <c r="E102" s="789">
        <v>12366737.300944462</v>
      </c>
      <c r="F102" s="445" t="s">
        <v>246</v>
      </c>
      <c r="H102" s="4">
        <f t="shared" ref="H102:H103" si="22">A102</f>
        <v>403</v>
      </c>
    </row>
    <row r="103" spans="1:8">
      <c r="A103" s="4">
        <f>A102+1</f>
        <v>404</v>
      </c>
      <c r="C103" s="2" t="s">
        <v>247</v>
      </c>
      <c r="E103" s="536">
        <f>SUM(E102:E102)</f>
        <v>12366737.300944462</v>
      </c>
      <c r="F103" t="str">
        <f>"Line "&amp;A102&amp;""</f>
        <v>Line 403</v>
      </c>
      <c r="H103" s="4">
        <f t="shared" si="22"/>
        <v>404</v>
      </c>
    </row>
    <row r="104" spans="1:8">
      <c r="E104" s="12"/>
      <c r="H104" s="4"/>
    </row>
    <row r="105" spans="1:8">
      <c r="C105" s="1" t="s">
        <v>248</v>
      </c>
      <c r="D105" s="1"/>
      <c r="E105" s="12"/>
    </row>
    <row r="106" spans="1:8">
      <c r="A106" s="4">
        <f>A103+1</f>
        <v>405</v>
      </c>
      <c r="C106" s="8" t="s">
        <v>249</v>
      </c>
      <c r="E106" s="790">
        <v>-22467507.798090994</v>
      </c>
      <c r="F106" s="445" t="s">
        <v>250</v>
      </c>
      <c r="G106" t="s">
        <v>251</v>
      </c>
      <c r="H106" s="4">
        <f t="shared" ref="H106:H108" si="23">A106</f>
        <v>405</v>
      </c>
    </row>
    <row r="107" spans="1:8">
      <c r="A107" s="4">
        <f t="shared" ref="A107" si="24">A106+1</f>
        <v>406</v>
      </c>
      <c r="C107" t="s">
        <v>252</v>
      </c>
      <c r="E107" s="377">
        <v>-730746.12297081097</v>
      </c>
      <c r="F107" s="445" t="s">
        <v>253</v>
      </c>
      <c r="H107" s="4">
        <f t="shared" si="23"/>
        <v>406</v>
      </c>
    </row>
    <row r="108" spans="1:8">
      <c r="A108" s="4">
        <f>A107+1</f>
        <v>407</v>
      </c>
      <c r="C108" s="2" t="s">
        <v>254</v>
      </c>
      <c r="D108" s="2"/>
      <c r="E108" s="63">
        <f>SUM(E106:E107)</f>
        <v>-23198253.921061806</v>
      </c>
      <c r="F108" t="str">
        <f>"Line "&amp;A106&amp;" + Line "&amp;A107&amp;""</f>
        <v>Line 405 + Line 406</v>
      </c>
      <c r="H108" s="4">
        <f t="shared" si="23"/>
        <v>407</v>
      </c>
    </row>
    <row r="109" spans="1:8">
      <c r="E109" s="11"/>
    </row>
    <row r="110" spans="1:8">
      <c r="A110" s="4">
        <f>A108+1</f>
        <v>408</v>
      </c>
      <c r="C110" s="2" t="s">
        <v>255</v>
      </c>
      <c r="E110" s="63">
        <f ca="1">(((E115*E116)+E119-E120)*(E117/(1-E117)))+E118/(1-E117)</f>
        <v>180389848.73817015</v>
      </c>
      <c r="F110" t="str">
        <f>"Line "&amp;A112&amp;""</f>
        <v>Line 409</v>
      </c>
      <c r="H110" s="4">
        <f t="shared" ref="H110" si="25">A110</f>
        <v>408</v>
      </c>
    </row>
    <row r="112" spans="1:8">
      <c r="A112" s="4">
        <f>A110+1</f>
        <v>409</v>
      </c>
      <c r="C112" t="s">
        <v>256</v>
      </c>
      <c r="H112" s="4">
        <f t="shared" ref="H112" si="26">A112</f>
        <v>409</v>
      </c>
    </row>
    <row r="114" spans="1:8">
      <c r="C114" t="s">
        <v>257</v>
      </c>
    </row>
    <row r="115" spans="1:8">
      <c r="A115" s="4">
        <f>A112+1</f>
        <v>410</v>
      </c>
      <c r="C115" s="26" t="s">
        <v>258</v>
      </c>
      <c r="D115" s="26"/>
      <c r="E115" s="23">
        <f ca="1">+E30</f>
        <v>10231930896.891169</v>
      </c>
      <c r="F115" t="str">
        <f>"Line "&amp;A30&amp;""</f>
        <v>Line 115</v>
      </c>
      <c r="G115" s="12"/>
      <c r="H115" s="4">
        <f t="shared" ref="H115:H120" si="27">A115</f>
        <v>410</v>
      </c>
    </row>
    <row r="116" spans="1:8">
      <c r="A116" s="4">
        <f>A115+1</f>
        <v>411</v>
      </c>
      <c r="C116" s="9" t="s">
        <v>259</v>
      </c>
      <c r="D116" s="9"/>
      <c r="E116" s="22">
        <f>+E68</f>
        <v>5.2264807947588816E-2</v>
      </c>
      <c r="F116" t="str">
        <f>"Line "&amp;A68&amp;""</f>
        <v>Line 220</v>
      </c>
      <c r="H116" s="4">
        <f t="shared" si="27"/>
        <v>411</v>
      </c>
    </row>
    <row r="117" spans="1:8">
      <c r="A117" s="4">
        <f t="shared" ref="A117:A120" si="28">A116+1</f>
        <v>412</v>
      </c>
      <c r="C117" s="26" t="s">
        <v>260</v>
      </c>
      <c r="D117" s="26"/>
      <c r="E117" s="802">
        <f>+E99</f>
        <v>0.27983599999999997</v>
      </c>
      <c r="F117" t="str">
        <f>"Line "&amp;A99&amp;""</f>
        <v>Line 402</v>
      </c>
      <c r="H117" s="4">
        <f t="shared" si="27"/>
        <v>412</v>
      </c>
    </row>
    <row r="118" spans="1:8">
      <c r="A118" s="4">
        <f t="shared" si="28"/>
        <v>413</v>
      </c>
      <c r="C118" s="26" t="s">
        <v>261</v>
      </c>
      <c r="D118" s="26"/>
      <c r="E118" s="23">
        <f>+E108</f>
        <v>-23198253.921061806</v>
      </c>
      <c r="F118" t="str">
        <f>"Line "&amp;A108&amp;""</f>
        <v>Line 407</v>
      </c>
      <c r="H118" s="4">
        <f t="shared" si="27"/>
        <v>413</v>
      </c>
    </row>
    <row r="119" spans="1:8">
      <c r="A119" s="4">
        <f t="shared" si="28"/>
        <v>414</v>
      </c>
      <c r="C119" s="26" t="s">
        <v>262</v>
      </c>
      <c r="D119" s="26"/>
      <c r="E119" s="23">
        <f>+E103</f>
        <v>12366737.300944462</v>
      </c>
      <c r="F119" t="str">
        <f>"Line "&amp;A103&amp;""</f>
        <v>Line 404</v>
      </c>
      <c r="H119" s="4">
        <f t="shared" si="27"/>
        <v>414</v>
      </c>
    </row>
    <row r="120" spans="1:8">
      <c r="A120" s="4">
        <f t="shared" si="28"/>
        <v>415</v>
      </c>
      <c r="C120" s="26" t="s">
        <v>263</v>
      </c>
      <c r="D120" s="26"/>
      <c r="E120" s="23">
        <f ca="1">E72</f>
        <v>0</v>
      </c>
      <c r="F120" t="str">
        <f>"Line "&amp;A72&amp;""</f>
        <v>Line 223</v>
      </c>
      <c r="H120" s="4">
        <f t="shared" si="27"/>
        <v>415</v>
      </c>
    </row>
    <row r="121" spans="1:8">
      <c r="H121" s="4"/>
    </row>
    <row r="122" spans="1:8">
      <c r="C122" s="45" t="s">
        <v>264</v>
      </c>
      <c r="D122" s="47"/>
      <c r="E122" s="47"/>
      <c r="F122" s="47"/>
      <c r="G122" s="47"/>
    </row>
    <row r="123" spans="1:8">
      <c r="A123" s="3" t="s">
        <v>100</v>
      </c>
      <c r="B123" s="3"/>
      <c r="C123" s="3" t="s">
        <v>6</v>
      </c>
      <c r="E123" s="3" t="s">
        <v>134</v>
      </c>
      <c r="F123" s="3" t="s">
        <v>135</v>
      </c>
      <c r="G123" s="3" t="s">
        <v>136</v>
      </c>
      <c r="H123" s="3" t="str">
        <f>A123</f>
        <v>Line</v>
      </c>
    </row>
    <row r="124" spans="1:8">
      <c r="C124" s="1" t="s">
        <v>265</v>
      </c>
      <c r="D124" s="1"/>
    </row>
    <row r="125" spans="1:8">
      <c r="A125" s="4">
        <v>500</v>
      </c>
      <c r="C125" t="s">
        <v>266</v>
      </c>
      <c r="E125" s="23">
        <f>'18-OandM'!P10</f>
        <v>648895032.04825652</v>
      </c>
      <c r="F125" t="s">
        <v>267</v>
      </c>
      <c r="H125" s="4">
        <f t="shared" ref="H125:H160" si="29">A125</f>
        <v>500</v>
      </c>
    </row>
    <row r="126" spans="1:8">
      <c r="A126" s="4">
        <f>A125+1</f>
        <v>501</v>
      </c>
      <c r="C126" t="s">
        <v>268</v>
      </c>
      <c r="E126" s="23">
        <f>'19-AandG'!F46</f>
        <v>400409889.77531981</v>
      </c>
      <c r="F126" t="s">
        <v>269</v>
      </c>
      <c r="H126" s="4">
        <f t="shared" si="29"/>
        <v>501</v>
      </c>
    </row>
    <row r="127" spans="1:8">
      <c r="A127" s="4">
        <f t="shared" ref="A127:A137" si="30">A126+1</f>
        <v>502</v>
      </c>
      <c r="C127" t="s">
        <v>270</v>
      </c>
      <c r="E127" s="23">
        <f>'15-NUC'!C16</f>
        <v>7472552.4640722312</v>
      </c>
      <c r="F127" t="s">
        <v>271</v>
      </c>
      <c r="H127" s="4">
        <f t="shared" si="29"/>
        <v>502</v>
      </c>
    </row>
    <row r="128" spans="1:8">
      <c r="A128" s="4">
        <f t="shared" si="30"/>
        <v>503</v>
      </c>
      <c r="C128" t="s">
        <v>272</v>
      </c>
      <c r="E128" s="23">
        <f>'11-Depreciation'!O15+'11-Depreciation'!C61</f>
        <v>497742978.89928067</v>
      </c>
      <c r="F128" t="s">
        <v>273</v>
      </c>
      <c r="H128" s="4">
        <f t="shared" si="29"/>
        <v>503</v>
      </c>
    </row>
    <row r="129" spans="1:8">
      <c r="A129" s="4">
        <f t="shared" si="30"/>
        <v>504</v>
      </c>
      <c r="C129" s="8" t="s">
        <v>274</v>
      </c>
      <c r="E129" s="23">
        <f>'11-Depreciation'!F131</f>
        <v>2482563.4968008399</v>
      </c>
      <c r="F129" t="s">
        <v>275</v>
      </c>
      <c r="H129" s="4">
        <f t="shared" si="29"/>
        <v>504</v>
      </c>
    </row>
    <row r="130" spans="1:8">
      <c r="A130" s="4">
        <f t="shared" si="30"/>
        <v>505</v>
      </c>
      <c r="C130" t="s">
        <v>276</v>
      </c>
      <c r="E130" s="23">
        <f ca="1">'8-AbandonedPlant'!I14</f>
        <v>0</v>
      </c>
      <c r="F130" t="s">
        <v>277</v>
      </c>
      <c r="H130" s="4">
        <f t="shared" si="29"/>
        <v>505</v>
      </c>
    </row>
    <row r="131" spans="1:8">
      <c r="A131" s="4">
        <f t="shared" si="30"/>
        <v>506</v>
      </c>
      <c r="C131" t="s">
        <v>278</v>
      </c>
      <c r="E131" s="23">
        <f ca="1">E73</f>
        <v>714460515.68749559</v>
      </c>
      <c r="F131" t="str">
        <f>"Line "&amp;A73&amp;""</f>
        <v>Line 224</v>
      </c>
      <c r="H131" s="4">
        <f t="shared" si="29"/>
        <v>506</v>
      </c>
    </row>
    <row r="132" spans="1:8">
      <c r="A132" s="4">
        <f t="shared" si="30"/>
        <v>507</v>
      </c>
      <c r="C132" t="s">
        <v>279</v>
      </c>
      <c r="E132" s="23">
        <f>E93</f>
        <v>136508486.6180096</v>
      </c>
      <c r="F132" t="str">
        <f>"Line "&amp;A93&amp;""</f>
        <v>Line 311</v>
      </c>
      <c r="H132" s="4">
        <f t="shared" si="29"/>
        <v>507</v>
      </c>
    </row>
    <row r="133" spans="1:8">
      <c r="A133" s="4">
        <f t="shared" si="30"/>
        <v>508</v>
      </c>
      <c r="C133" t="s">
        <v>280</v>
      </c>
      <c r="E133" s="23">
        <f ca="1">E110</f>
        <v>180389848.73817015</v>
      </c>
      <c r="F133" t="str">
        <f>"Line "&amp;A110&amp;""</f>
        <v>Line 408</v>
      </c>
      <c r="H133" s="4">
        <f t="shared" si="29"/>
        <v>508</v>
      </c>
    </row>
    <row r="134" spans="1:8">
      <c r="A134" s="4">
        <f t="shared" si="30"/>
        <v>509</v>
      </c>
      <c r="C134" t="s">
        <v>55</v>
      </c>
      <c r="E134" s="23">
        <f>-'20-RevenueCredits'!H10</f>
        <v>-17464775</v>
      </c>
      <c r="F134" t="s">
        <v>281</v>
      </c>
      <c r="G134" t="s">
        <v>282</v>
      </c>
      <c r="H134" s="4">
        <f t="shared" si="29"/>
        <v>509</v>
      </c>
    </row>
    <row r="135" spans="1:8">
      <c r="A135" s="4">
        <f t="shared" si="30"/>
        <v>510</v>
      </c>
      <c r="C135" t="s">
        <v>283</v>
      </c>
      <c r="E135" s="23">
        <f>-'21-NPandS'!C39</f>
        <v>-17690454.906901166</v>
      </c>
      <c r="F135" t="s">
        <v>284</v>
      </c>
      <c r="G135" t="s">
        <v>282</v>
      </c>
      <c r="H135" s="4">
        <f t="shared" si="29"/>
        <v>510</v>
      </c>
    </row>
    <row r="136" spans="1:8">
      <c r="A136" s="4">
        <f t="shared" si="30"/>
        <v>511</v>
      </c>
      <c r="C136" t="s">
        <v>285</v>
      </c>
      <c r="E136" s="17">
        <f>'17-RegAssets-1'!E27</f>
        <v>0</v>
      </c>
      <c r="F136" t="s">
        <v>286</v>
      </c>
      <c r="G136" t="s">
        <v>287</v>
      </c>
      <c r="H136" s="4">
        <f t="shared" si="29"/>
        <v>511</v>
      </c>
    </row>
    <row r="137" spans="1:8">
      <c r="A137" s="4">
        <f t="shared" si="30"/>
        <v>512</v>
      </c>
      <c r="C137" s="2" t="s">
        <v>288</v>
      </c>
      <c r="D137" s="2"/>
      <c r="E137" s="63">
        <f ca="1">SUM(E125:E136)</f>
        <v>2553206637.8205042</v>
      </c>
      <c r="F137" t="str">
        <f>"Sum of Lines "&amp;A125&amp;" to Line "&amp;A136&amp;""</f>
        <v>Sum of Lines 500 to Line 511</v>
      </c>
      <c r="H137" s="4">
        <f t="shared" si="29"/>
        <v>512</v>
      </c>
    </row>
    <row r="138" spans="1:8">
      <c r="H138" s="4"/>
    </row>
    <row r="139" spans="1:8">
      <c r="C139" s="1" t="s">
        <v>289</v>
      </c>
      <c r="D139" s="1"/>
      <c r="H139" s="4"/>
    </row>
    <row r="140" spans="1:8">
      <c r="A140" s="4">
        <f>+A137+1</f>
        <v>513</v>
      </c>
      <c r="C140" t="s">
        <v>290</v>
      </c>
      <c r="E140" s="372">
        <f>'25-RFandUFactors'!E21</f>
        <v>7.5170000000000011E-3</v>
      </c>
      <c r="F140" t="s">
        <v>291</v>
      </c>
      <c r="H140" s="4">
        <f t="shared" si="29"/>
        <v>513</v>
      </c>
    </row>
    <row r="141" spans="1:8">
      <c r="A141" s="4">
        <f>A140+1</f>
        <v>514</v>
      </c>
      <c r="C141" t="s">
        <v>292</v>
      </c>
      <c r="D141" s="2"/>
      <c r="E141" s="33">
        <f>'25-RFandUFactors'!E22</f>
        <v>2.7300000000000002E-4</v>
      </c>
      <c r="F141" t="s">
        <v>293</v>
      </c>
      <c r="H141" s="4">
        <f t="shared" si="29"/>
        <v>514</v>
      </c>
    </row>
    <row r="142" spans="1:8">
      <c r="A142" s="4">
        <f>A141+1</f>
        <v>515</v>
      </c>
      <c r="C142" s="2" t="s">
        <v>294</v>
      </c>
      <c r="D142" s="2"/>
      <c r="E142" s="63">
        <f ca="1">(E140+E141)*E137</f>
        <v>19889479.708621729</v>
      </c>
      <c r="F142" s="8" t="str">
        <f>"Line "&amp;A137&amp;" * (Line "&amp;A140&amp;" + Line "&amp;A141&amp;")"</f>
        <v>Line 512 * (Line 513 + Line 514)</v>
      </c>
      <c r="H142" s="4">
        <f t="shared" si="29"/>
        <v>515</v>
      </c>
    </row>
    <row r="143" spans="1:8">
      <c r="H143" s="4"/>
    </row>
    <row r="144" spans="1:8">
      <c r="A144" s="4">
        <f>A142+1</f>
        <v>516</v>
      </c>
      <c r="C144" s="2" t="s">
        <v>295</v>
      </c>
      <c r="D144" s="2"/>
      <c r="E144" s="63">
        <f ca="1">E142+E137</f>
        <v>2573096117.5291257</v>
      </c>
      <c r="F144" t="str">
        <f>"Line "&amp;A137&amp;" + Line "&amp;A142&amp;""</f>
        <v>Line 512 + Line 515</v>
      </c>
      <c r="H144" s="4">
        <f t="shared" si="29"/>
        <v>516</v>
      </c>
    </row>
    <row r="145" spans="1:8">
      <c r="H145" s="4"/>
    </row>
    <row r="146" spans="1:8">
      <c r="A146"/>
      <c r="B146"/>
      <c r="C146" s="45" t="s">
        <v>296</v>
      </c>
      <c r="D146" s="47"/>
      <c r="E146" s="47"/>
      <c r="F146" s="47"/>
      <c r="G146" s="47"/>
    </row>
    <row r="147" spans="1:8">
      <c r="A147" s="3" t="s">
        <v>100</v>
      </c>
      <c r="B147" s="3"/>
      <c r="C147" s="3" t="s">
        <v>6</v>
      </c>
      <c r="E147" s="3" t="s">
        <v>134</v>
      </c>
      <c r="F147" s="3" t="s">
        <v>135</v>
      </c>
      <c r="G147" s="3" t="s">
        <v>136</v>
      </c>
      <c r="H147" s="3" t="str">
        <f>A147</f>
        <v>Line</v>
      </c>
    </row>
    <row r="148" spans="1:8">
      <c r="A148" s="4">
        <v>600</v>
      </c>
      <c r="C148" t="s">
        <v>295</v>
      </c>
      <c r="E148" s="23">
        <f ca="1">+E144</f>
        <v>2573096117.5291257</v>
      </c>
      <c r="F148" t="str">
        <f>"Line "&amp;A144&amp;""</f>
        <v>Line 516</v>
      </c>
      <c r="H148" s="4">
        <f t="shared" si="29"/>
        <v>600</v>
      </c>
    </row>
    <row r="149" spans="1:8">
      <c r="A149" s="4">
        <f>A148+1</f>
        <v>601</v>
      </c>
      <c r="C149" t="s">
        <v>297</v>
      </c>
      <c r="E149" s="23">
        <f ca="1">'2-ITRR'!D34</f>
        <v>302150263.24919975</v>
      </c>
      <c r="F149" t="str">
        <f>CONCATENATE("2-ITRR, L. ",'2-ITRR'!A34)</f>
        <v>2-ITRR, L. 209</v>
      </c>
      <c r="H149" s="4">
        <f t="shared" si="29"/>
        <v>601</v>
      </c>
    </row>
    <row r="150" spans="1:8">
      <c r="A150" s="4">
        <f>A149+1</f>
        <v>602</v>
      </c>
      <c r="C150" t="s">
        <v>14</v>
      </c>
      <c r="E150" s="17">
        <f>IF(G1&gt;2020,'4-ATA'!B95,0)</f>
        <v>289713269</v>
      </c>
      <c r="F150" t="str">
        <f>CONCATENATE("4-ATA, L. ",'4-ATA'!A95)</f>
        <v>4-ATA, L. 400</v>
      </c>
      <c r="G150" s="36"/>
      <c r="H150" s="4">
        <f t="shared" si="29"/>
        <v>602</v>
      </c>
    </row>
    <row r="151" spans="1:8">
      <c r="A151" s="4">
        <f>A150+1</f>
        <v>603</v>
      </c>
      <c r="C151" s="2" t="s">
        <v>298</v>
      </c>
      <c r="E151" s="63">
        <f ca="1">SUM(E148:E150)</f>
        <v>3164959649.7783256</v>
      </c>
      <c r="F151" t="str">
        <f>"Sum of Lines "&amp;A148&amp;" to Line "&amp;A150&amp;""</f>
        <v>Sum of Lines 600 to Line 602</v>
      </c>
      <c r="H151" s="4">
        <f t="shared" si="29"/>
        <v>603</v>
      </c>
    </row>
    <row r="152" spans="1:8">
      <c r="H152" s="4"/>
    </row>
    <row r="153" spans="1:8">
      <c r="A153"/>
      <c r="B153"/>
      <c r="C153" s="45" t="s">
        <v>299</v>
      </c>
      <c r="D153" s="47"/>
      <c r="E153" s="47"/>
      <c r="F153" s="47"/>
      <c r="G153" s="47"/>
    </row>
    <row r="154" spans="1:8">
      <c r="A154" s="3" t="s">
        <v>100</v>
      </c>
      <c r="B154" s="3"/>
      <c r="C154" s="3" t="s">
        <v>6</v>
      </c>
      <c r="E154" s="3" t="s">
        <v>134</v>
      </c>
      <c r="F154" s="3" t="s">
        <v>135</v>
      </c>
      <c r="G154" s="3" t="s">
        <v>136</v>
      </c>
      <c r="H154" s="3" t="str">
        <f>A154</f>
        <v>Line</v>
      </c>
    </row>
    <row r="155" spans="1:8">
      <c r="A155" s="4">
        <v>700</v>
      </c>
      <c r="C155" t="s">
        <v>300</v>
      </c>
      <c r="E155" s="10">
        <f>'25-RFandUFactors'!E23</f>
        <v>2.9529999999999999E-3</v>
      </c>
      <c r="F155" t="s">
        <v>301</v>
      </c>
      <c r="G155" s="3"/>
      <c r="H155" s="4">
        <f t="shared" si="29"/>
        <v>700</v>
      </c>
    </row>
    <row r="156" spans="1:8">
      <c r="E156" s="10"/>
      <c r="F156" s="3"/>
      <c r="G156" s="3"/>
      <c r="H156" s="4"/>
    </row>
    <row r="157" spans="1:8">
      <c r="A157" s="4">
        <f>A155+1</f>
        <v>701</v>
      </c>
      <c r="C157" t="s">
        <v>302</v>
      </c>
      <c r="E157" s="23">
        <f ca="1">E155*E151</f>
        <v>9346125.8457953949</v>
      </c>
      <c r="F157" t="str">
        <f>"Line "&amp;A155&amp;" * Line "&amp;A151&amp;""</f>
        <v>Line 700 * Line 603</v>
      </c>
      <c r="G157" s="3"/>
      <c r="H157" s="4">
        <f t="shared" si="29"/>
        <v>701</v>
      </c>
    </row>
    <row r="158" spans="1:8">
      <c r="A158" s="4">
        <f t="shared" ref="A158:A160" si="31">A157+1</f>
        <v>702</v>
      </c>
      <c r="C158" t="s">
        <v>303</v>
      </c>
      <c r="E158" s="23">
        <f>'23-RetailSGTax'!D38</f>
        <v>4649585.8590092398</v>
      </c>
      <c r="F158" t="s">
        <v>304</v>
      </c>
      <c r="H158" s="4">
        <f t="shared" si="29"/>
        <v>702</v>
      </c>
    </row>
    <row r="159" spans="1:8">
      <c r="A159" s="4">
        <f t="shared" si="31"/>
        <v>703</v>
      </c>
      <c r="C159" t="s">
        <v>298</v>
      </c>
      <c r="E159" s="17">
        <f ca="1">E151</f>
        <v>3164959649.7783256</v>
      </c>
      <c r="F159" t="str">
        <f>"Line "&amp;A151&amp;""</f>
        <v>Line 603</v>
      </c>
      <c r="H159" s="4">
        <f t="shared" si="29"/>
        <v>703</v>
      </c>
    </row>
    <row r="160" spans="1:8">
      <c r="A160" s="4">
        <f t="shared" si="31"/>
        <v>704</v>
      </c>
      <c r="C160" s="2" t="s">
        <v>305</v>
      </c>
      <c r="E160" s="63">
        <f ca="1">SUM(E157:E159)</f>
        <v>3178955361.48313</v>
      </c>
      <c r="F160" t="str">
        <f>"Sum of Lines "&amp;A157&amp;" to Line "&amp;A159&amp;""</f>
        <v>Sum of Lines 701 to Line 703</v>
      </c>
      <c r="H160" s="4">
        <f t="shared" si="29"/>
        <v>704</v>
      </c>
    </row>
    <row r="162" spans="3:7">
      <c r="E162" s="34"/>
      <c r="F162" s="29"/>
    </row>
    <row r="163" spans="3:7">
      <c r="C163" s="7" t="s">
        <v>306</v>
      </c>
    </row>
    <row r="164" spans="3:7">
      <c r="C164" s="813" t="s">
        <v>307</v>
      </c>
      <c r="D164" s="813"/>
      <c r="E164" s="813"/>
      <c r="F164" s="813"/>
      <c r="G164" s="813"/>
    </row>
    <row r="165" spans="3:7">
      <c r="C165" s="814" t="s">
        <v>308</v>
      </c>
      <c r="D165" s="814"/>
      <c r="E165" s="814"/>
      <c r="F165" s="814"/>
      <c r="G165" s="814"/>
    </row>
    <row r="166" spans="3:7" ht="15" customHeight="1">
      <c r="C166" s="815" t="s">
        <v>309</v>
      </c>
      <c r="D166" s="815"/>
      <c r="E166" s="815"/>
      <c r="F166" s="815"/>
      <c r="G166" s="815"/>
    </row>
    <row r="167" spans="3:7">
      <c r="C167" s="815"/>
      <c r="D167" s="815"/>
      <c r="E167" s="815"/>
      <c r="F167" s="815"/>
      <c r="G167" s="815"/>
    </row>
    <row r="168" spans="3:7">
      <c r="C168" s="815"/>
      <c r="D168" s="815"/>
      <c r="E168" s="815"/>
      <c r="F168" s="815"/>
      <c r="G168" s="815"/>
    </row>
    <row r="169" spans="3:7">
      <c r="C169" s="813" t="s">
        <v>310</v>
      </c>
      <c r="D169" s="813"/>
      <c r="E169" s="813"/>
      <c r="F169" s="813"/>
      <c r="G169" s="813"/>
    </row>
  </sheetData>
  <mergeCells count="4">
    <mergeCell ref="C169:G169"/>
    <mergeCell ref="C164:G164"/>
    <mergeCell ref="C165:G165"/>
    <mergeCell ref="C166:G168"/>
  </mergeCells>
  <phoneticPr fontId="113" type="noConversion"/>
  <printOptions horizontalCentered="1"/>
  <pageMargins left="1" right="1" top="1" bottom="1" header="0.5" footer="0.5"/>
  <pageSetup scale="48" fitToHeight="0" orientation="portrait" r:id="rId1"/>
  <headerFooter>
    <oddHeader>&amp;C&amp;"-,Bold"&amp;12Pacific Gas and Electric Company
Formula Rate Model
Schedule 1-BaseTRR</oddHeader>
  </headerFooter>
  <rowBreaks count="1" manualBreakCount="1">
    <brk id="92" max="16383" man="1"/>
  </rowBreaks>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G38"/>
  <sheetViews>
    <sheetView view="pageBreakPreview" topLeftCell="A5" zoomScaleNormal="100" zoomScaleSheetLayoutView="100" zoomScalePageLayoutView="70" workbookViewId="0">
      <selection activeCell="D34" sqref="D34"/>
    </sheetView>
  </sheetViews>
  <sheetFormatPr defaultColWidth="9.140625" defaultRowHeight="15"/>
  <cols>
    <col min="1" max="1" width="4.5703125" bestFit="1" customWidth="1"/>
    <col min="2" max="2" width="45.42578125" bestFit="1" customWidth="1"/>
    <col min="3" max="3" width="4.5703125" customWidth="1"/>
    <col min="4" max="4" width="15.5703125" bestFit="1" customWidth="1"/>
    <col min="5" max="5" width="62.140625" bestFit="1" customWidth="1"/>
    <col min="6" max="6" width="27" customWidth="1"/>
    <col min="7" max="7" width="4.5703125" bestFit="1" customWidth="1"/>
  </cols>
  <sheetData>
    <row r="1" spans="1:7">
      <c r="B1" s="2" t="s">
        <v>10</v>
      </c>
      <c r="F1" s="6" t="str">
        <f>CONCATENATE("Rate Year: ",'1-BaseTRR'!$G$1)</f>
        <v>Rate Year: 2023</v>
      </c>
    </row>
    <row r="2" spans="1:7">
      <c r="F2" s="6" t="str">
        <f>CONCATENATE("Prior Year: ",'1-BaseTRR'!$G$2)</f>
        <v>Prior Year: 2021</v>
      </c>
    </row>
    <row r="3" spans="1:7">
      <c r="B3" s="5"/>
      <c r="G3" s="3"/>
    </row>
    <row r="4" spans="1:7">
      <c r="B4" s="50" t="s">
        <v>311</v>
      </c>
      <c r="C4" s="50"/>
      <c r="D4" s="47"/>
      <c r="E4" s="47"/>
      <c r="F4" s="47"/>
    </row>
    <row r="5" spans="1:7">
      <c r="A5" s="3" t="s">
        <v>100</v>
      </c>
      <c r="B5" s="3" t="s">
        <v>6</v>
      </c>
      <c r="D5" s="3" t="s">
        <v>134</v>
      </c>
      <c r="E5" s="3" t="s">
        <v>135</v>
      </c>
      <c r="F5" s="3" t="s">
        <v>136</v>
      </c>
      <c r="G5" s="3" t="str">
        <f>A5</f>
        <v>Line</v>
      </c>
    </row>
    <row r="6" spans="1:7">
      <c r="A6" s="4">
        <v>100</v>
      </c>
      <c r="B6" t="s">
        <v>312</v>
      </c>
      <c r="C6" s="2"/>
      <c r="G6" s="4">
        <f>A6</f>
        <v>100</v>
      </c>
    </row>
    <row r="7" spans="1:7">
      <c r="A7" s="4"/>
      <c r="G7" s="4"/>
    </row>
    <row r="8" spans="1:7">
      <c r="A8" s="4"/>
      <c r="B8" s="7" t="s">
        <v>313</v>
      </c>
      <c r="C8" s="7"/>
      <c r="G8" s="4"/>
    </row>
    <row r="9" spans="1:7">
      <c r="A9" s="4">
        <f>A6+1</f>
        <v>101</v>
      </c>
      <c r="B9" t="s">
        <v>314</v>
      </c>
      <c r="D9" s="23">
        <f>'7-PlantInService'!P24</f>
        <v>14839705596</v>
      </c>
      <c r="E9" t="s">
        <v>139</v>
      </c>
      <c r="G9" s="4">
        <f t="shared" ref="G9:G34" si="0">A9</f>
        <v>101</v>
      </c>
    </row>
    <row r="10" spans="1:7">
      <c r="A10" s="4">
        <f>A9+1</f>
        <v>102</v>
      </c>
      <c r="B10" t="s">
        <v>315</v>
      </c>
      <c r="D10" s="17">
        <f>'10-AccDep'!P26</f>
        <v>3464493186</v>
      </c>
      <c r="E10" t="s">
        <v>155</v>
      </c>
      <c r="G10" s="4">
        <f t="shared" si="0"/>
        <v>102</v>
      </c>
    </row>
    <row r="11" spans="1:7">
      <c r="A11" s="4">
        <f>A10+1</f>
        <v>103</v>
      </c>
      <c r="B11" s="2" t="s">
        <v>316</v>
      </c>
      <c r="D11" s="63">
        <f>D9-D10</f>
        <v>11375212410</v>
      </c>
      <c r="E11" t="str">
        <f>"Line "&amp;A9&amp;" - Line "&amp;A10&amp;""</f>
        <v>Line 101 - Line 102</v>
      </c>
      <c r="G11" s="4">
        <f t="shared" si="0"/>
        <v>103</v>
      </c>
    </row>
    <row r="12" spans="1:7">
      <c r="A12" s="4"/>
      <c r="G12" s="4"/>
    </row>
    <row r="13" spans="1:7">
      <c r="A13" s="4"/>
      <c r="B13" s="7" t="s">
        <v>317</v>
      </c>
      <c r="C13" s="7"/>
      <c r="G13" s="4"/>
    </row>
    <row r="14" spans="1:7">
      <c r="A14" s="4">
        <f>A11+1</f>
        <v>104</v>
      </c>
      <c r="B14" t="s">
        <v>318</v>
      </c>
      <c r="D14" s="23">
        <f ca="1">'1-BaseTRR'!E137-(('1-BaseTRR'!E125+'1-BaseTRR'!E126)*0.75)</f>
        <v>1766227946.452822</v>
      </c>
      <c r="E14" t="str">
        <f>CONCATENATE("1-BaseTRR, L. ",'1-BaseTRR'!A137," - [75%*(1-BaseTRR, L. 500 + L. 501 )]")</f>
        <v>1-BaseTRR, L. 512 - [75%*(1-BaseTRR, L. 500 + L. 501 )]</v>
      </c>
      <c r="G14" s="4">
        <f t="shared" si="0"/>
        <v>104</v>
      </c>
    </row>
    <row r="15" spans="1:7">
      <c r="A15" s="4">
        <f>+A14+1</f>
        <v>105</v>
      </c>
      <c r="B15" t="s">
        <v>319</v>
      </c>
      <c r="C15" s="518"/>
      <c r="D15" s="23">
        <f>-+'1-BaseTRR'!E128+-'1-BaseTRR'!E129+'11-Depreciation'!C61</f>
        <v>-406087727.93186581</v>
      </c>
      <c r="E15" t="str">
        <f>CONCATENATE("1-BaseTRR, L. ",'1-BaseTRR'!A128," + L. ",'1-BaseTRR'!A129," - ","11-Depreciation, L. ",'11-Depreciation'!A61,", col 1 ")</f>
        <v xml:space="preserve">1-BaseTRR, L. 503 + L. 504 - 11-Depreciation, L. 500, col 1 </v>
      </c>
      <c r="F15" s="336"/>
      <c r="G15" s="4">
        <f t="shared" si="0"/>
        <v>105</v>
      </c>
    </row>
    <row r="16" spans="1:7" ht="30.75" customHeight="1">
      <c r="A16" s="4">
        <f t="shared" ref="A16:A17" si="1">+A15+1</f>
        <v>106</v>
      </c>
      <c r="B16" t="s">
        <v>320</v>
      </c>
      <c r="D16" s="578">
        <f>-('1-BaseTRR'!E25*'1-BaseTRR'!E68)*(1+'1-BaseTRR'!E99/(1-'1-BaseTRR'!E99))-('1-BaseTRR'!E25*'1-BaseTRR'!E63)</f>
        <v>184226635.42228216</v>
      </c>
      <c r="E16" s="37" t="s">
        <v>321</v>
      </c>
      <c r="F16" s="37"/>
      <c r="G16" s="4">
        <f t="shared" si="0"/>
        <v>106</v>
      </c>
    </row>
    <row r="17" spans="1:7">
      <c r="A17" s="4">
        <f t="shared" si="1"/>
        <v>107</v>
      </c>
      <c r="B17" s="2" t="s">
        <v>322</v>
      </c>
      <c r="D17" s="63">
        <f ca="1">SUM(D14:D16)</f>
        <v>1544366853.9432383</v>
      </c>
      <c r="E17" s="8" t="str">
        <f>"Line "&amp;A14&amp;" + Line "&amp;A15&amp;" + Line "&amp;A16&amp;""</f>
        <v>Line 104 + Line 105 + Line 106</v>
      </c>
      <c r="G17" s="4">
        <f t="shared" si="0"/>
        <v>107</v>
      </c>
    </row>
    <row r="18" spans="1:7">
      <c r="A18" s="4">
        <f>+A17+1</f>
        <v>108</v>
      </c>
      <c r="B18" t="s">
        <v>323</v>
      </c>
      <c r="D18" s="19">
        <f ca="1">D17/D11</f>
        <v>0.13576597941903734</v>
      </c>
      <c r="E18" t="str">
        <f>"Line "&amp;A17&amp;" / Line "&amp;A11&amp;""</f>
        <v>Line 107 / Line 103</v>
      </c>
      <c r="G18" s="4">
        <f t="shared" si="0"/>
        <v>108</v>
      </c>
    </row>
    <row r="19" spans="1:7">
      <c r="A19" s="4"/>
      <c r="G19" s="4"/>
    </row>
    <row r="20" spans="1:7">
      <c r="B20" s="50" t="s">
        <v>324</v>
      </c>
      <c r="C20" s="50"/>
      <c r="D20" s="47"/>
      <c r="E20" s="47"/>
      <c r="F20" s="47"/>
    </row>
    <row r="21" spans="1:7">
      <c r="A21" s="3" t="s">
        <v>100</v>
      </c>
      <c r="B21" s="3" t="s">
        <v>6</v>
      </c>
      <c r="D21" s="3" t="s">
        <v>134</v>
      </c>
      <c r="E21" s="3" t="s">
        <v>135</v>
      </c>
      <c r="F21" s="3" t="s">
        <v>136</v>
      </c>
      <c r="G21" s="3" t="str">
        <f>A21</f>
        <v>Line</v>
      </c>
    </row>
    <row r="22" spans="1:7">
      <c r="A22" s="4">
        <v>200</v>
      </c>
      <c r="B22" t="s">
        <v>325</v>
      </c>
      <c r="D22" s="23">
        <f>'9-PlantAdditions'!I39</f>
        <v>1821895836.9891291</v>
      </c>
      <c r="E22" t="s">
        <v>326</v>
      </c>
      <c r="G22" s="4">
        <f t="shared" si="0"/>
        <v>200</v>
      </c>
    </row>
    <row r="23" spans="1:7">
      <c r="A23" s="4">
        <f t="shared" ref="A23" si="2">A22+1</f>
        <v>201</v>
      </c>
      <c r="B23" t="s">
        <v>323</v>
      </c>
      <c r="D23" s="19">
        <f ca="1">D18</f>
        <v>0.13576597941903734</v>
      </c>
      <c r="E23" t="str">
        <f>"Line "&amp;A18&amp;""</f>
        <v>Line 108</v>
      </c>
      <c r="G23" s="4">
        <f t="shared" si="0"/>
        <v>201</v>
      </c>
    </row>
    <row r="24" spans="1:7">
      <c r="A24" s="4"/>
      <c r="D24" s="19"/>
      <c r="G24" s="4"/>
    </row>
    <row r="25" spans="1:7">
      <c r="A25" s="4">
        <f>+A23+1</f>
        <v>202</v>
      </c>
      <c r="B25" t="s">
        <v>327</v>
      </c>
      <c r="D25" s="23">
        <f ca="1">D22*D23</f>
        <v>247351472.70829591</v>
      </c>
      <c r="E25" t="str">
        <f>"Line "&amp;A22&amp;" * Line "&amp;A23&amp;""</f>
        <v>Line 200 * Line 201</v>
      </c>
      <c r="G25" s="4">
        <f t="shared" si="0"/>
        <v>202</v>
      </c>
    </row>
    <row r="26" spans="1:7">
      <c r="A26" s="4">
        <f t="shared" ref="A26:A27" si="3">+A25+1</f>
        <v>203</v>
      </c>
      <c r="B26" t="s">
        <v>328</v>
      </c>
      <c r="C26" s="518"/>
      <c r="D26" s="23">
        <f>'9-PlantAdditions'!F40</f>
        <v>51787437.452360928</v>
      </c>
      <c r="E26" t="str">
        <f>CONCATENATE("9-PlantAdditions, L. ",'9-PlantAdditions'!A40,", ",'9-PlantAdditions'!F10)</f>
        <v>9-PlantAdditions, L. 125, Col 3</v>
      </c>
      <c r="G26" s="4">
        <f t="shared" si="0"/>
        <v>203</v>
      </c>
    </row>
    <row r="27" spans="1:7">
      <c r="A27" s="4">
        <f t="shared" si="3"/>
        <v>204</v>
      </c>
      <c r="B27" t="s">
        <v>329</v>
      </c>
      <c r="D27" s="17">
        <f>+'14-ADIT'!M164</f>
        <v>675796.52347354789</v>
      </c>
      <c r="E27" t="str">
        <f>CONCATENATE("14-ADIT, L. ",'14-ADIT'!A164,", Col 11 ")</f>
        <v xml:space="preserve">14-ADIT, L. 728, Col 11 </v>
      </c>
      <c r="G27" s="4">
        <f t="shared" si="0"/>
        <v>204</v>
      </c>
    </row>
    <row r="28" spans="1:7">
      <c r="A28" s="4">
        <f>+A27+1</f>
        <v>205</v>
      </c>
      <c r="B28" s="2" t="s">
        <v>330</v>
      </c>
      <c r="D28" s="63">
        <f ca="1">SUM(D25:D27)</f>
        <v>299814706.68413037</v>
      </c>
      <c r="E28" t="str">
        <f>"Sum Line "&amp;A25&amp;" to Line "&amp;A27&amp;""</f>
        <v>Sum Line 202 to Line 204</v>
      </c>
      <c r="G28" s="4">
        <f t="shared" si="0"/>
        <v>205</v>
      </c>
    </row>
    <row r="29" spans="1:7">
      <c r="A29" s="4"/>
      <c r="D29" s="12"/>
      <c r="G29" s="4"/>
    </row>
    <row r="30" spans="1:7">
      <c r="A30" s="4">
        <f>A28+1</f>
        <v>206</v>
      </c>
      <c r="B30" t="s">
        <v>290</v>
      </c>
      <c r="D30" s="10">
        <f>'1-BaseTRR'!E140</f>
        <v>7.5170000000000011E-3</v>
      </c>
      <c r="E30" t="str">
        <f>CONCATENATE("1-BaseTRR, L. ",'1-BaseTRR'!A140)</f>
        <v>1-BaseTRR, L. 513</v>
      </c>
      <c r="G30" s="4">
        <f t="shared" si="0"/>
        <v>206</v>
      </c>
    </row>
    <row r="31" spans="1:7">
      <c r="A31" s="4">
        <f t="shared" ref="A31:A32" si="4">A30+1</f>
        <v>207</v>
      </c>
      <c r="B31" t="s">
        <v>292</v>
      </c>
      <c r="D31" s="33">
        <f>'1-BaseTRR'!E141</f>
        <v>2.7300000000000002E-4</v>
      </c>
      <c r="E31" t="str">
        <f>CONCATENATE("1-BaseTRR, L. ",'1-BaseTRR'!A141)</f>
        <v>1-BaseTRR, L. 514</v>
      </c>
      <c r="G31" s="4">
        <f t="shared" si="0"/>
        <v>207</v>
      </c>
    </row>
    <row r="32" spans="1:7">
      <c r="A32" s="4">
        <f t="shared" si="4"/>
        <v>208</v>
      </c>
      <c r="B32" s="2" t="s">
        <v>294</v>
      </c>
      <c r="D32" s="63">
        <f ca="1">(D30+D31)*D28</f>
        <v>2335556.565069376</v>
      </c>
      <c r="E32" s="8" t="str">
        <f>"Line "&amp;A28&amp;" * (Line "&amp;A31&amp;" + Line "&amp;A30&amp;")"</f>
        <v>Line 205 * (Line 207 + Line 206)</v>
      </c>
      <c r="G32" s="4">
        <f t="shared" si="0"/>
        <v>208</v>
      </c>
    </row>
    <row r="33" spans="1:7">
      <c r="A33" s="4"/>
      <c r="D33" s="23"/>
      <c r="E33" s="8"/>
      <c r="G33" s="4"/>
    </row>
    <row r="34" spans="1:7">
      <c r="A34" s="4">
        <f>A32+1</f>
        <v>209</v>
      </c>
      <c r="B34" s="2" t="s">
        <v>331</v>
      </c>
      <c r="D34" s="63">
        <f ca="1">D32+D28</f>
        <v>302150263.24919975</v>
      </c>
      <c r="E34" t="str">
        <f>"Line "&amp;A28&amp;" + Line "&amp;A32&amp;""</f>
        <v>Line 205 + Line 208</v>
      </c>
      <c r="G34" s="4">
        <f t="shared" si="0"/>
        <v>209</v>
      </c>
    </row>
    <row r="36" spans="1:7">
      <c r="B36" s="7"/>
    </row>
    <row r="38" spans="1:7">
      <c r="D38" s="8"/>
    </row>
  </sheetData>
  <printOptions horizontalCentered="1"/>
  <pageMargins left="1" right="1" top="1" bottom="1" header="0.5" footer="0.5"/>
  <pageSetup scale="50" orientation="portrait" r:id="rId1"/>
  <headerFooter>
    <oddHeader>&amp;C&amp;"-,Bold"&amp;12Pacific Gas and Electric Company
Formula Rate Model
Schedule 2-ITRR</oddHeader>
  </headerFooter>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J115"/>
  <sheetViews>
    <sheetView view="pageBreakPreview" topLeftCell="A26" zoomScaleNormal="85" zoomScaleSheetLayoutView="100" zoomScalePageLayoutView="70" workbookViewId="0">
      <selection activeCell="F43" sqref="F43"/>
    </sheetView>
  </sheetViews>
  <sheetFormatPr defaultColWidth="9.140625" defaultRowHeight="15"/>
  <cols>
    <col min="1" max="1" width="4.5703125" style="4" bestFit="1" customWidth="1"/>
    <col min="2" max="2" width="2.140625" style="4" bestFit="1" customWidth="1"/>
    <col min="3" max="3" width="73.42578125" bestFit="1" customWidth="1"/>
    <col min="4" max="4" width="4.5703125" customWidth="1"/>
    <col min="5" max="5" width="20.140625" bestFit="1" customWidth="1"/>
    <col min="6" max="6" width="42.140625" bestFit="1" customWidth="1"/>
    <col min="7" max="7" width="20.140625" customWidth="1"/>
    <col min="8" max="8" width="4.5703125" bestFit="1" customWidth="1"/>
    <col min="9" max="9" width="2.140625" customWidth="1"/>
  </cols>
  <sheetData>
    <row r="1" spans="1:10">
      <c r="C1" s="5" t="s">
        <v>12</v>
      </c>
      <c r="F1" s="6"/>
      <c r="G1" s="6" t="str">
        <f>CONCATENATE("Prior Year: ",'1-BaseTRR'!$G$2)</f>
        <v>Prior Year: 2021</v>
      </c>
    </row>
    <row r="2" spans="1:10">
      <c r="C2" s="39" t="s">
        <v>131</v>
      </c>
      <c r="F2" s="6"/>
    </row>
    <row r="3" spans="1:10">
      <c r="A3" s="5"/>
      <c r="B3" s="5"/>
      <c r="C3" s="2"/>
      <c r="I3" s="6"/>
      <c r="J3" s="2"/>
    </row>
    <row r="4" spans="1:10">
      <c r="C4" s="45" t="s">
        <v>133</v>
      </c>
      <c r="D4" s="46"/>
      <c r="E4" s="47"/>
      <c r="F4" s="47"/>
      <c r="G4" s="47"/>
    </row>
    <row r="5" spans="1:10">
      <c r="A5" s="3" t="s">
        <v>100</v>
      </c>
      <c r="B5" s="3"/>
      <c r="C5" s="3" t="s">
        <v>6</v>
      </c>
      <c r="E5" s="3" t="s">
        <v>134</v>
      </c>
      <c r="F5" s="3" t="s">
        <v>135</v>
      </c>
      <c r="G5" s="3" t="s">
        <v>136</v>
      </c>
      <c r="H5" s="3" t="str">
        <f>A5</f>
        <v>Line</v>
      </c>
    </row>
    <row r="6" spans="1:10">
      <c r="A6"/>
      <c r="B6"/>
      <c r="C6" s="1" t="s">
        <v>137</v>
      </c>
      <c r="D6" s="1"/>
    </row>
    <row r="7" spans="1:10">
      <c r="A7" s="4">
        <v>100</v>
      </c>
      <c r="C7" t="s">
        <v>138</v>
      </c>
      <c r="E7" s="13">
        <f>'7-PlantInService'!P25</f>
        <v>14305324872.538462</v>
      </c>
      <c r="F7" t="s">
        <v>332</v>
      </c>
      <c r="G7" t="s">
        <v>333</v>
      </c>
      <c r="H7" s="4">
        <f>A7</f>
        <v>100</v>
      </c>
    </row>
    <row r="8" spans="1:10">
      <c r="A8" s="4">
        <f>A7+1</f>
        <v>101</v>
      </c>
      <c r="C8" t="s">
        <v>141</v>
      </c>
      <c r="E8" s="13">
        <f>'7-PlantInService'!D129</f>
        <v>1335633986.7146969</v>
      </c>
      <c r="F8" t="s">
        <v>334</v>
      </c>
      <c r="G8" t="s">
        <v>335</v>
      </c>
      <c r="H8" s="4">
        <f t="shared" ref="H8:H10" si="0">A8</f>
        <v>101</v>
      </c>
    </row>
    <row r="9" spans="1:10">
      <c r="A9" s="4">
        <f t="shared" ref="A9:A10" si="1">A8+1</f>
        <v>102</v>
      </c>
      <c r="C9" t="s">
        <v>143</v>
      </c>
      <c r="E9" s="14">
        <f ca="1">+'8-AbandonedPlant'!N14</f>
        <v>0</v>
      </c>
      <c r="F9" t="s">
        <v>336</v>
      </c>
      <c r="G9" t="s">
        <v>335</v>
      </c>
      <c r="H9" s="4">
        <f t="shared" si="0"/>
        <v>102</v>
      </c>
    </row>
    <row r="10" spans="1:10">
      <c r="A10" s="4">
        <f t="shared" si="1"/>
        <v>103</v>
      </c>
      <c r="C10" s="2" t="s">
        <v>145</v>
      </c>
      <c r="D10" s="2"/>
      <c r="E10" s="15">
        <f ca="1">SUM(E7:E9)</f>
        <v>15640958859.253159</v>
      </c>
      <c r="F10" s="35" t="str">
        <f>"Sum of Lines "&amp;A7&amp;" to "&amp;A9&amp;""</f>
        <v>Sum of Lines 100 to 102</v>
      </c>
      <c r="H10" s="4">
        <f t="shared" si="0"/>
        <v>103</v>
      </c>
    </row>
    <row r="11" spans="1:10">
      <c r="E11" s="24"/>
    </row>
    <row r="12" spans="1:10">
      <c r="C12" s="1" t="s">
        <v>146</v>
      </c>
      <c r="D12" s="1"/>
      <c r="E12" s="24"/>
    </row>
    <row r="13" spans="1:10">
      <c r="A13" s="4">
        <f>A10+1</f>
        <v>104</v>
      </c>
      <c r="C13" t="s">
        <v>147</v>
      </c>
      <c r="E13" s="13">
        <f>'13-WorkCap'!E26</f>
        <v>88812496.20718953</v>
      </c>
      <c r="F13" t="s">
        <v>337</v>
      </c>
      <c r="G13" t="s">
        <v>333</v>
      </c>
      <c r="H13" s="4">
        <f t="shared" ref="H13:H16" si="2">A13</f>
        <v>104</v>
      </c>
    </row>
    <row r="14" spans="1:10">
      <c r="A14" s="4">
        <f>A13+1</f>
        <v>105</v>
      </c>
      <c r="C14" t="s">
        <v>149</v>
      </c>
      <c r="E14" s="13">
        <f>'13-WorkCap'!F57</f>
        <v>73885932</v>
      </c>
      <c r="F14" t="s">
        <v>338</v>
      </c>
      <c r="G14" t="s">
        <v>333</v>
      </c>
      <c r="H14" s="4">
        <f t="shared" si="2"/>
        <v>105</v>
      </c>
    </row>
    <row r="15" spans="1:10">
      <c r="A15" s="4">
        <f t="shared" ref="A15:A16" si="3">A14+1</f>
        <v>106</v>
      </c>
      <c r="C15" t="s">
        <v>151</v>
      </c>
      <c r="E15" s="17">
        <f>(E80+E81)/10</f>
        <v>104930492.18235764</v>
      </c>
      <c r="F15" t="str">
        <f>"(Line "&amp;A80&amp;" + Line "&amp;A81&amp;") / 10"</f>
        <v>(Line 400 + Line 401) / 10</v>
      </c>
      <c r="H15" s="4">
        <f t="shared" si="2"/>
        <v>106</v>
      </c>
    </row>
    <row r="16" spans="1:10">
      <c r="A16" s="4">
        <f t="shared" si="3"/>
        <v>107</v>
      </c>
      <c r="C16" s="2" t="s">
        <v>152</v>
      </c>
      <c r="D16" s="2"/>
      <c r="E16" s="15">
        <f>SUM(E13:E15)</f>
        <v>267628920.38954717</v>
      </c>
      <c r="F16" s="35" t="str">
        <f>"Sum of Lines "&amp;A13&amp;" to "&amp;A15&amp;""</f>
        <v>Sum of Lines 104 to 106</v>
      </c>
      <c r="H16" s="4">
        <f t="shared" si="2"/>
        <v>107</v>
      </c>
    </row>
    <row r="17" spans="1:9">
      <c r="E17" s="24"/>
    </row>
    <row r="18" spans="1:9">
      <c r="C18" s="1" t="s">
        <v>153</v>
      </c>
      <c r="D18" s="1"/>
      <c r="E18" s="24"/>
    </row>
    <row r="19" spans="1:9">
      <c r="A19" s="4">
        <f>A16+1</f>
        <v>108</v>
      </c>
      <c r="C19" t="s">
        <v>154</v>
      </c>
      <c r="E19" s="13">
        <f>-'10-AccDep'!P27</f>
        <v>-3364442063.7692308</v>
      </c>
      <c r="F19" t="s">
        <v>339</v>
      </c>
      <c r="G19" t="s">
        <v>340</v>
      </c>
      <c r="H19" s="4">
        <f t="shared" ref="H19:H30" si="4">A19</f>
        <v>108</v>
      </c>
    </row>
    <row r="20" spans="1:9">
      <c r="A20" s="4">
        <f>A19+1</f>
        <v>109</v>
      </c>
      <c r="C20" t="s">
        <v>157</v>
      </c>
      <c r="E20" s="14">
        <f>-'10-AccDep'!D129</f>
        <v>-450164942.20070398</v>
      </c>
      <c r="F20" t="s">
        <v>341</v>
      </c>
      <c r="G20" t="s">
        <v>342</v>
      </c>
      <c r="H20" s="4">
        <f t="shared" si="4"/>
        <v>109</v>
      </c>
    </row>
    <row r="21" spans="1:9">
      <c r="A21" s="4">
        <f>A20+1</f>
        <v>110</v>
      </c>
      <c r="C21" s="2" t="s">
        <v>159</v>
      </c>
      <c r="D21" s="2"/>
      <c r="E21" s="352">
        <f>E19+E20</f>
        <v>-3814607005.9699349</v>
      </c>
      <c r="F21" t="str">
        <f>"Line "&amp;A19&amp;" + Line "&amp;A20&amp;""</f>
        <v>Line 108 + Line 109</v>
      </c>
      <c r="H21" s="4">
        <f t="shared" si="4"/>
        <v>110</v>
      </c>
    </row>
    <row r="22" spans="1:9">
      <c r="E22" s="24"/>
    </row>
    <row r="23" spans="1:9">
      <c r="A23" s="4">
        <f>A21+1</f>
        <v>111</v>
      </c>
      <c r="B23" s="4" t="s">
        <v>160</v>
      </c>
      <c r="C23" s="5" t="s">
        <v>161</v>
      </c>
      <c r="D23" s="5"/>
      <c r="E23" s="23">
        <f>'14-ADIT'!D23</f>
        <v>-1488412230.1796651</v>
      </c>
      <c r="F23" t="s">
        <v>343</v>
      </c>
      <c r="G23" t="s">
        <v>344</v>
      </c>
      <c r="H23" s="4">
        <f t="shared" si="4"/>
        <v>111</v>
      </c>
      <c r="I23" t="s">
        <v>160</v>
      </c>
    </row>
    <row r="24" spans="1:9">
      <c r="A24" s="4">
        <v>111</v>
      </c>
      <c r="B24" s="4" t="s">
        <v>163</v>
      </c>
      <c r="C24" s="201" t="s">
        <v>164</v>
      </c>
      <c r="D24" s="5"/>
      <c r="E24" s="23">
        <f>+'17-RegAssets-1'!C48</f>
        <v>-547222220.12686849</v>
      </c>
      <c r="F24" t="s">
        <v>345</v>
      </c>
      <c r="G24" t="s">
        <v>344</v>
      </c>
      <c r="H24" s="4">
        <f t="shared" si="4"/>
        <v>111</v>
      </c>
      <c r="I24" t="s">
        <v>163</v>
      </c>
    </row>
    <row r="25" spans="1:9">
      <c r="A25" s="4">
        <v>111</v>
      </c>
      <c r="B25" s="4" t="s">
        <v>166</v>
      </c>
      <c r="C25" s="201" t="s">
        <v>167</v>
      </c>
      <c r="D25" s="5"/>
      <c r="E25" s="23">
        <f>+E23+E24</f>
        <v>-2035634450.3065336</v>
      </c>
      <c r="F25" t="str">
        <f>"Line "&amp;A23&amp;"a + Line "&amp;A24&amp;"b"</f>
        <v>Line 111a + Line 111b</v>
      </c>
      <c r="G25" t="s">
        <v>344</v>
      </c>
      <c r="H25" s="4">
        <f t="shared" si="4"/>
        <v>111</v>
      </c>
      <c r="I25" t="s">
        <v>166</v>
      </c>
    </row>
    <row r="26" spans="1:9">
      <c r="A26" s="4">
        <f>A23+1</f>
        <v>112</v>
      </c>
      <c r="C26" s="2" t="s">
        <v>346</v>
      </c>
      <c r="D26" s="2"/>
      <c r="E26" s="23">
        <f>-'15-NUC'!C20</f>
        <v>-163713376.0194256</v>
      </c>
      <c r="F26" t="s">
        <v>347</v>
      </c>
      <c r="G26" t="s">
        <v>342</v>
      </c>
      <c r="H26" s="4">
        <f t="shared" si="4"/>
        <v>112</v>
      </c>
    </row>
    <row r="27" spans="1:9">
      <c r="A27" s="4">
        <f>A26+1</f>
        <v>113</v>
      </c>
      <c r="C27" s="2" t="str">
        <f>+'1-BaseTRR'!C27</f>
        <v>Unfunded Reserves</v>
      </c>
      <c r="D27" s="2"/>
      <c r="E27" s="23">
        <f>'16-UnfundedReserves'!E5</f>
        <v>-96615214</v>
      </c>
      <c r="F27" t="s">
        <v>348</v>
      </c>
      <c r="G27" t="s">
        <v>335</v>
      </c>
      <c r="H27" s="4">
        <f t="shared" si="4"/>
        <v>113</v>
      </c>
    </row>
    <row r="28" spans="1:9">
      <c r="A28" s="4">
        <f>A27+1</f>
        <v>114</v>
      </c>
      <c r="C28" s="2" t="s">
        <v>171</v>
      </c>
      <c r="D28" s="2"/>
      <c r="E28" s="13">
        <f>'17-RegAssets-1'!E26</f>
        <v>0</v>
      </c>
      <c r="F28" t="s">
        <v>349</v>
      </c>
      <c r="G28" t="s">
        <v>335</v>
      </c>
      <c r="H28" s="4">
        <f t="shared" si="4"/>
        <v>114</v>
      </c>
    </row>
    <row r="29" spans="1:9">
      <c r="C29" s="2"/>
      <c r="D29" s="2"/>
      <c r="E29" s="13"/>
      <c r="H29" s="4"/>
    </row>
    <row r="30" spans="1:9">
      <c r="A30" s="4">
        <f>A28+1</f>
        <v>115</v>
      </c>
      <c r="C30" s="2" t="s">
        <v>173</v>
      </c>
      <c r="D30" s="2"/>
      <c r="E30" s="63">
        <f ca="1">+E10+E16+E21+E25+E26+E28+E27</f>
        <v>9798017733.3468113</v>
      </c>
      <c r="F30" t="str">
        <f>"Sum of Lines "&amp;A10&amp;", "&amp;A16&amp;", "&amp;A21&amp;" and Lines "&amp;A25&amp;B25&amp;" to "&amp;A28&amp;""</f>
        <v>Sum of Lines 103, 107, 110 and Lines 111c to 114</v>
      </c>
      <c r="H30" s="4">
        <f t="shared" si="4"/>
        <v>115</v>
      </c>
    </row>
    <row r="31" spans="1:9">
      <c r="E31" s="8"/>
      <c r="H31" s="4"/>
    </row>
    <row r="32" spans="1:9">
      <c r="C32" s="45" t="s">
        <v>174</v>
      </c>
      <c r="D32" s="47"/>
      <c r="E32" s="47"/>
      <c r="F32" s="47"/>
      <c r="G32" s="47"/>
    </row>
    <row r="33" spans="1:8">
      <c r="C33" s="2" t="s">
        <v>350</v>
      </c>
    </row>
    <row r="34" spans="1:8">
      <c r="C34" s="813" t="s">
        <v>351</v>
      </c>
      <c r="D34" s="813"/>
      <c r="E34" s="813"/>
      <c r="F34" s="813"/>
      <c r="G34" s="813"/>
    </row>
    <row r="35" spans="1:8">
      <c r="C35" s="5"/>
    </row>
    <row r="36" spans="1:8">
      <c r="A36" s="3" t="s">
        <v>100</v>
      </c>
      <c r="B36" s="3"/>
      <c r="C36" s="3" t="s">
        <v>6</v>
      </c>
      <c r="E36" s="3" t="s">
        <v>134</v>
      </c>
      <c r="F36" s="3" t="s">
        <v>135</v>
      </c>
      <c r="G36" s="3" t="s">
        <v>136</v>
      </c>
      <c r="H36" s="3" t="str">
        <f>A36</f>
        <v>Line</v>
      </c>
    </row>
    <row r="37" spans="1:8" ht="77.25" customHeight="1">
      <c r="A37" s="4">
        <v>200</v>
      </c>
      <c r="C37" t="s">
        <v>352</v>
      </c>
      <c r="E37" s="43">
        <v>0.1045</v>
      </c>
      <c r="F37" s="42" t="s">
        <v>353</v>
      </c>
      <c r="G37" s="37" t="s">
        <v>354</v>
      </c>
      <c r="H37" s="4">
        <f t="shared" ref="H37" si="5">A37</f>
        <v>200</v>
      </c>
    </row>
    <row r="38" spans="1:8">
      <c r="C38" s="5"/>
    </row>
    <row r="39" spans="1:8">
      <c r="C39" s="1" t="s">
        <v>204</v>
      </c>
      <c r="D39" s="1"/>
    </row>
    <row r="40" spans="1:8" ht="45">
      <c r="A40" s="4">
        <f>A37+1</f>
        <v>201</v>
      </c>
      <c r="C40" t="s">
        <v>205</v>
      </c>
      <c r="E40" s="20">
        <f>('5-CostofCap-3'!F22/('5-CostofCap-2'!C13-'5-CostofCap-2'!C15+'5-CostofCap-2'!C17+'5-CostofCap-2'!C19+'5-CostofCap-2'!C21-'5-CostofCap-2'!C23-'5-CostofCap-2'!C25-'5-CostofCap-2'!C27))*'1-BaseTRR'!E50</f>
        <v>1.8592311354064698E-2</v>
      </c>
      <c r="F40" s="37" t="s">
        <v>355</v>
      </c>
      <c r="G40" t="s">
        <v>333</v>
      </c>
      <c r="H40" s="4">
        <f t="shared" ref="H40:H43" si="6">A40</f>
        <v>201</v>
      </c>
    </row>
    <row r="41" spans="1:8">
      <c r="A41" s="4">
        <f>A40+1</f>
        <v>202</v>
      </c>
      <c r="C41" t="s">
        <v>206</v>
      </c>
      <c r="E41" s="20">
        <f>'1-BaseTRR'!E64</f>
        <v>2.7605794758881429E-4</v>
      </c>
      <c r="F41" t="str">
        <f>CONCATENATE("1-BaseTRR, L. ",'1-BaseTRR'!A64)</f>
        <v>1-BaseTRR, L. 217</v>
      </c>
      <c r="H41" s="4">
        <f t="shared" si="6"/>
        <v>202</v>
      </c>
    </row>
    <row r="42" spans="1:8">
      <c r="A42" s="4">
        <f>A41+1</f>
        <v>203</v>
      </c>
      <c r="C42" t="s">
        <v>207</v>
      </c>
      <c r="E42" s="410">
        <f>E37*'1-BaseTRR'!E52</f>
        <v>5.198875E-2</v>
      </c>
      <c r="F42" t="str">
        <f>CONCATENATE("Line ",A37," * ","1-BaseTRR, L. ",'1-BaseTRR'!A52)</f>
        <v>Line 200 * 1-BaseTRR, L. 210</v>
      </c>
      <c r="H42" s="4">
        <f t="shared" si="6"/>
        <v>203</v>
      </c>
    </row>
    <row r="43" spans="1:8">
      <c r="A43" s="4">
        <f>A42+1</f>
        <v>204</v>
      </c>
      <c r="C43" s="2" t="s">
        <v>208</v>
      </c>
      <c r="D43" s="2"/>
      <c r="E43" s="370">
        <f>SUM(E40:E42)</f>
        <v>7.0857119301653504E-2</v>
      </c>
      <c r="F43" s="35" t="str">
        <f>"Sum of Lines "&amp;A40&amp;" to "&amp;A42&amp;""</f>
        <v>Sum of Lines 201 to 203</v>
      </c>
      <c r="H43" s="4">
        <f t="shared" si="6"/>
        <v>204</v>
      </c>
    </row>
    <row r="45" spans="1:8">
      <c r="A45" s="4">
        <f>A43+1</f>
        <v>205</v>
      </c>
      <c r="C45" s="2" t="s">
        <v>209</v>
      </c>
      <c r="D45" s="2"/>
      <c r="E45" s="370">
        <f>E41+E42</f>
        <v>5.2264807947588816E-2</v>
      </c>
      <c r="F45" t="str">
        <f>"Line "&amp;A41&amp;" + Line "&amp;A42&amp;""</f>
        <v>Line 202 + Line 203</v>
      </c>
      <c r="G45" s="8"/>
      <c r="H45" s="4">
        <f t="shared" ref="H45" si="7">A45</f>
        <v>205</v>
      </c>
    </row>
    <row r="46" spans="1:8">
      <c r="A46" s="4">
        <f>A45+1</f>
        <v>206</v>
      </c>
      <c r="C46" s="2" t="s">
        <v>210</v>
      </c>
      <c r="D46" s="2"/>
      <c r="E46" s="370">
        <f>'1-BaseTRR'!E69</f>
        <v>0</v>
      </c>
      <c r="F46" t="str">
        <f>CONCATENATE("1-BaseTRR, L. ",'1-BaseTRR'!A69)</f>
        <v>1-BaseTRR, L. 221</v>
      </c>
      <c r="G46" s="8"/>
      <c r="H46" s="4"/>
    </row>
    <row r="47" spans="1:8">
      <c r="H47" s="4"/>
    </row>
    <row r="48" spans="1:8">
      <c r="A48" s="4">
        <f>A46+1</f>
        <v>207</v>
      </c>
      <c r="C48" t="s">
        <v>211</v>
      </c>
      <c r="D48" s="2"/>
      <c r="E48" s="13">
        <f ca="1">E43*E30</f>
        <v>694259311.45147169</v>
      </c>
      <c r="F48" t="str">
        <f>"Line "&amp;A43&amp;" * Line "&amp;A30&amp;""</f>
        <v>Line 204 * Line 115</v>
      </c>
      <c r="H48" s="4">
        <f t="shared" ref="H48" si="8">A48</f>
        <v>207</v>
      </c>
    </row>
    <row r="49" spans="1:8">
      <c r="A49" s="4">
        <f>A48+1</f>
        <v>208</v>
      </c>
      <c r="C49" t="s">
        <v>212</v>
      </c>
      <c r="D49" s="2"/>
      <c r="E49" s="23">
        <f ca="1">E46*E9</f>
        <v>0</v>
      </c>
      <c r="F49" t="str">
        <f>"Line "&amp;A9&amp;" * Line "&amp;A46&amp;""</f>
        <v>Line 102 * Line 206</v>
      </c>
      <c r="H49" s="4"/>
    </row>
    <row r="50" spans="1:8">
      <c r="A50" s="4">
        <f>A49+1</f>
        <v>209</v>
      </c>
      <c r="C50" s="2" t="s">
        <v>213</v>
      </c>
      <c r="D50" s="2"/>
      <c r="E50" s="63">
        <f ca="1">E48-E49</f>
        <v>694259311.45147169</v>
      </c>
      <c r="F50" t="str">
        <f>"Line "&amp;A48&amp;" - Line "&amp;A49&amp;""</f>
        <v>Line 207 - Line 208</v>
      </c>
      <c r="H50" s="4"/>
    </row>
    <row r="52" spans="1:8">
      <c r="C52" s="45" t="s">
        <v>356</v>
      </c>
      <c r="D52" s="47"/>
      <c r="E52" s="47"/>
      <c r="F52" s="47"/>
      <c r="G52" s="47"/>
    </row>
    <row r="53" spans="1:8">
      <c r="C53" s="2" t="s">
        <v>350</v>
      </c>
    </row>
    <row r="54" spans="1:8">
      <c r="C54" s="813" t="s">
        <v>357</v>
      </c>
      <c r="D54" s="813"/>
      <c r="E54" s="813"/>
      <c r="F54" s="813"/>
      <c r="G54" s="813"/>
    </row>
    <row r="55" spans="1:8">
      <c r="C55" s="5"/>
    </row>
    <row r="56" spans="1:8">
      <c r="A56" s="3" t="s">
        <v>100</v>
      </c>
      <c r="B56" s="3"/>
      <c r="C56" s="3" t="s">
        <v>6</v>
      </c>
      <c r="E56" s="3" t="s">
        <v>134</v>
      </c>
      <c r="F56" s="3" t="s">
        <v>135</v>
      </c>
      <c r="G56" s="3" t="s">
        <v>136</v>
      </c>
      <c r="H56" s="3" t="str">
        <f>A56</f>
        <v>Line</v>
      </c>
    </row>
    <row r="57" spans="1:8">
      <c r="A57" s="4">
        <v>300</v>
      </c>
      <c r="C57" t="s">
        <v>239</v>
      </c>
      <c r="E57" s="22">
        <f>'22-TaxRates'!C13</f>
        <v>0.21</v>
      </c>
      <c r="F57" t="s">
        <v>358</v>
      </c>
      <c r="H57" s="4">
        <f t="shared" ref="H57:H59" si="9">A57</f>
        <v>300</v>
      </c>
    </row>
    <row r="58" spans="1:8">
      <c r="A58" s="4">
        <f>A57+1</f>
        <v>301</v>
      </c>
      <c r="C58" t="s">
        <v>241</v>
      </c>
      <c r="E58" s="410">
        <f>'22-TaxRates'!C14</f>
        <v>8.8400000000000006E-2</v>
      </c>
      <c r="F58" t="s">
        <v>359</v>
      </c>
      <c r="H58" s="4">
        <f t="shared" si="9"/>
        <v>301</v>
      </c>
    </row>
    <row r="59" spans="1:8">
      <c r="A59" s="4">
        <f>A58+1</f>
        <v>302</v>
      </c>
      <c r="C59" s="2" t="s">
        <v>243</v>
      </c>
      <c r="D59" s="2"/>
      <c r="E59" s="370">
        <f>(E57+E58)-(E57*E58)</f>
        <v>0.27983599999999997</v>
      </c>
      <c r="F59" s="8" t="str">
        <f>"(Line "&amp;A57&amp;" + Line "&amp;A58&amp;") - (Line "&amp;A57&amp;" * Line "&amp;A58&amp;")"</f>
        <v>(Line 300 + Line 301) - (Line 300 * Line 301)</v>
      </c>
      <c r="H59" s="4">
        <f t="shared" si="9"/>
        <v>302</v>
      </c>
    </row>
    <row r="61" spans="1:8">
      <c r="A61" s="4">
        <f>A59+1</f>
        <v>303</v>
      </c>
      <c r="C61" s="2" t="s">
        <v>255</v>
      </c>
      <c r="E61" s="15">
        <f ca="1">(((E66*E67)+E70-E71)*(E68/(1-E68)))+E69/(1-E68)</f>
        <v>171577648.42165416</v>
      </c>
      <c r="F61" t="str">
        <f>"Line "&amp;A63</f>
        <v>Line 304</v>
      </c>
      <c r="H61" s="4">
        <f t="shared" ref="H61" si="10">A61</f>
        <v>303</v>
      </c>
    </row>
    <row r="63" spans="1:8">
      <c r="A63" s="4">
        <f>A61+1</f>
        <v>304</v>
      </c>
      <c r="C63" t="s">
        <v>360</v>
      </c>
      <c r="H63" s="4">
        <f t="shared" ref="H63" si="11">A63</f>
        <v>304</v>
      </c>
    </row>
    <row r="65" spans="1:8">
      <c r="C65" t="s">
        <v>257</v>
      </c>
    </row>
    <row r="66" spans="1:8">
      <c r="A66" s="4">
        <f>A63+1</f>
        <v>305</v>
      </c>
      <c r="C66" s="26" t="s">
        <v>258</v>
      </c>
      <c r="D66" s="26"/>
      <c r="E66" s="13">
        <f ca="1">+E30</f>
        <v>9798017733.3468113</v>
      </c>
      <c r="F66" t="str">
        <f>"Line "&amp;A30</f>
        <v>Line 115</v>
      </c>
      <c r="G66" s="12"/>
      <c r="H66" s="4">
        <f t="shared" ref="H66:H70" si="12">A66</f>
        <v>305</v>
      </c>
    </row>
    <row r="67" spans="1:8">
      <c r="A67" s="4">
        <f>A66+1</f>
        <v>306</v>
      </c>
      <c r="C67" s="9" t="s">
        <v>259</v>
      </c>
      <c r="D67" s="9"/>
      <c r="E67" s="22">
        <f>E45</f>
        <v>5.2264807947588816E-2</v>
      </c>
      <c r="F67" t="str">
        <f>"Line "&amp;A45</f>
        <v>Line 205</v>
      </c>
      <c r="H67" s="4">
        <f t="shared" si="12"/>
        <v>306</v>
      </c>
    </row>
    <row r="68" spans="1:8">
      <c r="A68" s="4">
        <f t="shared" ref="A68:A69" si="13">A67+1</f>
        <v>307</v>
      </c>
      <c r="C68" s="26" t="s">
        <v>260</v>
      </c>
      <c r="D68" s="26"/>
      <c r="E68" s="19">
        <f>E59</f>
        <v>0.27983599999999997</v>
      </c>
      <c r="F68" t="str">
        <f>"Line "&amp;A59</f>
        <v>Line 302</v>
      </c>
      <c r="H68" s="4">
        <f t="shared" si="12"/>
        <v>307</v>
      </c>
    </row>
    <row r="69" spans="1:8">
      <c r="A69" s="4">
        <f t="shared" si="13"/>
        <v>308</v>
      </c>
      <c r="C69" s="26" t="s">
        <v>261</v>
      </c>
      <c r="D69" s="26"/>
      <c r="E69" s="13">
        <f>'1-BaseTRR'!E108</f>
        <v>-23198253.921061806</v>
      </c>
      <c r="F69" t="str">
        <f>CONCATENATE("1-BaseTRR, L. ",'1-BaseTRR'!A108)</f>
        <v>1-BaseTRR, L. 407</v>
      </c>
      <c r="H69" s="4">
        <f t="shared" si="12"/>
        <v>308</v>
      </c>
    </row>
    <row r="70" spans="1:8">
      <c r="A70" s="4">
        <f>A69+1</f>
        <v>309</v>
      </c>
      <c r="C70" s="26" t="s">
        <v>262</v>
      </c>
      <c r="D70" s="26"/>
      <c r="E70" s="13">
        <f>'1-BaseTRR'!E103</f>
        <v>12366737.300944462</v>
      </c>
      <c r="F70" t="str">
        <f>CONCATENATE("1-BaseTRR, L. ",'1-BaseTRR'!A103)</f>
        <v>1-BaseTRR, L. 404</v>
      </c>
      <c r="H70" s="4">
        <f t="shared" si="12"/>
        <v>309</v>
      </c>
    </row>
    <row r="71" spans="1:8">
      <c r="A71" s="4">
        <f t="shared" ref="A71" si="14">A70+1</f>
        <v>310</v>
      </c>
      <c r="C71" s="26" t="s">
        <v>361</v>
      </c>
      <c r="D71" s="26"/>
      <c r="E71" s="23">
        <f ca="1">E49</f>
        <v>0</v>
      </c>
      <c r="F71" t="str">
        <f>"Line "&amp;A49&amp;""</f>
        <v>Line 208</v>
      </c>
      <c r="H71" s="4"/>
    </row>
    <row r="73" spans="1:8">
      <c r="C73" s="45" t="s">
        <v>362</v>
      </c>
      <c r="D73" s="47"/>
      <c r="E73" s="47"/>
      <c r="F73" s="47"/>
      <c r="G73" s="47"/>
    </row>
    <row r="74" spans="1:8">
      <c r="C74" s="2" t="s">
        <v>350</v>
      </c>
    </row>
    <row r="75" spans="1:8">
      <c r="C75" s="812"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12"/>
      <c r="E75" s="812"/>
      <c r="F75" s="812"/>
      <c r="G75" s="812"/>
    </row>
    <row r="76" spans="1:8">
      <c r="C76" s="812"/>
      <c r="D76" s="812"/>
      <c r="E76" s="812"/>
      <c r="F76" s="812"/>
      <c r="G76" s="812"/>
    </row>
    <row r="77" spans="1:8">
      <c r="C77" s="35"/>
    </row>
    <row r="78" spans="1:8">
      <c r="A78" s="3" t="s">
        <v>100</v>
      </c>
      <c r="B78" s="3"/>
      <c r="C78" s="3" t="s">
        <v>6</v>
      </c>
      <c r="E78" s="3" t="s">
        <v>134</v>
      </c>
      <c r="F78" s="3" t="s">
        <v>135</v>
      </c>
      <c r="G78" s="3" t="s">
        <v>136</v>
      </c>
      <c r="H78" s="3" t="str">
        <f>A78</f>
        <v>Line</v>
      </c>
    </row>
    <row r="79" spans="1:8">
      <c r="C79" s="1" t="s">
        <v>265</v>
      </c>
      <c r="D79" s="1"/>
    </row>
    <row r="80" spans="1:8">
      <c r="A80" s="4">
        <v>400</v>
      </c>
      <c r="C80" t="s">
        <v>266</v>
      </c>
      <c r="E80" s="13">
        <f>'1-BaseTRR'!E125</f>
        <v>648895032.04825652</v>
      </c>
      <c r="F80" t="str">
        <f>CONCATENATE("1-BaseTRR, L. ",'1-BaseTRR'!A125)</f>
        <v>1-BaseTRR, L. 500</v>
      </c>
      <c r="H80" s="4">
        <f t="shared" ref="H80:H94" si="15">A80</f>
        <v>400</v>
      </c>
    </row>
    <row r="81" spans="1:8">
      <c r="A81" s="4">
        <f>A80+1</f>
        <v>401</v>
      </c>
      <c r="C81" t="s">
        <v>268</v>
      </c>
      <c r="E81" s="13">
        <f>'1-BaseTRR'!E126</f>
        <v>400409889.77531981</v>
      </c>
      <c r="F81" t="str">
        <f>CONCATENATE("1-BaseTRR, L. ",'1-BaseTRR'!A126)</f>
        <v>1-BaseTRR, L. 501</v>
      </c>
      <c r="H81" s="4">
        <f t="shared" si="15"/>
        <v>401</v>
      </c>
    </row>
    <row r="82" spans="1:8">
      <c r="A82" s="4">
        <f t="shared" ref="A82:A91" si="16">A81+1</f>
        <v>402</v>
      </c>
      <c r="C82" t="s">
        <v>270</v>
      </c>
      <c r="E82" s="13">
        <f>'1-BaseTRR'!E127</f>
        <v>7472552.4640722312</v>
      </c>
      <c r="F82" t="str">
        <f>CONCATENATE("1-BaseTRR, L. ",'1-BaseTRR'!A127)</f>
        <v>1-BaseTRR, L. 502</v>
      </c>
      <c r="H82" s="4">
        <f t="shared" si="15"/>
        <v>402</v>
      </c>
    </row>
    <row r="83" spans="1:8">
      <c r="A83" s="4">
        <f t="shared" si="16"/>
        <v>403</v>
      </c>
      <c r="C83" t="s">
        <v>272</v>
      </c>
      <c r="E83" s="13">
        <f>'1-BaseTRR'!E128</f>
        <v>497742978.89928067</v>
      </c>
      <c r="F83" t="str">
        <f>CONCATENATE("1-BaseTRR, L. ",'1-BaseTRR'!A128)</f>
        <v>1-BaseTRR, L. 503</v>
      </c>
      <c r="H83" s="4">
        <f t="shared" si="15"/>
        <v>403</v>
      </c>
    </row>
    <row r="84" spans="1:8">
      <c r="A84" s="4">
        <f t="shared" si="16"/>
        <v>404</v>
      </c>
      <c r="C84" t="s">
        <v>276</v>
      </c>
      <c r="E84" s="13">
        <f ca="1">+'8-AbandonedPlant'!I14</f>
        <v>0</v>
      </c>
      <c r="F84" t="s">
        <v>277</v>
      </c>
      <c r="H84" s="4">
        <f t="shared" si="15"/>
        <v>404</v>
      </c>
    </row>
    <row r="85" spans="1:8">
      <c r="A85" s="4">
        <f t="shared" si="16"/>
        <v>405</v>
      </c>
      <c r="C85" t="s">
        <v>278</v>
      </c>
      <c r="E85" s="13">
        <f ca="1">E50</f>
        <v>694259311.45147169</v>
      </c>
      <c r="F85" t="str">
        <f>"Line "&amp;A50&amp;""</f>
        <v>Line 209</v>
      </c>
      <c r="H85" s="4">
        <f t="shared" si="15"/>
        <v>405</v>
      </c>
    </row>
    <row r="86" spans="1:8">
      <c r="A86" s="4">
        <f t="shared" si="16"/>
        <v>406</v>
      </c>
      <c r="C86" t="s">
        <v>279</v>
      </c>
      <c r="E86" s="13">
        <f>'1-BaseTRR'!E132</f>
        <v>136508486.6180096</v>
      </c>
      <c r="F86" t="str">
        <f>CONCATENATE("1-BaseTRR, L. ",'1-BaseTRR'!A132)</f>
        <v>1-BaseTRR, L. 507</v>
      </c>
      <c r="H86" s="4">
        <f t="shared" si="15"/>
        <v>406</v>
      </c>
    </row>
    <row r="87" spans="1:8">
      <c r="A87" s="4">
        <f t="shared" si="16"/>
        <v>407</v>
      </c>
      <c r="C87" t="s">
        <v>280</v>
      </c>
      <c r="E87" s="13">
        <f ca="1">E61</f>
        <v>171577648.42165416</v>
      </c>
      <c r="F87" t="str">
        <f>"Line "&amp;A61&amp;""</f>
        <v>Line 303</v>
      </c>
      <c r="H87" s="4">
        <f t="shared" si="15"/>
        <v>407</v>
      </c>
    </row>
    <row r="88" spans="1:8">
      <c r="A88" s="4">
        <f t="shared" si="16"/>
        <v>408</v>
      </c>
      <c r="C88" t="s">
        <v>55</v>
      </c>
      <c r="E88" s="13">
        <f>'1-BaseTRR'!E134</f>
        <v>-17464775</v>
      </c>
      <c r="F88" t="str">
        <f>CONCATENATE("1-BaseTRR, L. ",'1-BaseTRR'!A134)</f>
        <v>1-BaseTRR, L. 509</v>
      </c>
      <c r="G88" t="s">
        <v>282</v>
      </c>
      <c r="H88" s="4">
        <f t="shared" si="15"/>
        <v>408</v>
      </c>
    </row>
    <row r="89" spans="1:8">
      <c r="A89" s="4">
        <f t="shared" si="16"/>
        <v>409</v>
      </c>
      <c r="C89" t="s">
        <v>283</v>
      </c>
      <c r="E89" s="13">
        <f>'1-BaseTRR'!E135</f>
        <v>-17690454.906901166</v>
      </c>
      <c r="F89" t="str">
        <f>CONCATENATE("1-BaseTRR, L. ",'1-BaseTRR'!A135)</f>
        <v>1-BaseTRR, L. 510</v>
      </c>
      <c r="G89" t="s">
        <v>282</v>
      </c>
      <c r="H89" s="4">
        <f t="shared" si="15"/>
        <v>409</v>
      </c>
    </row>
    <row r="90" spans="1:8">
      <c r="A90" s="4">
        <f t="shared" si="16"/>
        <v>410</v>
      </c>
      <c r="C90" t="s">
        <v>285</v>
      </c>
      <c r="E90" s="14">
        <f>'1-BaseTRR'!E136</f>
        <v>0</v>
      </c>
      <c r="F90" t="str">
        <f>CONCATENATE("1-BaseTRR, L. ",'1-BaseTRR'!A136)</f>
        <v>1-BaseTRR, L. 511</v>
      </c>
      <c r="H90" s="4">
        <f t="shared" si="15"/>
        <v>410</v>
      </c>
    </row>
    <row r="91" spans="1:8">
      <c r="A91" s="4">
        <f t="shared" si="16"/>
        <v>411</v>
      </c>
      <c r="C91" s="2" t="s">
        <v>288</v>
      </c>
      <c r="D91" s="2"/>
      <c r="E91" s="15">
        <f ca="1">SUM(E80:E90)</f>
        <v>2521710669.7711635</v>
      </c>
      <c r="F91" t="str">
        <f>"Sum Lines "&amp;A80&amp;" to "&amp;A90&amp;""</f>
        <v>Sum Lines 400 to 410</v>
      </c>
      <c r="H91" s="4">
        <f t="shared" si="15"/>
        <v>411</v>
      </c>
    </row>
    <row r="92" spans="1:8">
      <c r="H92" s="4"/>
    </row>
    <row r="93" spans="1:8">
      <c r="C93" s="1" t="s">
        <v>289</v>
      </c>
      <c r="D93" s="1"/>
    </row>
    <row r="94" spans="1:8">
      <c r="A94" s="4">
        <f>A91+1</f>
        <v>412</v>
      </c>
      <c r="C94" t="s">
        <v>290</v>
      </c>
      <c r="E94" s="10">
        <f>'1-BaseTRR'!E140</f>
        <v>7.5170000000000011E-3</v>
      </c>
      <c r="F94" t="str">
        <f>CONCATENATE("1-BaseTRR, L. ",'1-BaseTRR'!A140)</f>
        <v>1-BaseTRR, L. 513</v>
      </c>
      <c r="H94" s="4">
        <f t="shared" si="15"/>
        <v>412</v>
      </c>
    </row>
    <row r="95" spans="1:8">
      <c r="A95" s="4">
        <f>A94+1</f>
        <v>413</v>
      </c>
      <c r="C95" t="s">
        <v>292</v>
      </c>
      <c r="D95" s="2"/>
      <c r="E95" s="33">
        <f>'1-BaseTRR'!E141</f>
        <v>2.7300000000000002E-4</v>
      </c>
      <c r="F95" t="str">
        <f>CONCATENATE("1-BaseTRR, L. ",'1-BaseTRR'!A141)</f>
        <v>1-BaseTRR, L. 514</v>
      </c>
      <c r="H95" s="4">
        <f t="shared" ref="H95:H108" si="17">A95</f>
        <v>413</v>
      </c>
    </row>
    <row r="96" spans="1:8">
      <c r="A96" s="4">
        <f>A95+1</f>
        <v>414</v>
      </c>
      <c r="C96" s="2" t="s">
        <v>294</v>
      </c>
      <c r="D96" s="2"/>
      <c r="E96" s="15">
        <f ca="1">(E94+E95)*E91</f>
        <v>19644126.117517367</v>
      </c>
      <c r="F96" s="8" t="str">
        <f>"Line "&amp;A91&amp;" * ( Line "&amp;A94&amp;" + Line "&amp;A95&amp;")"</f>
        <v>Line 411 * ( Line 412 + Line 413)</v>
      </c>
      <c r="H96" s="4">
        <f t="shared" si="17"/>
        <v>414</v>
      </c>
    </row>
    <row r="97" spans="1:8">
      <c r="C97" s="2"/>
      <c r="D97" s="2"/>
      <c r="E97" s="13"/>
      <c r="H97" s="4"/>
    </row>
    <row r="98" spans="1:8">
      <c r="A98" s="4">
        <f>A96+1</f>
        <v>415</v>
      </c>
      <c r="C98" s="2" t="s">
        <v>363</v>
      </c>
      <c r="D98" s="2"/>
      <c r="E98" s="15">
        <f ca="1">E96+E91</f>
        <v>2541354795.8886809</v>
      </c>
      <c r="F98" t="str">
        <f>"Line "&amp;A91&amp;" + Line "&amp;A96&amp;""</f>
        <v>Line 411 + Line 414</v>
      </c>
      <c r="H98" s="4">
        <f t="shared" ref="H98" si="18">A98</f>
        <v>415</v>
      </c>
    </row>
    <row r="99" spans="1:8">
      <c r="C99" s="2"/>
      <c r="D99" s="2"/>
      <c r="E99" s="13"/>
      <c r="H99" s="4"/>
    </row>
    <row r="100" spans="1:8">
      <c r="C100" s="1" t="s">
        <v>14</v>
      </c>
      <c r="D100" s="2"/>
      <c r="E100" s="13"/>
      <c r="H100" s="4"/>
    </row>
    <row r="101" spans="1:8">
      <c r="A101" s="4">
        <f>A98+1</f>
        <v>416</v>
      </c>
      <c r="C101" t="s">
        <v>364</v>
      </c>
      <c r="E101" s="44">
        <v>-40890095</v>
      </c>
      <c r="F101" s="42" t="s">
        <v>365</v>
      </c>
      <c r="H101" s="4">
        <f>A101</f>
        <v>416</v>
      </c>
    </row>
    <row r="102" spans="1:8">
      <c r="E102" s="24"/>
      <c r="H102" s="4"/>
    </row>
    <row r="103" spans="1:8">
      <c r="A103" s="4">
        <f>A101+1</f>
        <v>417</v>
      </c>
      <c r="C103" s="2" t="s">
        <v>366</v>
      </c>
      <c r="E103" s="15">
        <f ca="1">E101+E98</f>
        <v>2500464700.8886809</v>
      </c>
      <c r="F103" t="str">
        <f>"Line "&amp;A98&amp;" + Line "&amp;A101&amp;""</f>
        <v>Line 415 + Line 416</v>
      </c>
      <c r="H103" s="4">
        <f>A103</f>
        <v>417</v>
      </c>
    </row>
    <row r="104" spans="1:8">
      <c r="C104" s="2"/>
      <c r="D104" s="2"/>
      <c r="E104" s="13"/>
      <c r="H104" s="4"/>
    </row>
    <row r="105" spans="1:8">
      <c r="C105" s="1" t="s">
        <v>367</v>
      </c>
      <c r="D105" s="2"/>
      <c r="E105" s="13"/>
      <c r="H105" s="4"/>
    </row>
    <row r="106" spans="1:8">
      <c r="A106" s="4">
        <f>A103+1</f>
        <v>418</v>
      </c>
      <c r="C106" t="s">
        <v>300</v>
      </c>
      <c r="D106" s="2"/>
      <c r="E106" s="10">
        <f>'1-BaseTRR'!E155</f>
        <v>2.9529999999999999E-3</v>
      </c>
      <c r="F106" t="str">
        <f>CONCATENATE("1-BaseTRR, L. ",'1-BaseTRR'!A155)</f>
        <v>1-BaseTRR, L. 700</v>
      </c>
      <c r="H106" s="4">
        <f t="shared" ref="H106" si="19">A106</f>
        <v>418</v>
      </c>
    </row>
    <row r="107" spans="1:8">
      <c r="A107" s="4">
        <f>A106+1</f>
        <v>419</v>
      </c>
      <c r="C107" t="s">
        <v>302</v>
      </c>
      <c r="E107" s="13">
        <f ca="1">E106*E103</f>
        <v>7383872.2617242746</v>
      </c>
      <c r="F107" s="8" t="str">
        <f>"Line "&amp;A103&amp;" * Line "&amp;A106&amp;""</f>
        <v>Line 417 * Line 418</v>
      </c>
      <c r="H107" s="4">
        <f t="shared" si="17"/>
        <v>419</v>
      </c>
    </row>
    <row r="108" spans="1:8">
      <c r="A108" s="4">
        <f>A107+1</f>
        <v>420</v>
      </c>
      <c r="C108" t="s">
        <v>303</v>
      </c>
      <c r="E108" s="13">
        <f>+'23-RetailSGTax'!E38</f>
        <v>4740417.7727485662</v>
      </c>
      <c r="F108" t="s">
        <v>368</v>
      </c>
      <c r="H108" s="4">
        <f t="shared" si="17"/>
        <v>420</v>
      </c>
    </row>
    <row r="109" spans="1:8">
      <c r="H109" s="4"/>
    </row>
    <row r="110" spans="1:8">
      <c r="A110" s="4">
        <f>A108+1</f>
        <v>421</v>
      </c>
      <c r="C110" s="2" t="s">
        <v>12</v>
      </c>
      <c r="D110" s="2"/>
      <c r="E110" s="15">
        <f ca="1">E103+E107+E108</f>
        <v>2512588990.9231539</v>
      </c>
      <c r="F110" t="str">
        <f>"Line "&amp;A103&amp;" + Line "&amp;A107&amp;" + Line "&amp;A108&amp;""</f>
        <v>Line 417 + Line 419 + Line 420</v>
      </c>
      <c r="H110" s="4">
        <f t="shared" ref="H110" si="20">A110</f>
        <v>421</v>
      </c>
    </row>
    <row r="111" spans="1:8">
      <c r="H111" s="4"/>
    </row>
    <row r="112" spans="1:8">
      <c r="C112" s="7"/>
    </row>
    <row r="113" spans="5:5">
      <c r="E113" s="34"/>
    </row>
    <row r="115" spans="5:5">
      <c r="E115" s="29"/>
    </row>
  </sheetData>
  <mergeCells count="3">
    <mergeCell ref="C34:G34"/>
    <mergeCell ref="C75:G76"/>
    <mergeCell ref="C54:G54"/>
  </mergeCells>
  <printOptions horizontalCentered="1"/>
  <pageMargins left="1" right="1" top="1" bottom="1" header="0.5" footer="0.5"/>
  <pageSetup scale="47" fitToHeight="0" orientation="portrait" r:id="rId1"/>
  <headerFooter>
    <oddHeader>&amp;C&amp;"-,Bold"&amp;12Pacific Gas and Electric Company
Formula Rate Model
Schedule 3-True-upTRR</oddHeader>
  </headerFooter>
  <rowBreaks count="1" manualBreakCount="1">
    <brk id="71" max="8" man="1"/>
  </rowBreaks>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147"/>
  <sheetViews>
    <sheetView topLeftCell="A46" zoomScaleNormal="100" zoomScaleSheetLayoutView="85" zoomScalePageLayoutView="70" workbookViewId="0">
      <selection activeCell="E92" sqref="E92"/>
    </sheetView>
  </sheetViews>
  <sheetFormatPr defaultColWidth="9.140625" defaultRowHeight="15"/>
  <cols>
    <col min="1" max="1" width="4.7109375" bestFit="1" customWidth="1"/>
    <col min="2" max="2" width="15.5703125" customWidth="1"/>
    <col min="3" max="3" width="15.42578125" customWidth="1"/>
    <col min="4" max="4" width="17.28515625" customWidth="1"/>
    <col min="5" max="5" width="19.7109375" customWidth="1"/>
    <col min="6" max="6" width="18.5703125" bestFit="1" customWidth="1"/>
    <col min="7" max="7" width="18.5703125" customWidth="1"/>
    <col min="8" max="8" width="16.85546875" customWidth="1"/>
    <col min="9" max="9" width="15.42578125" customWidth="1"/>
    <col min="10" max="10" width="16.85546875" bestFit="1" customWidth="1"/>
    <col min="11" max="11" width="17.5703125" bestFit="1" customWidth="1"/>
    <col min="12" max="12" width="4.7109375" bestFit="1" customWidth="1"/>
  </cols>
  <sheetData>
    <row r="1" spans="1:12">
      <c r="B1" s="2" t="s">
        <v>14</v>
      </c>
      <c r="K1" s="6" t="str">
        <f>CONCATENATE("Rate Year: ",'1-BaseTRR'!$G$1)</f>
        <v>Rate Year: 2023</v>
      </c>
    </row>
    <row r="2" spans="1:12">
      <c r="B2" s="39" t="s">
        <v>131</v>
      </c>
      <c r="K2" s="6" t="str">
        <f>CONCATENATE("Prior Year: ",'1-BaseTRR'!$G$2)</f>
        <v>Prior Year: 2021</v>
      </c>
    </row>
    <row r="4" spans="1:12">
      <c r="B4" s="50" t="s">
        <v>369</v>
      </c>
      <c r="C4" s="47"/>
      <c r="D4" s="47"/>
      <c r="E4" s="47"/>
      <c r="F4" s="47"/>
      <c r="G4" s="47"/>
      <c r="H4" s="47"/>
      <c r="I4" s="47"/>
      <c r="J4" s="47"/>
      <c r="K4" s="47"/>
    </row>
    <row r="5" spans="1:12">
      <c r="B5" s="7" t="s">
        <v>350</v>
      </c>
    </row>
    <row r="6" spans="1:12">
      <c r="B6" s="813" t="s">
        <v>370</v>
      </c>
      <c r="C6" s="813"/>
      <c r="D6" s="813"/>
      <c r="E6" s="813"/>
      <c r="F6" s="813"/>
      <c r="G6" s="813"/>
      <c r="H6" s="813"/>
      <c r="I6" s="813"/>
      <c r="J6" s="813"/>
      <c r="K6" s="813"/>
    </row>
    <row r="7" spans="1:12">
      <c r="B7" s="813"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13"/>
      <c r="D7" s="813"/>
      <c r="E7" s="813"/>
      <c r="F7" s="813"/>
      <c r="G7" s="813"/>
      <c r="H7" s="813"/>
      <c r="I7" s="813"/>
      <c r="J7" s="813"/>
      <c r="K7" s="813"/>
    </row>
    <row r="8" spans="1:12">
      <c r="B8" s="37"/>
      <c r="C8" s="37"/>
      <c r="D8" s="37"/>
      <c r="E8" s="37"/>
      <c r="F8" s="37"/>
      <c r="G8" s="37"/>
      <c r="H8" s="37"/>
      <c r="I8" s="37"/>
      <c r="J8" s="37"/>
      <c r="K8" s="37"/>
    </row>
    <row r="9" spans="1:12">
      <c r="B9" s="2"/>
      <c r="C9" s="3" t="s">
        <v>371</v>
      </c>
      <c r="D9" s="3" t="s">
        <v>372</v>
      </c>
      <c r="E9" s="3" t="s">
        <v>373</v>
      </c>
      <c r="F9" s="3" t="s">
        <v>374</v>
      </c>
      <c r="G9" s="3" t="s">
        <v>375</v>
      </c>
      <c r="H9" s="3" t="s">
        <v>376</v>
      </c>
      <c r="I9" s="3" t="s">
        <v>377</v>
      </c>
      <c r="J9" s="3" t="s">
        <v>378</v>
      </c>
    </row>
    <row r="10" spans="1:12">
      <c r="B10" s="2"/>
      <c r="C10" s="21" t="s">
        <v>111</v>
      </c>
      <c r="D10" s="21" t="s">
        <v>203</v>
      </c>
      <c r="E10" s="4"/>
      <c r="F10" s="4"/>
      <c r="G10" s="4"/>
      <c r="H10" s="4"/>
      <c r="I10" s="4"/>
      <c r="J10" s="21" t="s">
        <v>379</v>
      </c>
    </row>
    <row r="11" spans="1:12">
      <c r="B11" s="2"/>
      <c r="C11" s="4" t="s">
        <v>380</v>
      </c>
      <c r="D11" s="4" t="s">
        <v>381</v>
      </c>
      <c r="E11" s="4"/>
      <c r="F11" s="4"/>
      <c r="G11" s="4" t="s">
        <v>382</v>
      </c>
      <c r="H11" s="4" t="s">
        <v>383</v>
      </c>
      <c r="I11" s="4"/>
      <c r="J11" s="21"/>
    </row>
    <row r="12" spans="1:12">
      <c r="A12" s="3" t="s">
        <v>100</v>
      </c>
      <c r="B12" s="3" t="s">
        <v>384</v>
      </c>
      <c r="C12" s="3" t="s">
        <v>385</v>
      </c>
      <c r="D12" s="3" t="s">
        <v>385</v>
      </c>
      <c r="E12" s="3" t="s">
        <v>386</v>
      </c>
      <c r="F12" s="3" t="s">
        <v>387</v>
      </c>
      <c r="G12" s="3" t="s">
        <v>388</v>
      </c>
      <c r="H12" s="3" t="s">
        <v>389</v>
      </c>
      <c r="I12" s="3" t="s">
        <v>381</v>
      </c>
      <c r="J12" s="3" t="s">
        <v>390</v>
      </c>
      <c r="K12" s="3"/>
      <c r="L12" s="3" t="str">
        <f t="shared" ref="L12:L25" si="0">A12</f>
        <v>Line</v>
      </c>
    </row>
    <row r="13" spans="1:12">
      <c r="A13" s="4">
        <v>100</v>
      </c>
      <c r="B13" t="s">
        <v>391</v>
      </c>
      <c r="C13" s="44">
        <v>173865554</v>
      </c>
      <c r="D13" s="44">
        <v>17219651</v>
      </c>
      <c r="E13" s="44">
        <v>314506918</v>
      </c>
      <c r="F13" s="44">
        <v>385230765</v>
      </c>
      <c r="G13" s="44">
        <v>73457943</v>
      </c>
      <c r="H13" s="44">
        <v>6075472</v>
      </c>
      <c r="I13" s="44">
        <v>37771741</v>
      </c>
      <c r="J13" s="13">
        <f t="shared" ref="J13:J24" si="1">SUM(C13:I13)</f>
        <v>1008128044</v>
      </c>
      <c r="K13" s="27"/>
      <c r="L13" s="4">
        <f t="shared" si="0"/>
        <v>100</v>
      </c>
    </row>
    <row r="14" spans="1:12">
      <c r="A14" s="4">
        <f>A13+1</f>
        <v>101</v>
      </c>
      <c r="B14" t="s">
        <v>392</v>
      </c>
      <c r="C14" s="44">
        <v>155765406</v>
      </c>
      <c r="D14" s="44">
        <v>16238553</v>
      </c>
      <c r="E14" s="44">
        <v>287361328</v>
      </c>
      <c r="F14" s="44">
        <v>333501126</v>
      </c>
      <c r="G14" s="44">
        <v>68208389</v>
      </c>
      <c r="H14" s="44">
        <v>5087726</v>
      </c>
      <c r="I14" s="44">
        <v>33233336</v>
      </c>
      <c r="J14" s="13">
        <f t="shared" si="1"/>
        <v>899395864</v>
      </c>
      <c r="K14" s="27"/>
      <c r="L14" s="4">
        <f t="shared" si="0"/>
        <v>101</v>
      </c>
    </row>
    <row r="15" spans="1:12">
      <c r="A15" s="4">
        <f t="shared" ref="A15:A25" si="2">A14+1</f>
        <v>102</v>
      </c>
      <c r="B15" t="s">
        <v>393</v>
      </c>
      <c r="C15" s="44">
        <v>181654753</v>
      </c>
      <c r="D15" s="44">
        <v>5743073</v>
      </c>
      <c r="E15" s="44">
        <v>354089630.20999998</v>
      </c>
      <c r="F15" s="44">
        <v>403418891.94999999</v>
      </c>
      <c r="G15" s="44">
        <v>84763010.540000007</v>
      </c>
      <c r="H15" s="44">
        <v>6036262</v>
      </c>
      <c r="I15" s="44">
        <v>39820390.300000004</v>
      </c>
      <c r="J15" s="13">
        <f t="shared" si="1"/>
        <v>1075526011</v>
      </c>
      <c r="K15" s="27"/>
      <c r="L15" s="4">
        <f t="shared" si="0"/>
        <v>102</v>
      </c>
    </row>
    <row r="16" spans="1:12">
      <c r="A16" s="4">
        <f t="shared" si="2"/>
        <v>103</v>
      </c>
      <c r="B16" t="s">
        <v>394</v>
      </c>
      <c r="C16" s="44">
        <v>148368721</v>
      </c>
      <c r="D16" s="44">
        <v>-11993377</v>
      </c>
      <c r="E16" s="44">
        <v>261656237</v>
      </c>
      <c r="F16" s="44">
        <v>391310015</v>
      </c>
      <c r="G16" s="44">
        <v>86042877</v>
      </c>
      <c r="H16" s="44">
        <v>5837433</v>
      </c>
      <c r="I16" s="44">
        <v>38699356</v>
      </c>
      <c r="J16" s="13">
        <f t="shared" si="1"/>
        <v>919921262</v>
      </c>
      <c r="K16" s="27"/>
      <c r="L16" s="4">
        <f t="shared" si="0"/>
        <v>103</v>
      </c>
    </row>
    <row r="17" spans="1:12">
      <c r="A17" s="4">
        <f t="shared" si="2"/>
        <v>104</v>
      </c>
      <c r="B17" t="s">
        <v>395</v>
      </c>
      <c r="C17" s="44">
        <v>170683066</v>
      </c>
      <c r="D17" s="44">
        <v>-12775036</v>
      </c>
      <c r="E17" s="44">
        <v>350384740</v>
      </c>
      <c r="F17" s="44">
        <v>389759964</v>
      </c>
      <c r="G17" s="44">
        <v>84375718</v>
      </c>
      <c r="H17" s="44">
        <v>5697613</v>
      </c>
      <c r="I17" s="44">
        <v>37910001</v>
      </c>
      <c r="J17" s="13">
        <f t="shared" si="1"/>
        <v>1026036066</v>
      </c>
      <c r="K17" s="27"/>
      <c r="L17" s="4">
        <f t="shared" si="0"/>
        <v>104</v>
      </c>
    </row>
    <row r="18" spans="1:12">
      <c r="A18" s="4">
        <f t="shared" si="2"/>
        <v>105</v>
      </c>
      <c r="B18" t="s">
        <v>396</v>
      </c>
      <c r="C18" s="44">
        <v>206749749</v>
      </c>
      <c r="D18" s="44">
        <v>-15738147</v>
      </c>
      <c r="E18" s="44">
        <v>479990416</v>
      </c>
      <c r="F18" s="44">
        <v>526785710</v>
      </c>
      <c r="G18" s="44">
        <v>102064160</v>
      </c>
      <c r="H18" s="44">
        <v>6910820</v>
      </c>
      <c r="I18" s="44">
        <v>45724586</v>
      </c>
      <c r="J18" s="13">
        <f t="shared" si="1"/>
        <v>1352487294</v>
      </c>
      <c r="K18" s="27"/>
      <c r="L18" s="4">
        <f t="shared" si="0"/>
        <v>105</v>
      </c>
    </row>
    <row r="19" spans="1:12">
      <c r="A19" s="4">
        <f t="shared" si="2"/>
        <v>106</v>
      </c>
      <c r="B19" t="s">
        <v>397</v>
      </c>
      <c r="C19" s="44">
        <v>222331409</v>
      </c>
      <c r="D19" s="44">
        <v>-16273762</v>
      </c>
      <c r="E19" s="44">
        <v>574441410</v>
      </c>
      <c r="F19" s="44">
        <v>619674700.99999988</v>
      </c>
      <c r="G19" s="44">
        <v>109464427</v>
      </c>
      <c r="H19" s="44">
        <v>7543146</v>
      </c>
      <c r="I19" s="44">
        <v>49025046</v>
      </c>
      <c r="J19" s="13">
        <f t="shared" si="1"/>
        <v>1566206377</v>
      </c>
      <c r="K19" s="27"/>
      <c r="L19" s="4">
        <f t="shared" si="0"/>
        <v>106</v>
      </c>
    </row>
    <row r="20" spans="1:12">
      <c r="A20" s="4">
        <f t="shared" si="2"/>
        <v>107</v>
      </c>
      <c r="B20" t="s">
        <v>398</v>
      </c>
      <c r="C20" s="44">
        <v>229108231</v>
      </c>
      <c r="D20" s="44">
        <v>-17904227</v>
      </c>
      <c r="E20" s="44">
        <v>603692693</v>
      </c>
      <c r="F20" s="44">
        <v>642285468.00000012</v>
      </c>
      <c r="G20" s="44">
        <v>112019936</v>
      </c>
      <c r="H20" s="44">
        <v>7646100</v>
      </c>
      <c r="I20" s="44">
        <v>49693810</v>
      </c>
      <c r="J20" s="13">
        <f t="shared" si="1"/>
        <v>1626542011</v>
      </c>
      <c r="K20" s="27"/>
      <c r="L20" s="4">
        <f t="shared" si="0"/>
        <v>107</v>
      </c>
    </row>
    <row r="21" spans="1:12">
      <c r="A21" s="4">
        <f t="shared" si="2"/>
        <v>108</v>
      </c>
      <c r="B21" t="s">
        <v>399</v>
      </c>
      <c r="C21" s="44">
        <v>213467464</v>
      </c>
      <c r="D21" s="44">
        <v>-16626098</v>
      </c>
      <c r="E21" s="44">
        <v>560572164</v>
      </c>
      <c r="F21" s="44">
        <v>587722929</v>
      </c>
      <c r="G21" s="44">
        <v>104295334</v>
      </c>
      <c r="H21" s="44">
        <v>7092825</v>
      </c>
      <c r="I21" s="44">
        <v>46327718</v>
      </c>
      <c r="J21" s="13">
        <f t="shared" si="1"/>
        <v>1502852336</v>
      </c>
      <c r="K21" s="27"/>
      <c r="L21" s="4">
        <f t="shared" si="0"/>
        <v>108</v>
      </c>
    </row>
    <row r="22" spans="1:12">
      <c r="A22" s="4">
        <f t="shared" si="2"/>
        <v>109</v>
      </c>
      <c r="B22" t="s">
        <v>400</v>
      </c>
      <c r="C22" s="44">
        <v>185755778</v>
      </c>
      <c r="D22" s="44">
        <v>-14439866</v>
      </c>
      <c r="E22" s="44">
        <v>368441866</v>
      </c>
      <c r="F22" s="44">
        <v>477538375</v>
      </c>
      <c r="G22" s="44">
        <v>92197350</v>
      </c>
      <c r="H22" s="44">
        <v>6208965</v>
      </c>
      <c r="I22" s="44">
        <v>41161440</v>
      </c>
      <c r="J22" s="13">
        <f t="shared" si="1"/>
        <v>1156863908</v>
      </c>
      <c r="K22" s="27"/>
      <c r="L22" s="4">
        <f t="shared" si="0"/>
        <v>109</v>
      </c>
    </row>
    <row r="23" spans="1:12">
      <c r="A23" s="4">
        <f t="shared" si="2"/>
        <v>110</v>
      </c>
      <c r="B23" t="s">
        <v>401</v>
      </c>
      <c r="C23" s="44">
        <v>164303834</v>
      </c>
      <c r="D23" s="44">
        <v>-13088561</v>
      </c>
      <c r="E23" s="44">
        <v>346609335</v>
      </c>
      <c r="F23" s="44">
        <v>386369633</v>
      </c>
      <c r="G23" s="44">
        <v>83158963</v>
      </c>
      <c r="H23" s="44">
        <v>5561053</v>
      </c>
      <c r="I23" s="44">
        <v>37273880</v>
      </c>
      <c r="J23" s="13">
        <f t="shared" si="1"/>
        <v>1010188137</v>
      </c>
      <c r="K23" s="27"/>
      <c r="L23" s="4">
        <f t="shared" si="0"/>
        <v>110</v>
      </c>
    </row>
    <row r="24" spans="1:12">
      <c r="A24" s="4">
        <f t="shared" si="2"/>
        <v>111</v>
      </c>
      <c r="B24" t="s">
        <v>402</v>
      </c>
      <c r="C24" s="44">
        <v>192160386</v>
      </c>
      <c r="D24" s="44">
        <v>-15091043.460000001</v>
      </c>
      <c r="E24" s="44">
        <v>402899601.89999998</v>
      </c>
      <c r="F24" s="44">
        <v>437026120.41000015</v>
      </c>
      <c r="G24" s="44">
        <v>95120241.270000011</v>
      </c>
      <c r="H24" s="44">
        <v>6393656</v>
      </c>
      <c r="I24" s="44">
        <v>44851157.899999999</v>
      </c>
      <c r="J24" s="13">
        <f t="shared" si="1"/>
        <v>1163360120.0200002</v>
      </c>
      <c r="K24" s="27"/>
      <c r="L24" s="4">
        <f t="shared" si="0"/>
        <v>111</v>
      </c>
    </row>
    <row r="25" spans="1:12">
      <c r="A25" s="4">
        <f t="shared" si="2"/>
        <v>112</v>
      </c>
      <c r="B25" t="s">
        <v>403</v>
      </c>
      <c r="C25" s="15">
        <f>SUM(C13:C24)</f>
        <v>2244214351</v>
      </c>
      <c r="D25" s="15">
        <f t="shared" ref="D25:J25" si="3">SUM(D13:D24)</f>
        <v>-94728840.460000008</v>
      </c>
      <c r="E25" s="15">
        <f t="shared" si="3"/>
        <v>4904646339.1099997</v>
      </c>
      <c r="F25" s="15">
        <f t="shared" si="3"/>
        <v>5580623698.3599997</v>
      </c>
      <c r="G25" s="15">
        <f t="shared" si="3"/>
        <v>1095168348.8099999</v>
      </c>
      <c r="H25" s="15">
        <f t="shared" si="3"/>
        <v>76091071</v>
      </c>
      <c r="I25" s="15">
        <f t="shared" si="3"/>
        <v>501492462.19999999</v>
      </c>
      <c r="J25" s="15">
        <f t="shared" si="3"/>
        <v>14307507430.02</v>
      </c>
      <c r="K25" s="27"/>
      <c r="L25" s="4">
        <f t="shared" si="0"/>
        <v>112</v>
      </c>
    </row>
    <row r="26" spans="1:12">
      <c r="A26" s="4"/>
      <c r="L26" s="4"/>
    </row>
    <row r="27" spans="1:12">
      <c r="A27" s="4">
        <f>A25+1</f>
        <v>113</v>
      </c>
      <c r="I27" s="6" t="s">
        <v>404</v>
      </c>
      <c r="J27" s="44">
        <v>14307507431</v>
      </c>
      <c r="L27" s="4">
        <f>A27</f>
        <v>113</v>
      </c>
    </row>
    <row r="28" spans="1:12">
      <c r="L28" s="4"/>
    </row>
    <row r="29" spans="1:12">
      <c r="B29" s="50" t="s">
        <v>405</v>
      </c>
      <c r="C29" s="47"/>
      <c r="D29" s="47"/>
      <c r="E29" s="47"/>
      <c r="F29" s="47"/>
      <c r="G29" s="47"/>
      <c r="H29" s="47"/>
      <c r="I29" s="47"/>
      <c r="J29" s="47"/>
      <c r="K29" s="47"/>
    </row>
    <row r="30" spans="1:12">
      <c r="B30" s="7" t="s">
        <v>350</v>
      </c>
    </row>
    <row r="31" spans="1:12">
      <c r="B31" s="812"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12"/>
      <c r="D31" s="812"/>
      <c r="E31" s="812"/>
      <c r="F31" s="812"/>
      <c r="G31" s="812"/>
      <c r="H31" s="812"/>
      <c r="I31" s="812"/>
      <c r="J31" s="812"/>
      <c r="K31" s="812"/>
    </row>
    <row r="32" spans="1:12">
      <c r="B32" s="812"/>
      <c r="C32" s="812"/>
      <c r="D32" s="812"/>
      <c r="E32" s="812"/>
      <c r="F32" s="812"/>
      <c r="G32" s="812"/>
      <c r="H32" s="812"/>
      <c r="I32" s="812"/>
      <c r="J32" s="812"/>
      <c r="K32" s="812"/>
    </row>
    <row r="33" spans="1:12">
      <c r="B33" s="813" t="s">
        <v>406</v>
      </c>
      <c r="C33" s="813"/>
      <c r="D33" s="813"/>
      <c r="E33" s="813"/>
      <c r="F33" s="813"/>
      <c r="G33" s="813"/>
      <c r="H33" s="813"/>
      <c r="I33" s="813"/>
      <c r="J33" s="813"/>
      <c r="K33" s="813"/>
    </row>
    <row r="34" spans="1:12">
      <c r="B34" s="2"/>
    </row>
    <row r="35" spans="1:12">
      <c r="A35" s="3" t="s">
        <v>100</v>
      </c>
      <c r="B35" s="3" t="s">
        <v>407</v>
      </c>
      <c r="C35" s="3" t="s">
        <v>408</v>
      </c>
      <c r="L35" s="3" t="str">
        <f>A35</f>
        <v>Line</v>
      </c>
    </row>
    <row r="36" spans="1:12">
      <c r="A36" s="4">
        <v>200</v>
      </c>
      <c r="B36" s="38">
        <f ca="1">'3-True-upTRR'!$E$110</f>
        <v>2512588990.9231539</v>
      </c>
      <c r="C36" s="35" t="str">
        <f>"3-True-up TRR, L. "&amp;'3-True-upTRR'!$A$110&amp;""</f>
        <v>3-True-up TRR, L. 421</v>
      </c>
      <c r="L36" s="4">
        <f>A36</f>
        <v>200</v>
      </c>
    </row>
    <row r="37" spans="1:12">
      <c r="A37" s="4"/>
    </row>
    <row r="38" spans="1:12">
      <c r="A38" s="4"/>
      <c r="B38" s="4"/>
      <c r="C38" s="3" t="s">
        <v>371</v>
      </c>
      <c r="D38" s="3" t="s">
        <v>372</v>
      </c>
      <c r="E38" s="3" t="s">
        <v>373</v>
      </c>
      <c r="F38" s="3" t="s">
        <v>374</v>
      </c>
      <c r="G38" s="3" t="s">
        <v>375</v>
      </c>
      <c r="H38" s="3" t="s">
        <v>376</v>
      </c>
      <c r="I38" s="3" t="s">
        <v>377</v>
      </c>
      <c r="J38" s="3" t="s">
        <v>378</v>
      </c>
      <c r="K38" s="3" t="s">
        <v>409</v>
      </c>
    </row>
    <row r="39" spans="1:12">
      <c r="A39" s="4"/>
      <c r="B39" s="4"/>
      <c r="C39" s="4"/>
      <c r="D39" s="18" t="s">
        <v>251</v>
      </c>
      <c r="E39" s="21" t="s">
        <v>287</v>
      </c>
      <c r="F39" s="21" t="str">
        <f>""&amp;D38&amp;" - "&amp;E38&amp;""</f>
        <v>Col 2 - Col 3</v>
      </c>
      <c r="G39" s="21" t="s">
        <v>410</v>
      </c>
      <c r="H39" s="21" t="s">
        <v>411</v>
      </c>
      <c r="I39" s="21" t="s">
        <v>412</v>
      </c>
      <c r="J39" s="21" t="s">
        <v>413</v>
      </c>
      <c r="K39" s="21" t="str">
        <f>""&amp;G38&amp;" + "&amp;J38&amp;""</f>
        <v>Col 5 + Col 8</v>
      </c>
    </row>
    <row r="40" spans="1:12">
      <c r="A40" s="4"/>
      <c r="B40" s="4"/>
      <c r="C40" s="4"/>
      <c r="D40" s="4"/>
      <c r="E40" s="4"/>
      <c r="F40" s="4"/>
      <c r="G40" s="4" t="s">
        <v>414</v>
      </c>
      <c r="H40" s="4"/>
      <c r="I40" s="4"/>
      <c r="J40" s="4"/>
      <c r="K40" s="4" t="s">
        <v>414</v>
      </c>
    </row>
    <row r="41" spans="1:12">
      <c r="A41" s="4"/>
      <c r="B41" s="4"/>
      <c r="C41" s="4"/>
      <c r="D41" s="4" t="s">
        <v>380</v>
      </c>
      <c r="E41" s="4" t="s">
        <v>380</v>
      </c>
      <c r="F41" s="4" t="s">
        <v>380</v>
      </c>
      <c r="G41" s="4" t="s">
        <v>415</v>
      </c>
      <c r="H41" s="4"/>
      <c r="I41" s="4"/>
      <c r="J41" s="4"/>
      <c r="K41" s="4" t="s">
        <v>415</v>
      </c>
    </row>
    <row r="42" spans="1:12">
      <c r="A42" s="4"/>
      <c r="B42" s="4"/>
      <c r="C42" s="4"/>
      <c r="D42" s="4" t="s">
        <v>416</v>
      </c>
      <c r="E42" s="4" t="s">
        <v>385</v>
      </c>
      <c r="F42" s="4" t="s">
        <v>417</v>
      </c>
      <c r="G42" s="4" t="s">
        <v>418</v>
      </c>
      <c r="H42" s="4" t="s">
        <v>416</v>
      </c>
      <c r="I42" s="4" t="s">
        <v>416</v>
      </c>
      <c r="J42" s="4" t="s">
        <v>419</v>
      </c>
      <c r="K42" s="4" t="s">
        <v>418</v>
      </c>
    </row>
    <row r="43" spans="1:12">
      <c r="A43" s="4"/>
      <c r="B43" s="3" t="s">
        <v>384</v>
      </c>
      <c r="C43" s="3" t="s">
        <v>420</v>
      </c>
      <c r="D43" s="3" t="s">
        <v>421</v>
      </c>
      <c r="E43" s="3" t="s">
        <v>422</v>
      </c>
      <c r="F43" s="3" t="s">
        <v>423</v>
      </c>
      <c r="G43" s="3" t="s">
        <v>424</v>
      </c>
      <c r="H43" s="3" t="s">
        <v>425</v>
      </c>
      <c r="I43" s="3" t="s">
        <v>426</v>
      </c>
      <c r="J43" s="3" t="s">
        <v>426</v>
      </c>
      <c r="K43" s="3" t="s">
        <v>427</v>
      </c>
    </row>
    <row r="44" spans="1:12">
      <c r="A44" s="4">
        <f>A36+1</f>
        <v>201</v>
      </c>
      <c r="B44" t="s">
        <v>428</v>
      </c>
      <c r="C44" s="21">
        <f>C45-1</f>
        <v>2020</v>
      </c>
      <c r="D44" s="21" t="s">
        <v>429</v>
      </c>
      <c r="E44" s="21" t="s">
        <v>429</v>
      </c>
      <c r="F44" s="21" t="s">
        <v>429</v>
      </c>
      <c r="G44" s="44">
        <v>-706236.86768466234</v>
      </c>
      <c r="H44" s="21" t="s">
        <v>429</v>
      </c>
      <c r="I44" s="21" t="s">
        <v>429</v>
      </c>
      <c r="J44" s="44">
        <v>-24568.080000000075</v>
      </c>
      <c r="K44" s="13">
        <f>ROUND((G44+J44),2)</f>
        <v>-730804.95</v>
      </c>
      <c r="L44" s="4">
        <f t="shared" ref="L44:L68" si="4">A44</f>
        <v>201</v>
      </c>
    </row>
    <row r="45" spans="1:12">
      <c r="A45" s="4">
        <f>A44+1</f>
        <v>202</v>
      </c>
      <c r="B45" t="s">
        <v>430</v>
      </c>
      <c r="C45" s="21">
        <f>'1-BaseTRR'!$G$2</f>
        <v>2021</v>
      </c>
      <c r="D45" s="13">
        <f ca="1">IF($D$102="No",$B$36*D108,IF(F108="No",0,IF(F108="Yes",D108*$B$36,0)))</f>
        <v>192397453.51925173</v>
      </c>
      <c r="E45" s="13">
        <f t="shared" ref="E45:E56" si="5">IF($D$102="No",C13,IF(F108="No",0,IF(F108="Yes",C13,0)))</f>
        <v>173865554</v>
      </c>
      <c r="F45" s="13">
        <f t="shared" ref="F45:F56" ca="1" si="6">D45-E45</f>
        <v>18531899.519251734</v>
      </c>
      <c r="G45" s="13">
        <f ca="1">F45+G44</f>
        <v>17825662.651567072</v>
      </c>
      <c r="H45" s="803">
        <f>0.0325/12</f>
        <v>2.7083333333333334E-3</v>
      </c>
      <c r="I45" s="13">
        <f ca="1">ROUND((F45/2+K44)*H45,2)</f>
        <v>23116.02</v>
      </c>
      <c r="J45" s="13">
        <f ca="1">I45+J44</f>
        <v>-1452.0600000000741</v>
      </c>
      <c r="K45" s="13">
        <f t="shared" ref="K45:K68" ca="1" si="7">ROUND((G45+J45),2)</f>
        <v>17824210.59</v>
      </c>
      <c r="L45" s="4">
        <f t="shared" si="4"/>
        <v>202</v>
      </c>
    </row>
    <row r="46" spans="1:12">
      <c r="A46" s="4">
        <f t="shared" ref="A46:A68" si="8">A45+1</f>
        <v>203</v>
      </c>
      <c r="B46" t="s">
        <v>431</v>
      </c>
      <c r="C46" s="21">
        <f>'1-BaseTRR'!$G$2</f>
        <v>2021</v>
      </c>
      <c r="D46" s="13">
        <f t="shared" ref="D46:D56" ca="1" si="9">IF($D$102="No",$B$36*D109,IF(F109="No",0,IF(F109="Yes",D109*$B$36,0)))</f>
        <v>169873980.73826402</v>
      </c>
      <c r="E46" s="13">
        <f t="shared" si="5"/>
        <v>155765406</v>
      </c>
      <c r="F46" s="13">
        <f t="shared" ca="1" si="6"/>
        <v>14108574.738264024</v>
      </c>
      <c r="G46" s="13">
        <f t="shared" ref="G46:G68" ca="1" si="10">F46+G45</f>
        <v>31934237.389831096</v>
      </c>
      <c r="H46" s="803">
        <f t="shared" ref="H46:H62" si="11">0.0325/12</f>
        <v>2.7083333333333334E-3</v>
      </c>
      <c r="I46" s="13">
        <f t="shared" ref="I46:I68" ca="1" si="12">ROUND((F46/2+K45)*H46,2)</f>
        <v>67379.27</v>
      </c>
      <c r="J46" s="13">
        <f ca="1">I46+J45</f>
        <v>65927.209999999934</v>
      </c>
      <c r="K46" s="13">
        <f t="shared" ca="1" si="7"/>
        <v>32000164.600000001</v>
      </c>
      <c r="L46" s="4">
        <f t="shared" si="4"/>
        <v>203</v>
      </c>
    </row>
    <row r="47" spans="1:12">
      <c r="A47" s="4">
        <f t="shared" si="8"/>
        <v>204</v>
      </c>
      <c r="B47" t="s">
        <v>432</v>
      </c>
      <c r="C47" s="21">
        <f>'1-BaseTRR'!$G$2</f>
        <v>2021</v>
      </c>
      <c r="D47" s="13">
        <f t="shared" ca="1" si="9"/>
        <v>191025394.66792208</v>
      </c>
      <c r="E47" s="13">
        <f t="shared" si="5"/>
        <v>181654753</v>
      </c>
      <c r="F47" s="13">
        <f t="shared" ca="1" si="6"/>
        <v>9370641.6679220796</v>
      </c>
      <c r="G47" s="13">
        <f t="shared" ca="1" si="10"/>
        <v>41304879.057753175</v>
      </c>
      <c r="H47" s="803">
        <f t="shared" si="11"/>
        <v>2.7083333333333334E-3</v>
      </c>
      <c r="I47" s="13">
        <f t="shared" ca="1" si="12"/>
        <v>99356.52</v>
      </c>
      <c r="J47" s="13">
        <f ca="1">I47+J46</f>
        <v>165283.72999999992</v>
      </c>
      <c r="K47" s="13">
        <f t="shared" ca="1" si="7"/>
        <v>41470162.789999999</v>
      </c>
      <c r="L47" s="4">
        <f t="shared" si="4"/>
        <v>204</v>
      </c>
    </row>
    <row r="48" spans="1:12">
      <c r="A48" s="4">
        <f t="shared" si="8"/>
        <v>205</v>
      </c>
      <c r="B48" t="s">
        <v>433</v>
      </c>
      <c r="C48" s="21">
        <f>'1-BaseTRR'!$G$2</f>
        <v>2021</v>
      </c>
      <c r="D48" s="13">
        <f t="shared" ca="1" si="9"/>
        <v>188093031.73683363</v>
      </c>
      <c r="E48" s="13">
        <f t="shared" si="5"/>
        <v>148368721</v>
      </c>
      <c r="F48" s="13">
        <f t="shared" ca="1" si="6"/>
        <v>39724310.736833632</v>
      </c>
      <c r="G48" s="13">
        <f t="shared" ca="1" si="10"/>
        <v>81029189.794586807</v>
      </c>
      <c r="H48" s="803">
        <f t="shared" si="11"/>
        <v>2.7083333333333334E-3</v>
      </c>
      <c r="I48" s="13">
        <f t="shared" ca="1" si="12"/>
        <v>166108.35999999999</v>
      </c>
      <c r="J48" s="13">
        <f t="shared" ref="J48:J68" ca="1" si="13">I48+J47</f>
        <v>331392.08999999991</v>
      </c>
      <c r="K48" s="13">
        <f t="shared" ca="1" si="7"/>
        <v>81360581.879999995</v>
      </c>
      <c r="L48" s="4">
        <f t="shared" si="4"/>
        <v>205</v>
      </c>
    </row>
    <row r="49" spans="1:12">
      <c r="A49" s="4">
        <f t="shared" si="8"/>
        <v>206</v>
      </c>
      <c r="B49" t="s">
        <v>395</v>
      </c>
      <c r="C49" s="21">
        <f>'1-BaseTRR'!$G$2</f>
        <v>2021</v>
      </c>
      <c r="D49" s="13">
        <f t="shared" ca="1" si="9"/>
        <v>212409761.43306974</v>
      </c>
      <c r="E49" s="13">
        <f t="shared" si="5"/>
        <v>170683066</v>
      </c>
      <c r="F49" s="13">
        <f t="shared" ca="1" si="6"/>
        <v>41726695.433069736</v>
      </c>
      <c r="G49" s="13">
        <f t="shared" ca="1" si="10"/>
        <v>122755885.22765654</v>
      </c>
      <c r="H49" s="803">
        <f t="shared" si="11"/>
        <v>2.7083333333333334E-3</v>
      </c>
      <c r="I49" s="13">
        <f t="shared" ca="1" si="12"/>
        <v>276856.48</v>
      </c>
      <c r="J49" s="13">
        <f t="shared" ca="1" si="13"/>
        <v>608248.56999999983</v>
      </c>
      <c r="K49" s="13">
        <f t="shared" ca="1" si="7"/>
        <v>123364133.8</v>
      </c>
      <c r="L49" s="4">
        <f t="shared" si="4"/>
        <v>206</v>
      </c>
    </row>
    <row r="50" spans="1:12">
      <c r="A50" s="4">
        <f t="shared" si="8"/>
        <v>207</v>
      </c>
      <c r="B50" t="s">
        <v>434</v>
      </c>
      <c r="C50" s="21">
        <f>'1-BaseTRR'!$G$2</f>
        <v>2021</v>
      </c>
      <c r="D50" s="13">
        <f t="shared" ca="1" si="9"/>
        <v>238216238.4952651</v>
      </c>
      <c r="E50" s="13">
        <f t="shared" si="5"/>
        <v>206749749</v>
      </c>
      <c r="F50" s="13">
        <f t="shared" ca="1" si="6"/>
        <v>31466489.495265096</v>
      </c>
      <c r="G50" s="13">
        <f t="shared" ca="1" si="10"/>
        <v>154222374.72292164</v>
      </c>
      <c r="H50" s="803">
        <f t="shared" si="11"/>
        <v>2.7083333333333334E-3</v>
      </c>
      <c r="I50" s="13">
        <f t="shared" ca="1" si="12"/>
        <v>376722.07</v>
      </c>
      <c r="J50" s="13">
        <f t="shared" ca="1" si="13"/>
        <v>984970.6399999999</v>
      </c>
      <c r="K50" s="13">
        <f t="shared" ca="1" si="7"/>
        <v>155207345.36000001</v>
      </c>
      <c r="L50" s="4">
        <f t="shared" si="4"/>
        <v>207</v>
      </c>
    </row>
    <row r="51" spans="1:12">
      <c r="A51" s="4">
        <f t="shared" si="8"/>
        <v>208</v>
      </c>
      <c r="B51" t="s">
        <v>435</v>
      </c>
      <c r="C51" s="21">
        <f>'1-BaseTRR'!$G$2</f>
        <v>2021</v>
      </c>
      <c r="D51" s="13">
        <f t="shared" ca="1" si="9"/>
        <v>262286961.48985919</v>
      </c>
      <c r="E51" s="13">
        <f t="shared" si="5"/>
        <v>222331409</v>
      </c>
      <c r="F51" s="13">
        <f t="shared" ca="1" si="6"/>
        <v>39955552.489859194</v>
      </c>
      <c r="G51" s="13">
        <f t="shared" ca="1" si="10"/>
        <v>194177927.21278083</v>
      </c>
      <c r="H51" s="803">
        <f t="shared" si="11"/>
        <v>2.7083333333333334E-3</v>
      </c>
      <c r="I51" s="13">
        <f t="shared" ca="1" si="12"/>
        <v>474459.7</v>
      </c>
      <c r="J51" s="13">
        <f t="shared" ca="1" si="13"/>
        <v>1459430.3399999999</v>
      </c>
      <c r="K51" s="13">
        <f t="shared" ca="1" si="7"/>
        <v>195637357.55000001</v>
      </c>
      <c r="L51" s="4">
        <f t="shared" si="4"/>
        <v>208</v>
      </c>
    </row>
    <row r="52" spans="1:12">
      <c r="A52" s="4">
        <f t="shared" si="8"/>
        <v>209</v>
      </c>
      <c r="B52" t="s">
        <v>436</v>
      </c>
      <c r="C52" s="21">
        <f>'1-BaseTRR'!$G$2</f>
        <v>2021</v>
      </c>
      <c r="D52" s="13">
        <f t="shared" ca="1" si="9"/>
        <v>250500008.23576957</v>
      </c>
      <c r="E52" s="13">
        <f t="shared" si="5"/>
        <v>229108231</v>
      </c>
      <c r="F52" s="13">
        <f t="shared" ca="1" si="6"/>
        <v>21391777.23576957</v>
      </c>
      <c r="G52" s="13">
        <f t="shared" ca="1" si="10"/>
        <v>215569704.4485504</v>
      </c>
      <c r="H52" s="803">
        <f t="shared" si="11"/>
        <v>2.7083333333333334E-3</v>
      </c>
      <c r="I52" s="13">
        <f t="shared" ca="1" si="12"/>
        <v>558819.21</v>
      </c>
      <c r="J52" s="13">
        <f t="shared" ca="1" si="13"/>
        <v>2018249.5499999998</v>
      </c>
      <c r="K52" s="13">
        <f t="shared" ca="1" si="7"/>
        <v>217587954</v>
      </c>
      <c r="L52" s="4">
        <f t="shared" si="4"/>
        <v>209</v>
      </c>
    </row>
    <row r="53" spans="1:12">
      <c r="A53" s="4">
        <f t="shared" si="8"/>
        <v>210</v>
      </c>
      <c r="B53" t="s">
        <v>437</v>
      </c>
      <c r="C53" s="21">
        <f>'1-BaseTRR'!$G$2</f>
        <v>2021</v>
      </c>
      <c r="D53" s="13">
        <f t="shared" ca="1" si="9"/>
        <v>225893720.96837997</v>
      </c>
      <c r="E53" s="13">
        <f t="shared" si="5"/>
        <v>213467464</v>
      </c>
      <c r="F53" s="13">
        <f t="shared" ca="1" si="6"/>
        <v>12426256.968379974</v>
      </c>
      <c r="G53" s="13">
        <f t="shared" ca="1" si="10"/>
        <v>227995961.41693038</v>
      </c>
      <c r="H53" s="803">
        <f t="shared" si="11"/>
        <v>2.7083333333333334E-3</v>
      </c>
      <c r="I53" s="13">
        <f t="shared" ca="1" si="12"/>
        <v>606127.93000000005</v>
      </c>
      <c r="J53" s="13">
        <f t="shared" ca="1" si="13"/>
        <v>2624377.48</v>
      </c>
      <c r="K53" s="13">
        <f t="shared" ca="1" si="7"/>
        <v>230620338.90000001</v>
      </c>
      <c r="L53" s="4">
        <f t="shared" si="4"/>
        <v>210</v>
      </c>
    </row>
    <row r="54" spans="1:12">
      <c r="A54" s="4">
        <f t="shared" si="8"/>
        <v>211</v>
      </c>
      <c r="B54" t="s">
        <v>438</v>
      </c>
      <c r="C54" s="21">
        <f>'1-BaseTRR'!$G$2</f>
        <v>2021</v>
      </c>
      <c r="D54" s="13">
        <f t="shared" ca="1" si="9"/>
        <v>196767622.14886552</v>
      </c>
      <c r="E54" s="13">
        <f t="shared" si="5"/>
        <v>185755778</v>
      </c>
      <c r="F54" s="13">
        <f t="shared" ca="1" si="6"/>
        <v>11011844.148865521</v>
      </c>
      <c r="G54" s="13">
        <f t="shared" ca="1" si="10"/>
        <v>239007805.5657959</v>
      </c>
      <c r="H54" s="803">
        <f t="shared" si="11"/>
        <v>2.7083333333333334E-3</v>
      </c>
      <c r="I54" s="13">
        <f t="shared" ca="1" si="12"/>
        <v>639508.62</v>
      </c>
      <c r="J54" s="13">
        <f t="shared" ca="1" si="13"/>
        <v>3263886.1</v>
      </c>
      <c r="K54" s="13">
        <f t="shared" ca="1" si="7"/>
        <v>242271691.66999999</v>
      </c>
      <c r="L54" s="4">
        <f t="shared" si="4"/>
        <v>211</v>
      </c>
    </row>
    <row r="55" spans="1:12">
      <c r="A55" s="4">
        <f t="shared" si="8"/>
        <v>212</v>
      </c>
      <c r="B55" t="s">
        <v>439</v>
      </c>
      <c r="C55" s="21">
        <f>'1-BaseTRR'!$G$2</f>
        <v>2021</v>
      </c>
      <c r="D55" s="13">
        <f t="shared" ca="1" si="9"/>
        <v>182249370.69575751</v>
      </c>
      <c r="E55" s="13">
        <f t="shared" si="5"/>
        <v>164303834</v>
      </c>
      <c r="F55" s="13">
        <f t="shared" ca="1" si="6"/>
        <v>17945536.695757508</v>
      </c>
      <c r="G55" s="13">
        <f t="shared" ca="1" si="10"/>
        <v>256953342.26155341</v>
      </c>
      <c r="H55" s="803">
        <f t="shared" si="11"/>
        <v>2.7083333333333334E-3</v>
      </c>
      <c r="I55" s="13">
        <f t="shared" ca="1" si="12"/>
        <v>680453.75</v>
      </c>
      <c r="J55" s="13">
        <f t="shared" ca="1" si="13"/>
        <v>3944339.85</v>
      </c>
      <c r="K55" s="13">
        <f t="shared" ca="1" si="7"/>
        <v>260897682.11000001</v>
      </c>
      <c r="L55" s="4">
        <f t="shared" si="4"/>
        <v>212</v>
      </c>
    </row>
    <row r="56" spans="1:12">
      <c r="A56" s="4">
        <f t="shared" si="8"/>
        <v>213</v>
      </c>
      <c r="B56" t="s">
        <v>428</v>
      </c>
      <c r="C56" s="21">
        <f>'1-BaseTRR'!$G$2</f>
        <v>2021</v>
      </c>
      <c r="D56" s="13">
        <f t="shared" ca="1" si="9"/>
        <v>202875446.79391584</v>
      </c>
      <c r="E56" s="13">
        <f t="shared" si="5"/>
        <v>192160386</v>
      </c>
      <c r="F56" s="13">
        <f t="shared" ca="1" si="6"/>
        <v>10715060.793915838</v>
      </c>
      <c r="G56" s="13">
        <f t="shared" ca="1" si="10"/>
        <v>267668403.05546924</v>
      </c>
      <c r="H56" s="803">
        <f t="shared" si="11"/>
        <v>2.7083333333333334E-3</v>
      </c>
      <c r="I56" s="13">
        <f t="shared" ca="1" si="12"/>
        <v>721107.87</v>
      </c>
      <c r="J56" s="13">
        <f t="shared" ca="1" si="13"/>
        <v>4665447.72</v>
      </c>
      <c r="K56" s="13">
        <f t="shared" ca="1" si="7"/>
        <v>272333850.77999997</v>
      </c>
      <c r="L56" s="4">
        <f t="shared" si="4"/>
        <v>213</v>
      </c>
    </row>
    <row r="57" spans="1:12">
      <c r="A57" s="4">
        <f t="shared" si="8"/>
        <v>214</v>
      </c>
      <c r="B57" t="s">
        <v>430</v>
      </c>
      <c r="C57" s="21">
        <f>C56+1</f>
        <v>2022</v>
      </c>
      <c r="D57" s="21" t="s">
        <v>429</v>
      </c>
      <c r="E57" s="21" t="s">
        <v>429</v>
      </c>
      <c r="F57" s="11">
        <v>0</v>
      </c>
      <c r="G57" s="13">
        <f ca="1">F57+G56</f>
        <v>267668403.05546924</v>
      </c>
      <c r="H57" s="803">
        <f t="shared" si="11"/>
        <v>2.7083333333333334E-3</v>
      </c>
      <c r="I57" s="13">
        <f t="shared" ca="1" si="12"/>
        <v>737570.85</v>
      </c>
      <c r="J57" s="13">
        <f t="shared" ca="1" si="13"/>
        <v>5403018.5699999994</v>
      </c>
      <c r="K57" s="13">
        <f t="shared" ca="1" si="7"/>
        <v>273071421.63</v>
      </c>
      <c r="L57" s="4">
        <f t="shared" si="4"/>
        <v>214</v>
      </c>
    </row>
    <row r="58" spans="1:12">
      <c r="A58" s="4">
        <f t="shared" si="8"/>
        <v>215</v>
      </c>
      <c r="B58" t="s">
        <v>431</v>
      </c>
      <c r="C58" s="21">
        <f>$C$57</f>
        <v>2022</v>
      </c>
      <c r="D58" s="21" t="s">
        <v>429</v>
      </c>
      <c r="E58" s="21" t="s">
        <v>429</v>
      </c>
      <c r="F58" s="11">
        <v>0</v>
      </c>
      <c r="G58" s="13">
        <f t="shared" ca="1" si="10"/>
        <v>267668403.05546924</v>
      </c>
      <c r="H58" s="803">
        <f t="shared" si="11"/>
        <v>2.7083333333333334E-3</v>
      </c>
      <c r="I58" s="13">
        <f t="shared" ca="1" si="12"/>
        <v>739568.43</v>
      </c>
      <c r="J58" s="13">
        <f t="shared" ca="1" si="13"/>
        <v>6142586.9999999991</v>
      </c>
      <c r="K58" s="13">
        <f t="shared" ca="1" si="7"/>
        <v>273810990.06</v>
      </c>
      <c r="L58" s="4">
        <f t="shared" si="4"/>
        <v>215</v>
      </c>
    </row>
    <row r="59" spans="1:12">
      <c r="A59" s="4">
        <f t="shared" si="8"/>
        <v>216</v>
      </c>
      <c r="B59" t="s">
        <v>432</v>
      </c>
      <c r="C59" s="21">
        <f t="shared" ref="C59:C68" si="14">$C$57</f>
        <v>2022</v>
      </c>
      <c r="D59" s="21" t="s">
        <v>429</v>
      </c>
      <c r="E59" s="21" t="s">
        <v>429</v>
      </c>
      <c r="F59" s="11">
        <v>0</v>
      </c>
      <c r="G59" s="13">
        <f t="shared" ca="1" si="10"/>
        <v>267668403.05546924</v>
      </c>
      <c r="H59" s="803">
        <f t="shared" si="11"/>
        <v>2.7083333333333334E-3</v>
      </c>
      <c r="I59" s="13">
        <f t="shared" ca="1" si="12"/>
        <v>741571.43</v>
      </c>
      <c r="J59" s="13">
        <f t="shared" ca="1" si="13"/>
        <v>6884158.4299999988</v>
      </c>
      <c r="K59" s="13">
        <f t="shared" ca="1" si="7"/>
        <v>274552561.49000001</v>
      </c>
      <c r="L59" s="4">
        <f t="shared" si="4"/>
        <v>216</v>
      </c>
    </row>
    <row r="60" spans="1:12">
      <c r="A60" s="4">
        <f t="shared" si="8"/>
        <v>217</v>
      </c>
      <c r="B60" t="s">
        <v>433</v>
      </c>
      <c r="C60" s="21">
        <f t="shared" si="14"/>
        <v>2022</v>
      </c>
      <c r="D60" s="21" t="s">
        <v>429</v>
      </c>
      <c r="E60" s="21" t="s">
        <v>429</v>
      </c>
      <c r="F60" s="11">
        <v>0</v>
      </c>
      <c r="G60" s="13">
        <f t="shared" ca="1" si="10"/>
        <v>267668403.05546924</v>
      </c>
      <c r="H60" s="803">
        <f t="shared" si="11"/>
        <v>2.7083333333333334E-3</v>
      </c>
      <c r="I60" s="13">
        <f t="shared" ca="1" si="12"/>
        <v>743579.85</v>
      </c>
      <c r="J60" s="13">
        <f t="shared" ca="1" si="13"/>
        <v>7627738.2799999984</v>
      </c>
      <c r="K60" s="13">
        <f t="shared" ca="1" si="7"/>
        <v>275296141.33999997</v>
      </c>
      <c r="L60" s="4">
        <f t="shared" si="4"/>
        <v>217</v>
      </c>
    </row>
    <row r="61" spans="1:12">
      <c r="A61" s="4">
        <f t="shared" si="8"/>
        <v>218</v>
      </c>
      <c r="B61" t="s">
        <v>395</v>
      </c>
      <c r="C61" s="21">
        <f t="shared" si="14"/>
        <v>2022</v>
      </c>
      <c r="D61" s="21" t="s">
        <v>429</v>
      </c>
      <c r="E61" s="21" t="s">
        <v>429</v>
      </c>
      <c r="F61" s="11">
        <v>0</v>
      </c>
      <c r="G61" s="13">
        <f t="shared" ca="1" si="10"/>
        <v>267668403.05546924</v>
      </c>
      <c r="H61" s="803">
        <f t="shared" si="11"/>
        <v>2.7083333333333334E-3</v>
      </c>
      <c r="I61" s="13">
        <f t="shared" ca="1" si="12"/>
        <v>745593.72</v>
      </c>
      <c r="J61" s="13">
        <f t="shared" ca="1" si="13"/>
        <v>8373331.9999999981</v>
      </c>
      <c r="K61" s="13">
        <f t="shared" ca="1" si="7"/>
        <v>276041735.06</v>
      </c>
      <c r="L61" s="4">
        <f t="shared" si="4"/>
        <v>218</v>
      </c>
    </row>
    <row r="62" spans="1:12">
      <c r="A62" s="4">
        <f t="shared" si="8"/>
        <v>219</v>
      </c>
      <c r="B62" t="s">
        <v>434</v>
      </c>
      <c r="C62" s="21">
        <f t="shared" si="14"/>
        <v>2022</v>
      </c>
      <c r="D62" s="21" t="s">
        <v>429</v>
      </c>
      <c r="E62" s="21" t="s">
        <v>429</v>
      </c>
      <c r="F62" s="11">
        <v>0</v>
      </c>
      <c r="G62" s="13">
        <f t="shared" ca="1" si="10"/>
        <v>267668403.05546924</v>
      </c>
      <c r="H62" s="803">
        <f t="shared" si="11"/>
        <v>2.7083333333333334E-3</v>
      </c>
      <c r="I62" s="13">
        <f t="shared" ca="1" si="12"/>
        <v>747613.03</v>
      </c>
      <c r="J62" s="13">
        <f t="shared" ca="1" si="13"/>
        <v>9120945.0299999975</v>
      </c>
      <c r="K62" s="13">
        <f t="shared" ca="1" si="7"/>
        <v>276789348.08999997</v>
      </c>
      <c r="L62" s="4">
        <f t="shared" si="4"/>
        <v>219</v>
      </c>
    </row>
    <row r="63" spans="1:12">
      <c r="A63" s="4">
        <f t="shared" si="8"/>
        <v>220</v>
      </c>
      <c r="B63" t="s">
        <v>435</v>
      </c>
      <c r="C63" s="21">
        <f t="shared" si="14"/>
        <v>2022</v>
      </c>
      <c r="D63" s="21" t="s">
        <v>429</v>
      </c>
      <c r="E63" s="21" t="s">
        <v>429</v>
      </c>
      <c r="F63" s="11">
        <v>0</v>
      </c>
      <c r="G63" s="13">
        <f t="shared" ca="1" si="10"/>
        <v>267668403.05546924</v>
      </c>
      <c r="H63" s="803">
        <f>0.036/12</f>
        <v>2.9999999999999996E-3</v>
      </c>
      <c r="I63" s="13">
        <f t="shared" ca="1" si="12"/>
        <v>830368.04</v>
      </c>
      <c r="J63" s="13">
        <f t="shared" ca="1" si="13"/>
        <v>9951313.0699999966</v>
      </c>
      <c r="K63" s="13">
        <f t="shared" ca="1" si="7"/>
        <v>277619716.13</v>
      </c>
      <c r="L63" s="4">
        <f t="shared" si="4"/>
        <v>220</v>
      </c>
    </row>
    <row r="64" spans="1:12">
      <c r="A64" s="4">
        <f t="shared" si="8"/>
        <v>221</v>
      </c>
      <c r="B64" t="s">
        <v>436</v>
      </c>
      <c r="C64" s="21">
        <f t="shared" si="14"/>
        <v>2022</v>
      </c>
      <c r="D64" s="21" t="s">
        <v>429</v>
      </c>
      <c r="E64" s="21" t="s">
        <v>429</v>
      </c>
      <c r="F64" s="11">
        <v>0</v>
      </c>
      <c r="G64" s="13">
        <f t="shared" ca="1" si="10"/>
        <v>267668403.05546924</v>
      </c>
      <c r="H64" s="803">
        <f t="shared" ref="H64:H65" si="15">0.036/12</f>
        <v>2.9999999999999996E-3</v>
      </c>
      <c r="I64" s="13">
        <f t="shared" ca="1" si="12"/>
        <v>832859.15</v>
      </c>
      <c r="J64" s="13">
        <f t="shared" ca="1" si="13"/>
        <v>10784172.219999997</v>
      </c>
      <c r="K64" s="13">
        <f t="shared" ca="1" si="7"/>
        <v>278452575.27999997</v>
      </c>
      <c r="L64" s="4">
        <f t="shared" si="4"/>
        <v>221</v>
      </c>
    </row>
    <row r="65" spans="1:12">
      <c r="A65" s="4">
        <f t="shared" si="8"/>
        <v>222</v>
      </c>
      <c r="B65" t="s">
        <v>437</v>
      </c>
      <c r="C65" s="21">
        <f t="shared" si="14"/>
        <v>2022</v>
      </c>
      <c r="D65" s="21" t="s">
        <v>429</v>
      </c>
      <c r="E65" s="21" t="s">
        <v>429</v>
      </c>
      <c r="F65" s="11">
        <v>0</v>
      </c>
      <c r="G65" s="13">
        <f t="shared" ca="1" si="10"/>
        <v>267668403.05546924</v>
      </c>
      <c r="H65" s="803">
        <f t="shared" si="15"/>
        <v>2.9999999999999996E-3</v>
      </c>
      <c r="I65" s="13">
        <f t="shared" ca="1" si="12"/>
        <v>835357.73</v>
      </c>
      <c r="J65" s="13">
        <f t="shared" ca="1" si="13"/>
        <v>11619529.949999997</v>
      </c>
      <c r="K65" s="13">
        <f t="shared" ca="1" si="7"/>
        <v>279287933.00999999</v>
      </c>
      <c r="L65" s="4">
        <f t="shared" si="4"/>
        <v>222</v>
      </c>
    </row>
    <row r="66" spans="1:12">
      <c r="A66" s="4">
        <f t="shared" si="8"/>
        <v>223</v>
      </c>
      <c r="B66" t="s">
        <v>438</v>
      </c>
      <c r="C66" s="21">
        <f t="shared" si="14"/>
        <v>2022</v>
      </c>
      <c r="D66" s="21" t="s">
        <v>429</v>
      </c>
      <c r="E66" s="21" t="s">
        <v>429</v>
      </c>
      <c r="F66" s="11">
        <v>0</v>
      </c>
      <c r="G66" s="13">
        <f t="shared" ca="1" si="10"/>
        <v>267668403.05546924</v>
      </c>
      <c r="H66" s="803">
        <f>0.0491/12</f>
        <v>4.0916666666666662E-3</v>
      </c>
      <c r="I66" s="13">
        <f t="shared" ca="1" si="12"/>
        <v>1142753.1299999999</v>
      </c>
      <c r="J66" s="13">
        <f t="shared" ca="1" si="13"/>
        <v>12762283.079999998</v>
      </c>
      <c r="K66" s="13">
        <f t="shared" ca="1" si="7"/>
        <v>280430686.13999999</v>
      </c>
      <c r="L66" s="4">
        <f t="shared" si="4"/>
        <v>223</v>
      </c>
    </row>
    <row r="67" spans="1:12">
      <c r="A67" s="4">
        <f t="shared" si="8"/>
        <v>224</v>
      </c>
      <c r="B67" t="s">
        <v>439</v>
      </c>
      <c r="C67" s="21">
        <f t="shared" si="14"/>
        <v>2022</v>
      </c>
      <c r="D67" s="21" t="s">
        <v>429</v>
      </c>
      <c r="E67" s="21" t="s">
        <v>429</v>
      </c>
      <c r="F67" s="11">
        <v>0</v>
      </c>
      <c r="G67" s="13">
        <f t="shared" ca="1" si="10"/>
        <v>267668403.05546924</v>
      </c>
      <c r="H67" s="803">
        <f t="shared" ref="H67:H68" si="16">0.0491/12</f>
        <v>4.0916666666666662E-3</v>
      </c>
      <c r="I67" s="13">
        <f t="shared" ca="1" si="12"/>
        <v>1147428.8899999999</v>
      </c>
      <c r="J67" s="13">
        <f t="shared" ca="1" si="13"/>
        <v>13909711.969999999</v>
      </c>
      <c r="K67" s="13">
        <f t="shared" ca="1" si="7"/>
        <v>281578115.02999997</v>
      </c>
      <c r="L67" s="4">
        <f t="shared" si="4"/>
        <v>224</v>
      </c>
    </row>
    <row r="68" spans="1:12">
      <c r="A68" s="4">
        <f t="shared" si="8"/>
        <v>225</v>
      </c>
      <c r="B68" t="s">
        <v>428</v>
      </c>
      <c r="C68" s="21">
        <f t="shared" si="14"/>
        <v>2022</v>
      </c>
      <c r="D68" s="21" t="s">
        <v>429</v>
      </c>
      <c r="E68" s="21" t="s">
        <v>429</v>
      </c>
      <c r="F68" s="11">
        <v>0</v>
      </c>
      <c r="G68" s="13">
        <f t="shared" ca="1" si="10"/>
        <v>267668403.05546924</v>
      </c>
      <c r="H68" s="803">
        <f t="shared" si="16"/>
        <v>4.0916666666666662E-3</v>
      </c>
      <c r="I68" s="13">
        <f t="shared" ca="1" si="12"/>
        <v>1152123.79</v>
      </c>
      <c r="J68" s="13">
        <f t="shared" ca="1" si="13"/>
        <v>15061835.759999998</v>
      </c>
      <c r="K68" s="13">
        <f t="shared" ca="1" si="7"/>
        <v>282730238.81999999</v>
      </c>
      <c r="L68" s="4">
        <f t="shared" si="4"/>
        <v>225</v>
      </c>
    </row>
    <row r="69" spans="1:12">
      <c r="A69" s="4"/>
      <c r="D69" s="31"/>
      <c r="E69" s="11"/>
      <c r="G69" s="11"/>
      <c r="I69" s="11"/>
      <c r="J69" s="11"/>
      <c r="K69" s="11"/>
    </row>
    <row r="70" spans="1:12">
      <c r="A70" s="4"/>
      <c r="B70" s="50" t="s">
        <v>440</v>
      </c>
      <c r="C70" s="47"/>
      <c r="D70" s="47"/>
      <c r="E70" s="47"/>
      <c r="F70" s="47"/>
      <c r="G70" s="47"/>
      <c r="H70" s="47"/>
      <c r="I70" s="47"/>
      <c r="J70" s="47"/>
      <c r="K70" s="47"/>
    </row>
    <row r="71" spans="1:12">
      <c r="A71" s="4"/>
      <c r="B71" s="1" t="s">
        <v>441</v>
      </c>
    </row>
    <row r="72" spans="1:12">
      <c r="A72" s="4"/>
      <c r="B72" s="812"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12"/>
      <c r="D72" s="812"/>
      <c r="E72" s="812"/>
      <c r="F72" s="812"/>
      <c r="G72" s="812"/>
      <c r="H72" s="812"/>
      <c r="I72" s="812"/>
      <c r="J72" s="812"/>
      <c r="K72" s="812"/>
    </row>
    <row r="73" spans="1:12">
      <c r="A73" s="4"/>
      <c r="B73" s="812"/>
      <c r="C73" s="812"/>
      <c r="D73" s="812"/>
      <c r="E73" s="812"/>
      <c r="F73" s="812"/>
      <c r="G73" s="812"/>
      <c r="H73" s="812"/>
      <c r="I73" s="812"/>
      <c r="J73" s="812"/>
      <c r="K73" s="812"/>
    </row>
    <row r="74" spans="1:12">
      <c r="C74" s="3" t="s">
        <v>371</v>
      </c>
      <c r="D74" s="3" t="s">
        <v>372</v>
      </c>
      <c r="E74" s="3" t="s">
        <v>373</v>
      </c>
      <c r="F74" s="3" t="s">
        <v>374</v>
      </c>
      <c r="G74" s="3" t="s">
        <v>375</v>
      </c>
      <c r="H74" s="3" t="s">
        <v>376</v>
      </c>
      <c r="I74" s="3" t="s">
        <v>377</v>
      </c>
    </row>
    <row r="75" spans="1:12">
      <c r="C75" s="21"/>
      <c r="D75" s="21" t="s">
        <v>442</v>
      </c>
      <c r="E75" s="21"/>
      <c r="F75" s="21" t="str">
        <f>""&amp;D74&amp;" + "&amp;E74&amp;""</f>
        <v>Col 2 + Col 3</v>
      </c>
      <c r="G75" s="21" t="s">
        <v>443</v>
      </c>
      <c r="H75" s="21" t="s">
        <v>444</v>
      </c>
      <c r="I75" s="21" t="str">
        <f>""&amp;F74&amp;" + "&amp;G74&amp;""</f>
        <v>Col 4 + Col 5</v>
      </c>
    </row>
    <row r="76" spans="1:12">
      <c r="B76" s="4"/>
      <c r="C76" s="4"/>
      <c r="D76" s="4" t="s">
        <v>384</v>
      </c>
      <c r="E76" s="57"/>
      <c r="F76" s="4" t="s">
        <v>384</v>
      </c>
      <c r="G76" s="4"/>
      <c r="H76" s="4"/>
      <c r="I76" s="4"/>
    </row>
    <row r="77" spans="1:12">
      <c r="B77" s="4"/>
      <c r="C77" s="4"/>
      <c r="D77" s="4" t="s">
        <v>445</v>
      </c>
      <c r="E77" s="57"/>
      <c r="F77" s="4" t="s">
        <v>446</v>
      </c>
      <c r="G77" s="4" t="s">
        <v>447</v>
      </c>
      <c r="H77" s="4" t="s">
        <v>416</v>
      </c>
      <c r="I77" s="4" t="s">
        <v>384</v>
      </c>
    </row>
    <row r="78" spans="1:12">
      <c r="A78" s="3" t="s">
        <v>100</v>
      </c>
      <c r="B78" s="3" t="s">
        <v>384</v>
      </c>
      <c r="C78" s="3" t="s">
        <v>420</v>
      </c>
      <c r="D78" s="3" t="s">
        <v>448</v>
      </c>
      <c r="E78" s="3" t="s">
        <v>449</v>
      </c>
      <c r="F78" s="3" t="s">
        <v>424</v>
      </c>
      <c r="G78" s="3" t="s">
        <v>450</v>
      </c>
      <c r="H78" s="3" t="s">
        <v>425</v>
      </c>
      <c r="I78" s="3" t="s">
        <v>446</v>
      </c>
      <c r="L78" s="3" t="str">
        <f t="shared" ref="L78:L91" si="17">A78</f>
        <v>Line</v>
      </c>
    </row>
    <row r="79" spans="1:12">
      <c r="A79" s="4">
        <v>300</v>
      </c>
      <c r="B79" t="s">
        <v>430</v>
      </c>
      <c r="C79" s="21">
        <f>'1-BaseTRR'!$G$1</f>
        <v>2023</v>
      </c>
      <c r="D79" s="13">
        <f ca="1">K68</f>
        <v>282730238.81999999</v>
      </c>
      <c r="E79" s="13">
        <f t="shared" ref="E79:E90" si="18">$E$91/12</f>
        <v>-24142772.416666668</v>
      </c>
      <c r="F79" s="13">
        <f ca="1">D79+E79</f>
        <v>258587466.40333334</v>
      </c>
      <c r="G79" s="13">
        <f ca="1">ROUND(((D79+F79)/2)*H79,2)</f>
        <v>1107445.81</v>
      </c>
      <c r="H79" s="58">
        <f>$H$68</f>
        <v>4.0916666666666662E-3</v>
      </c>
      <c r="I79" s="13">
        <f ca="1">ROUND(G79+F79,2)</f>
        <v>259694912.21000001</v>
      </c>
      <c r="L79" s="4">
        <f t="shared" si="17"/>
        <v>300</v>
      </c>
    </row>
    <row r="80" spans="1:12">
      <c r="A80" s="4">
        <f>A79+1</f>
        <v>301</v>
      </c>
      <c r="B80" t="s">
        <v>431</v>
      </c>
      <c r="C80" s="21">
        <f>'1-BaseTRR'!$G$1</f>
        <v>2023</v>
      </c>
      <c r="D80" s="13">
        <f ca="1">I79</f>
        <v>259694912.21000001</v>
      </c>
      <c r="E80" s="13">
        <f t="shared" si="18"/>
        <v>-24142772.416666668</v>
      </c>
      <c r="F80" s="13">
        <f t="shared" ref="F80:F90" ca="1" si="19">D80+E80</f>
        <v>235552139.79333335</v>
      </c>
      <c r="G80" s="13">
        <f t="shared" ref="G80:G90" ca="1" si="20">ROUND(((D80+F80)/2)*H80,2)</f>
        <v>1013192.93</v>
      </c>
      <c r="H80" s="58">
        <f t="shared" ref="H80:H90" si="21">$H$68</f>
        <v>4.0916666666666662E-3</v>
      </c>
      <c r="I80" s="13">
        <f t="shared" ref="I80:I90" ca="1" si="22">ROUND(G80+F80,2)</f>
        <v>236565332.72</v>
      </c>
      <c r="L80" s="4">
        <f t="shared" si="17"/>
        <v>301</v>
      </c>
    </row>
    <row r="81" spans="1:12">
      <c r="A81" s="4">
        <f t="shared" ref="A81:A91" si="23">A80+1</f>
        <v>302</v>
      </c>
      <c r="B81" t="s">
        <v>432</v>
      </c>
      <c r="C81" s="21">
        <f>'1-BaseTRR'!$G$1</f>
        <v>2023</v>
      </c>
      <c r="D81" s="13">
        <f t="shared" ref="D81:D90" ca="1" si="24">I80</f>
        <v>236565332.72</v>
      </c>
      <c r="E81" s="13">
        <f t="shared" si="18"/>
        <v>-24142772.416666668</v>
      </c>
      <c r="F81" s="13">
        <f t="shared" ca="1" si="19"/>
        <v>212422560.30333334</v>
      </c>
      <c r="G81" s="13">
        <f t="shared" ca="1" si="20"/>
        <v>918554.4</v>
      </c>
      <c r="H81" s="58">
        <f t="shared" si="21"/>
        <v>4.0916666666666662E-3</v>
      </c>
      <c r="I81" s="13">
        <f t="shared" ca="1" si="22"/>
        <v>213341114.69999999</v>
      </c>
      <c r="L81" s="4">
        <f t="shared" si="17"/>
        <v>302</v>
      </c>
    </row>
    <row r="82" spans="1:12">
      <c r="A82" s="4">
        <f t="shared" si="23"/>
        <v>303</v>
      </c>
      <c r="B82" t="s">
        <v>433</v>
      </c>
      <c r="C82" s="21">
        <f>'1-BaseTRR'!$G$1</f>
        <v>2023</v>
      </c>
      <c r="D82" s="13">
        <f t="shared" ca="1" si="24"/>
        <v>213341114.69999999</v>
      </c>
      <c r="E82" s="13">
        <f t="shared" si="18"/>
        <v>-24142772.416666668</v>
      </c>
      <c r="F82" s="13">
        <f t="shared" ca="1" si="19"/>
        <v>189198342.28333333</v>
      </c>
      <c r="G82" s="13">
        <f t="shared" ca="1" si="20"/>
        <v>823528.64</v>
      </c>
      <c r="H82" s="58">
        <f t="shared" si="21"/>
        <v>4.0916666666666662E-3</v>
      </c>
      <c r="I82" s="13">
        <f t="shared" ca="1" si="22"/>
        <v>190021870.91999999</v>
      </c>
      <c r="L82" s="4">
        <f t="shared" si="17"/>
        <v>303</v>
      </c>
    </row>
    <row r="83" spans="1:12">
      <c r="A83" s="4">
        <f t="shared" si="23"/>
        <v>304</v>
      </c>
      <c r="B83" t="s">
        <v>395</v>
      </c>
      <c r="C83" s="21">
        <f>'1-BaseTRR'!$G$1</f>
        <v>2023</v>
      </c>
      <c r="D83" s="13">
        <f t="shared" ca="1" si="24"/>
        <v>190021870.91999999</v>
      </c>
      <c r="E83" s="13">
        <f t="shared" si="18"/>
        <v>-24142772.416666668</v>
      </c>
      <c r="F83" s="13">
        <f t="shared" ca="1" si="19"/>
        <v>165879098.50333333</v>
      </c>
      <c r="G83" s="13">
        <f t="shared" ca="1" si="20"/>
        <v>728114.07</v>
      </c>
      <c r="H83" s="58">
        <f t="shared" si="21"/>
        <v>4.0916666666666662E-3</v>
      </c>
      <c r="I83" s="13">
        <f t="shared" ca="1" si="22"/>
        <v>166607212.56999999</v>
      </c>
      <c r="L83" s="4">
        <f t="shared" si="17"/>
        <v>304</v>
      </c>
    </row>
    <row r="84" spans="1:12">
      <c r="A84" s="4">
        <f t="shared" si="23"/>
        <v>305</v>
      </c>
      <c r="B84" t="s">
        <v>434</v>
      </c>
      <c r="C84" s="21">
        <f>'1-BaseTRR'!$G$1</f>
        <v>2023</v>
      </c>
      <c r="D84" s="13">
        <f t="shared" ca="1" si="24"/>
        <v>166607212.56999999</v>
      </c>
      <c r="E84" s="13">
        <f t="shared" si="18"/>
        <v>-24142772.416666668</v>
      </c>
      <c r="F84" s="13">
        <f t="shared" ca="1" si="19"/>
        <v>142464440.15333334</v>
      </c>
      <c r="G84" s="13">
        <f t="shared" ca="1" si="20"/>
        <v>632309.09</v>
      </c>
      <c r="H84" s="58">
        <f t="shared" si="21"/>
        <v>4.0916666666666662E-3</v>
      </c>
      <c r="I84" s="13">
        <f t="shared" ca="1" si="22"/>
        <v>143096749.24000001</v>
      </c>
      <c r="L84" s="4">
        <f t="shared" si="17"/>
        <v>305</v>
      </c>
    </row>
    <row r="85" spans="1:12">
      <c r="A85" s="4">
        <f t="shared" si="23"/>
        <v>306</v>
      </c>
      <c r="B85" t="s">
        <v>435</v>
      </c>
      <c r="C85" s="21">
        <f>'1-BaseTRR'!$G$1</f>
        <v>2023</v>
      </c>
      <c r="D85" s="13">
        <f t="shared" ca="1" si="24"/>
        <v>143096749.24000001</v>
      </c>
      <c r="E85" s="13">
        <f t="shared" si="18"/>
        <v>-24142772.416666668</v>
      </c>
      <c r="F85" s="13">
        <f t="shared" ca="1" si="19"/>
        <v>118953976.82333334</v>
      </c>
      <c r="G85" s="13">
        <f t="shared" ca="1" si="20"/>
        <v>536112.11</v>
      </c>
      <c r="H85" s="58">
        <f t="shared" si="21"/>
        <v>4.0916666666666662E-3</v>
      </c>
      <c r="I85" s="13">
        <f t="shared" ca="1" si="22"/>
        <v>119490088.93000001</v>
      </c>
      <c r="L85" s="4">
        <f t="shared" si="17"/>
        <v>306</v>
      </c>
    </row>
    <row r="86" spans="1:12">
      <c r="A86" s="4">
        <f t="shared" si="23"/>
        <v>307</v>
      </c>
      <c r="B86" t="s">
        <v>436</v>
      </c>
      <c r="C86" s="21">
        <f>'1-BaseTRR'!$G$1</f>
        <v>2023</v>
      </c>
      <c r="D86" s="13">
        <f t="shared" ca="1" si="24"/>
        <v>119490088.93000001</v>
      </c>
      <c r="E86" s="13">
        <f t="shared" si="18"/>
        <v>-24142772.416666668</v>
      </c>
      <c r="F86" s="13">
        <f t="shared" ca="1" si="19"/>
        <v>95347316.513333336</v>
      </c>
      <c r="G86" s="13">
        <f t="shared" ca="1" si="20"/>
        <v>439521.53</v>
      </c>
      <c r="H86" s="58">
        <f t="shared" si="21"/>
        <v>4.0916666666666662E-3</v>
      </c>
      <c r="I86" s="13">
        <f t="shared" ca="1" si="22"/>
        <v>95786838.040000007</v>
      </c>
      <c r="L86" s="4">
        <f t="shared" si="17"/>
        <v>307</v>
      </c>
    </row>
    <row r="87" spans="1:12">
      <c r="A87" s="4">
        <f t="shared" si="23"/>
        <v>308</v>
      </c>
      <c r="B87" t="s">
        <v>437</v>
      </c>
      <c r="C87" s="21">
        <f>'1-BaseTRR'!$G$1</f>
        <v>2023</v>
      </c>
      <c r="D87" s="13">
        <f t="shared" ca="1" si="24"/>
        <v>95786838.040000007</v>
      </c>
      <c r="E87" s="13">
        <f t="shared" si="18"/>
        <v>-24142772.416666668</v>
      </c>
      <c r="F87" s="13">
        <f t="shared" ca="1" si="19"/>
        <v>71644065.623333335</v>
      </c>
      <c r="G87" s="13">
        <f t="shared" ca="1" si="20"/>
        <v>342535.72</v>
      </c>
      <c r="H87" s="58">
        <f t="shared" si="21"/>
        <v>4.0916666666666662E-3</v>
      </c>
      <c r="I87" s="13">
        <f t="shared" ca="1" si="22"/>
        <v>71986601.340000004</v>
      </c>
      <c r="L87" s="4">
        <f t="shared" si="17"/>
        <v>308</v>
      </c>
    </row>
    <row r="88" spans="1:12">
      <c r="A88" s="4">
        <f t="shared" si="23"/>
        <v>309</v>
      </c>
      <c r="B88" t="s">
        <v>438</v>
      </c>
      <c r="C88" s="21">
        <f>'1-BaseTRR'!$G$1</f>
        <v>2023</v>
      </c>
      <c r="D88" s="13">
        <f t="shared" ca="1" si="24"/>
        <v>71986601.340000004</v>
      </c>
      <c r="E88" s="13">
        <f t="shared" si="18"/>
        <v>-24142772.416666668</v>
      </c>
      <c r="F88" s="13">
        <f t="shared" ca="1" si="19"/>
        <v>47843828.923333332</v>
      </c>
      <c r="G88" s="13">
        <f t="shared" ca="1" si="20"/>
        <v>245153.09</v>
      </c>
      <c r="H88" s="58">
        <f t="shared" si="21"/>
        <v>4.0916666666666662E-3</v>
      </c>
      <c r="I88" s="13">
        <f t="shared" ca="1" si="22"/>
        <v>48088982.009999998</v>
      </c>
      <c r="L88" s="4">
        <f t="shared" si="17"/>
        <v>309</v>
      </c>
    </row>
    <row r="89" spans="1:12">
      <c r="A89" s="4">
        <f t="shared" si="23"/>
        <v>310</v>
      </c>
      <c r="B89" t="s">
        <v>439</v>
      </c>
      <c r="C89" s="21">
        <f>'1-BaseTRR'!$G$1</f>
        <v>2023</v>
      </c>
      <c r="D89" s="13">
        <f t="shared" ca="1" si="24"/>
        <v>48088982.009999998</v>
      </c>
      <c r="E89" s="13">
        <f t="shared" si="18"/>
        <v>-24142772.416666668</v>
      </c>
      <c r="F89" s="13">
        <f t="shared" ca="1" si="19"/>
        <v>23946209.59333333</v>
      </c>
      <c r="G89" s="13">
        <f t="shared" ca="1" si="20"/>
        <v>147372</v>
      </c>
      <c r="H89" s="58">
        <f t="shared" si="21"/>
        <v>4.0916666666666662E-3</v>
      </c>
      <c r="I89" s="13">
        <f t="shared" ca="1" si="22"/>
        <v>24093581.59</v>
      </c>
      <c r="L89" s="4">
        <f t="shared" si="17"/>
        <v>310</v>
      </c>
    </row>
    <row r="90" spans="1:12">
      <c r="A90" s="4">
        <f t="shared" si="23"/>
        <v>311</v>
      </c>
      <c r="B90" t="s">
        <v>428</v>
      </c>
      <c r="C90" s="21">
        <f>'1-BaseTRR'!$G$1</f>
        <v>2023</v>
      </c>
      <c r="D90" s="13">
        <f t="shared" ca="1" si="24"/>
        <v>24093581.59</v>
      </c>
      <c r="E90" s="13">
        <f t="shared" si="18"/>
        <v>-24142772.416666668</v>
      </c>
      <c r="F90" s="13">
        <f t="shared" ca="1" si="19"/>
        <v>-49190.826666668057</v>
      </c>
      <c r="G90" s="13">
        <f t="shared" ca="1" si="20"/>
        <v>49190.82</v>
      </c>
      <c r="H90" s="58">
        <f t="shared" si="21"/>
        <v>4.0916666666666662E-3</v>
      </c>
      <c r="I90" s="13">
        <f t="shared" ca="1" si="22"/>
        <v>-0.01</v>
      </c>
      <c r="L90" s="4">
        <f t="shared" si="17"/>
        <v>311</v>
      </c>
    </row>
    <row r="91" spans="1:12">
      <c r="A91" s="4">
        <f t="shared" si="23"/>
        <v>312</v>
      </c>
      <c r="D91" s="6" t="s">
        <v>451</v>
      </c>
      <c r="E91" s="669">
        <v>-289713269</v>
      </c>
      <c r="G91" s="28"/>
      <c r="H91" s="59"/>
      <c r="L91" s="4">
        <f t="shared" si="17"/>
        <v>312</v>
      </c>
    </row>
    <row r="93" spans="1:12">
      <c r="B93" s="50" t="s">
        <v>452</v>
      </c>
      <c r="C93" s="47"/>
      <c r="D93" s="47"/>
      <c r="E93" s="47"/>
      <c r="F93" s="47"/>
      <c r="G93" s="47"/>
      <c r="H93" s="47"/>
      <c r="I93" s="47"/>
      <c r="J93" s="47"/>
      <c r="K93" s="47"/>
    </row>
    <row r="94" spans="1:12">
      <c r="A94" s="3" t="s">
        <v>100</v>
      </c>
      <c r="B94" s="3" t="s">
        <v>453</v>
      </c>
      <c r="C94" s="3" t="s">
        <v>135</v>
      </c>
      <c r="L94" s="3" t="str">
        <f>A94</f>
        <v>Line</v>
      </c>
    </row>
    <row r="95" spans="1:12">
      <c r="A95" s="4">
        <v>400</v>
      </c>
      <c r="B95" s="13">
        <f>-E91</f>
        <v>289713269</v>
      </c>
      <c r="C95" t="str">
        <f>"Negative Line "&amp;A91&amp;", "&amp;E74&amp;""</f>
        <v>Negative Line 312, Col 3</v>
      </c>
      <c r="L95" s="4">
        <f t="shared" ref="L95" si="25">A95</f>
        <v>400</v>
      </c>
    </row>
    <row r="97" spans="1:12">
      <c r="A97" s="4"/>
      <c r="B97" s="50" t="s">
        <v>454</v>
      </c>
      <c r="C97" s="47"/>
      <c r="D97" s="51"/>
      <c r="E97" s="52"/>
      <c r="F97" s="47"/>
      <c r="G97" s="52"/>
      <c r="H97" s="47"/>
      <c r="I97" s="52"/>
      <c r="J97" s="52"/>
      <c r="K97" s="52"/>
    </row>
    <row r="98" spans="1:12">
      <c r="A98" s="4"/>
      <c r="B98" s="1" t="s">
        <v>441</v>
      </c>
      <c r="D98" s="31"/>
      <c r="E98" s="11"/>
      <c r="G98" s="11"/>
      <c r="I98" s="11"/>
      <c r="J98" s="11"/>
      <c r="K98" s="11"/>
    </row>
    <row r="99" spans="1:12">
      <c r="A99" s="4"/>
      <c r="B99" s="813" t="str">
        <f>"1) On Line "&amp;$A$102&amp;", Input 'No' for a Full Year True-up, otherwise Input 'Yes' for a Partial Year True-up"</f>
        <v>1) On Line 500, Input 'No' for a Full Year True-up, otherwise Input 'Yes' for a Partial Year True-up</v>
      </c>
      <c r="C99" s="813"/>
      <c r="D99" s="813"/>
      <c r="E99" s="813"/>
      <c r="F99" s="813"/>
      <c r="G99" s="813"/>
      <c r="H99" s="813"/>
      <c r="I99" s="813"/>
      <c r="J99" s="813"/>
      <c r="K99" s="813"/>
    </row>
    <row r="100" spans="1:12">
      <c r="A100" s="4"/>
      <c r="B100" s="813"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13"/>
      <c r="D100" s="813"/>
      <c r="E100" s="813"/>
      <c r="F100" s="813"/>
      <c r="G100" s="813"/>
      <c r="H100" s="813"/>
      <c r="I100" s="813"/>
      <c r="J100" s="813"/>
      <c r="K100" s="813"/>
    </row>
    <row r="101" spans="1:12">
      <c r="A101" s="3" t="s">
        <v>100</v>
      </c>
      <c r="D101" s="31"/>
      <c r="E101" s="11"/>
      <c r="G101" s="11"/>
      <c r="I101" s="11"/>
      <c r="J101" s="11"/>
      <c r="K101" s="11"/>
      <c r="L101" s="3" t="str">
        <f>A101</f>
        <v>Line</v>
      </c>
    </row>
    <row r="102" spans="1:12">
      <c r="A102" s="4">
        <v>500</v>
      </c>
      <c r="B102" s="5" t="s">
        <v>455</v>
      </c>
      <c r="D102" s="48" t="s">
        <v>456</v>
      </c>
      <c r="L102" s="4">
        <f>A102</f>
        <v>500</v>
      </c>
    </row>
    <row r="103" spans="1:12">
      <c r="A103" s="4"/>
      <c r="D103" s="31"/>
      <c r="E103" s="11"/>
      <c r="G103" s="11"/>
      <c r="I103" s="11"/>
      <c r="J103" s="11"/>
      <c r="K103" s="11"/>
    </row>
    <row r="104" spans="1:12">
      <c r="A104" s="4"/>
      <c r="C104" s="4" t="s">
        <v>371</v>
      </c>
      <c r="D104" s="4" t="s">
        <v>372</v>
      </c>
      <c r="E104" s="4" t="s">
        <v>373</v>
      </c>
      <c r="F104" s="4" t="s">
        <v>374</v>
      </c>
      <c r="I104" s="11"/>
      <c r="J104" s="11"/>
      <c r="K104" s="11"/>
    </row>
    <row r="105" spans="1:12">
      <c r="A105" s="4"/>
      <c r="C105" s="4"/>
      <c r="D105" s="21" t="s">
        <v>457</v>
      </c>
      <c r="E105" s="21" t="s">
        <v>458</v>
      </c>
      <c r="F105" s="21"/>
      <c r="I105" s="11"/>
      <c r="J105" s="11"/>
      <c r="K105" s="11"/>
    </row>
    <row r="106" spans="1:12">
      <c r="A106" s="4"/>
      <c r="B106" s="2"/>
      <c r="C106" s="4"/>
      <c r="D106" s="53" t="s">
        <v>421</v>
      </c>
      <c r="E106" s="4" t="s">
        <v>459</v>
      </c>
      <c r="F106" s="57" t="s">
        <v>460</v>
      </c>
      <c r="I106" s="11"/>
      <c r="J106" s="11"/>
      <c r="K106" s="11"/>
    </row>
    <row r="107" spans="1:12">
      <c r="B107" s="3" t="s">
        <v>384</v>
      </c>
      <c r="C107" s="3" t="s">
        <v>461</v>
      </c>
      <c r="D107" s="3" t="s">
        <v>462</v>
      </c>
      <c r="E107" s="315" t="s">
        <v>463</v>
      </c>
      <c r="F107" s="54" t="s">
        <v>464</v>
      </c>
      <c r="H107" s="11"/>
      <c r="J107" s="11"/>
      <c r="K107" s="11"/>
    </row>
    <row r="108" spans="1:12">
      <c r="A108" s="4">
        <f>A102+1</f>
        <v>501</v>
      </c>
      <c r="B108" t="s">
        <v>430</v>
      </c>
      <c r="C108" s="21">
        <f t="shared" ref="C108:C119" si="26">C45</f>
        <v>2021</v>
      </c>
      <c r="D108" s="513">
        <f t="shared" ref="D108:D119" si="27">E108/$E$120</f>
        <v>7.6573388729432715E-2</v>
      </c>
      <c r="E108" s="567">
        <v>6822193.32992878</v>
      </c>
      <c r="F108" s="55"/>
      <c r="H108" s="11"/>
      <c r="J108" s="11"/>
      <c r="K108" s="11"/>
      <c r="L108" s="4">
        <f t="shared" ref="L108:L119" si="28">A108</f>
        <v>501</v>
      </c>
    </row>
    <row r="109" spans="1:12">
      <c r="A109" s="4">
        <f>A108+1</f>
        <v>502</v>
      </c>
      <c r="B109" t="s">
        <v>431</v>
      </c>
      <c r="C109" s="21">
        <f t="shared" si="26"/>
        <v>2021</v>
      </c>
      <c r="D109" s="513">
        <f t="shared" si="27"/>
        <v>6.760913995561621E-2</v>
      </c>
      <c r="E109" s="567">
        <v>6023536.7834796803</v>
      </c>
      <c r="F109" s="55"/>
      <c r="H109" s="11"/>
      <c r="J109" s="11"/>
      <c r="K109" s="11"/>
      <c r="L109" s="4">
        <f t="shared" si="28"/>
        <v>502</v>
      </c>
    </row>
    <row r="110" spans="1:12">
      <c r="A110" s="4">
        <f t="shared" ref="A110:A120" si="29">A109+1</f>
        <v>503</v>
      </c>
      <c r="B110" t="s">
        <v>432</v>
      </c>
      <c r="C110" s="21">
        <f t="shared" si="26"/>
        <v>2021</v>
      </c>
      <c r="D110" s="513">
        <f t="shared" si="27"/>
        <v>7.6027314995811224E-2</v>
      </c>
      <c r="E110" s="567">
        <v>6773541.6946155597</v>
      </c>
      <c r="F110" s="55"/>
      <c r="H110" s="11"/>
      <c r="J110" s="11"/>
      <c r="K110" s="11"/>
      <c r="L110" s="4">
        <f t="shared" si="28"/>
        <v>503</v>
      </c>
    </row>
    <row r="111" spans="1:12">
      <c r="A111" s="4">
        <f t="shared" si="29"/>
        <v>504</v>
      </c>
      <c r="B111" t="s">
        <v>433</v>
      </c>
      <c r="C111" s="21">
        <f t="shared" si="26"/>
        <v>2021</v>
      </c>
      <c r="D111" s="513">
        <f t="shared" si="27"/>
        <v>7.4860246708207581E-2</v>
      </c>
      <c r="E111" s="567">
        <v>6669563.4638049304</v>
      </c>
      <c r="F111" s="55"/>
      <c r="H111" s="11"/>
      <c r="J111" s="11"/>
      <c r="K111" s="11"/>
      <c r="L111" s="4">
        <f t="shared" si="28"/>
        <v>504</v>
      </c>
    </row>
    <row r="112" spans="1:12">
      <c r="A112" s="4">
        <f t="shared" si="29"/>
        <v>505</v>
      </c>
      <c r="B112" t="s">
        <v>395</v>
      </c>
      <c r="C112" s="21">
        <f t="shared" si="26"/>
        <v>2021</v>
      </c>
      <c r="D112" s="513">
        <f t="shared" si="27"/>
        <v>8.4538204298597985E-2</v>
      </c>
      <c r="E112" s="567">
        <v>7531806.8464739397</v>
      </c>
      <c r="F112" s="55"/>
      <c r="H112" s="11"/>
      <c r="J112" s="11"/>
      <c r="K112" s="11"/>
      <c r="L112" s="4">
        <f t="shared" si="28"/>
        <v>505</v>
      </c>
    </row>
    <row r="113" spans="1:12">
      <c r="A113" s="4">
        <f t="shared" si="29"/>
        <v>506</v>
      </c>
      <c r="B113" t="s">
        <v>434</v>
      </c>
      <c r="C113" s="21">
        <f t="shared" si="26"/>
        <v>2021</v>
      </c>
      <c r="D113" s="513">
        <f t="shared" si="27"/>
        <v>9.4809075163439976E-2</v>
      </c>
      <c r="E113" s="567">
        <v>8446874.9643846191</v>
      </c>
      <c r="F113" s="55"/>
      <c r="H113" s="11"/>
      <c r="J113" s="11"/>
      <c r="K113" s="11"/>
      <c r="L113" s="4">
        <f t="shared" si="28"/>
        <v>506</v>
      </c>
    </row>
    <row r="114" spans="1:12">
      <c r="A114" s="4">
        <f t="shared" si="29"/>
        <v>507</v>
      </c>
      <c r="B114" t="s">
        <v>435</v>
      </c>
      <c r="C114" s="21">
        <f t="shared" si="26"/>
        <v>2021</v>
      </c>
      <c r="D114" s="513">
        <f t="shared" si="27"/>
        <v>0.10438912310663749</v>
      </c>
      <c r="E114" s="567">
        <v>9300395.2311892491</v>
      </c>
      <c r="F114" s="55"/>
      <c r="H114" s="11"/>
      <c r="J114" s="11"/>
      <c r="K114" s="11"/>
      <c r="L114" s="4">
        <f t="shared" si="28"/>
        <v>507</v>
      </c>
    </row>
    <row r="115" spans="1:12">
      <c r="A115" s="4">
        <f t="shared" si="29"/>
        <v>508</v>
      </c>
      <c r="B115" t="s">
        <v>436</v>
      </c>
      <c r="C115" s="21">
        <f t="shared" si="26"/>
        <v>2021</v>
      </c>
      <c r="D115" s="513">
        <f t="shared" si="27"/>
        <v>9.9697964585816728E-2</v>
      </c>
      <c r="E115" s="567">
        <v>8882443.3695644997</v>
      </c>
      <c r="F115" s="55"/>
      <c r="H115" s="11"/>
      <c r="J115" s="11"/>
      <c r="K115" s="11"/>
      <c r="L115" s="4">
        <f t="shared" si="28"/>
        <v>508</v>
      </c>
    </row>
    <row r="116" spans="1:12">
      <c r="A116" s="4">
        <f t="shared" si="29"/>
        <v>509</v>
      </c>
      <c r="B116" t="s">
        <v>437</v>
      </c>
      <c r="C116" s="21">
        <f t="shared" si="26"/>
        <v>2021</v>
      </c>
      <c r="D116" s="513">
        <f t="shared" si="27"/>
        <v>8.990476428275046E-2</v>
      </c>
      <c r="E116" s="567">
        <v>8009932.6070813602</v>
      </c>
      <c r="F116" s="55"/>
      <c r="H116" s="11"/>
      <c r="J116" s="11"/>
      <c r="K116" s="11"/>
      <c r="L116" s="4">
        <f t="shared" si="28"/>
        <v>509</v>
      </c>
    </row>
    <row r="117" spans="1:12">
      <c r="A117" s="4">
        <f t="shared" si="29"/>
        <v>510</v>
      </c>
      <c r="B117" t="s">
        <v>438</v>
      </c>
      <c r="C117" s="21">
        <f t="shared" si="26"/>
        <v>2021</v>
      </c>
      <c r="D117" s="513">
        <f t="shared" si="27"/>
        <v>7.8312697723224065E-2</v>
      </c>
      <c r="E117" s="567">
        <v>6977154.5039478103</v>
      </c>
      <c r="F117" s="55"/>
      <c r="L117" s="4">
        <f t="shared" si="28"/>
        <v>510</v>
      </c>
    </row>
    <row r="118" spans="1:12">
      <c r="A118" s="4">
        <f t="shared" si="29"/>
        <v>511</v>
      </c>
      <c r="B118" t="s">
        <v>439</v>
      </c>
      <c r="C118" s="21">
        <f t="shared" si="26"/>
        <v>2021</v>
      </c>
      <c r="D118" s="513">
        <f t="shared" si="27"/>
        <v>7.2534493844453651E-2</v>
      </c>
      <c r="E118" s="567">
        <v>6462353.9366122801</v>
      </c>
      <c r="F118" s="55"/>
      <c r="L118" s="4">
        <f t="shared" si="28"/>
        <v>511</v>
      </c>
    </row>
    <row r="119" spans="1:12">
      <c r="A119" s="4">
        <f t="shared" si="29"/>
        <v>512</v>
      </c>
      <c r="B119" t="s">
        <v>428</v>
      </c>
      <c r="C119" s="21">
        <f t="shared" si="26"/>
        <v>2021</v>
      </c>
      <c r="D119" s="566">
        <f t="shared" si="27"/>
        <v>8.0743586606011941E-2</v>
      </c>
      <c r="E119" s="568">
        <v>7193730.9699646402</v>
      </c>
      <c r="F119" s="55"/>
      <c r="L119" s="4">
        <f t="shared" si="28"/>
        <v>512</v>
      </c>
    </row>
    <row r="120" spans="1:12">
      <c r="A120" s="4">
        <f t="shared" si="29"/>
        <v>513</v>
      </c>
      <c r="B120" s="6" t="s">
        <v>465</v>
      </c>
      <c r="D120" s="577">
        <f>SUM(D108:D119)</f>
        <v>1</v>
      </c>
      <c r="E120" s="241">
        <f>SUM(E108:E119)</f>
        <v>89093527.701047346</v>
      </c>
      <c r="L120" s="4">
        <f t="shared" ref="L120" si="30">A120</f>
        <v>513</v>
      </c>
    </row>
    <row r="122" spans="1:12">
      <c r="B122" s="50" t="s">
        <v>466</v>
      </c>
      <c r="C122" s="47"/>
      <c r="D122" s="47"/>
      <c r="E122" s="47"/>
      <c r="F122" s="47"/>
      <c r="G122" s="47"/>
      <c r="H122" s="47"/>
      <c r="I122" s="47"/>
      <c r="J122" s="47"/>
      <c r="K122" s="47"/>
    </row>
    <row r="123" spans="1:12">
      <c r="B123" s="1" t="s">
        <v>441</v>
      </c>
    </row>
    <row r="124" spans="1:12">
      <c r="B124" s="816" t="s">
        <v>467</v>
      </c>
      <c r="C124" s="816"/>
      <c r="D124" s="816"/>
      <c r="E124" s="816"/>
      <c r="F124" s="816"/>
      <c r="G124" s="816"/>
      <c r="H124" s="816"/>
      <c r="I124" s="816"/>
      <c r="J124" s="816"/>
      <c r="K124" s="816"/>
    </row>
    <row r="125" spans="1:12">
      <c r="B125" s="816"/>
      <c r="C125" s="816"/>
      <c r="D125" s="816"/>
      <c r="E125" s="816"/>
      <c r="F125" s="816"/>
      <c r="G125" s="816"/>
      <c r="H125" s="816"/>
      <c r="I125" s="816"/>
      <c r="J125" s="816"/>
      <c r="K125" s="816"/>
    </row>
    <row r="126" spans="1:12">
      <c r="B126" s="817" t="s">
        <v>468</v>
      </c>
      <c r="C126" s="817"/>
      <c r="D126" s="817"/>
      <c r="E126" s="817"/>
      <c r="F126" s="817"/>
      <c r="G126" s="817"/>
      <c r="H126" s="817"/>
      <c r="I126" s="817"/>
      <c r="J126" s="817"/>
      <c r="K126" s="817"/>
    </row>
    <row r="129" spans="2:11">
      <c r="B129" s="7" t="s">
        <v>306</v>
      </c>
    </row>
    <row r="130" spans="2:11">
      <c r="B130" s="812" t="s">
        <v>469</v>
      </c>
      <c r="C130" s="812"/>
      <c r="D130" s="812"/>
      <c r="E130" s="812"/>
      <c r="F130" s="812"/>
      <c r="G130" s="812"/>
      <c r="H130" s="812"/>
      <c r="I130" s="812"/>
      <c r="J130" s="812"/>
      <c r="K130" s="812"/>
    </row>
    <row r="131" spans="2:11">
      <c r="B131" s="812"/>
      <c r="C131" s="812"/>
      <c r="D131" s="812"/>
      <c r="E131" s="812"/>
      <c r="F131" s="812"/>
      <c r="G131" s="812"/>
      <c r="H131" s="812"/>
      <c r="I131" s="812"/>
      <c r="J131" s="812"/>
      <c r="K131" s="812"/>
    </row>
    <row r="132" spans="2:11">
      <c r="B132" s="812" t="s">
        <v>470</v>
      </c>
      <c r="C132" s="812"/>
      <c r="D132" s="812"/>
      <c r="E132" s="812"/>
      <c r="F132" s="812"/>
      <c r="G132" s="812"/>
      <c r="H132" s="812"/>
      <c r="I132" s="812"/>
      <c r="J132" s="812"/>
      <c r="K132" s="812"/>
    </row>
    <row r="133" spans="2:11">
      <c r="B133" s="812"/>
      <c r="C133" s="812"/>
      <c r="D133" s="812"/>
      <c r="E133" s="812"/>
      <c r="F133" s="812"/>
      <c r="G133" s="812"/>
      <c r="H133" s="812"/>
      <c r="I133" s="812"/>
      <c r="J133" s="812"/>
      <c r="K133" s="812"/>
    </row>
    <row r="134" spans="2:11" ht="15" customHeight="1">
      <c r="B134" s="812"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4" s="812"/>
      <c r="D134" s="812"/>
      <c r="E134" s="812"/>
      <c r="F134" s="812"/>
      <c r="G134" s="812"/>
      <c r="H134" s="812"/>
      <c r="I134" s="812"/>
      <c r="J134" s="812"/>
      <c r="K134" s="812"/>
    </row>
    <row r="135" spans="2:11" ht="15" customHeight="1">
      <c r="B135" s="812"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5" s="812"/>
      <c r="D135" s="812"/>
      <c r="E135" s="812"/>
      <c r="F135" s="812"/>
      <c r="G135" s="812"/>
      <c r="H135" s="812"/>
      <c r="I135" s="812"/>
      <c r="J135" s="812"/>
      <c r="K135" s="812"/>
    </row>
    <row r="136" spans="2:11">
      <c r="B136" s="812"/>
      <c r="C136" s="812"/>
      <c r="D136" s="812"/>
      <c r="E136" s="812"/>
      <c r="F136" s="812"/>
      <c r="G136" s="812"/>
      <c r="H136" s="812"/>
      <c r="I136" s="812"/>
      <c r="J136" s="812"/>
      <c r="K136" s="812"/>
    </row>
    <row r="137" spans="2:11">
      <c r="B137" s="813" t="s">
        <v>471</v>
      </c>
      <c r="C137" s="813"/>
      <c r="D137" s="813"/>
      <c r="E137" s="813"/>
      <c r="F137" s="813"/>
      <c r="G137" s="813"/>
      <c r="H137" s="813"/>
      <c r="I137" s="813"/>
      <c r="J137" s="813"/>
      <c r="K137" s="813"/>
    </row>
    <row r="138" spans="2:11">
      <c r="B138" s="813" t="s">
        <v>472</v>
      </c>
      <c r="C138" s="813"/>
      <c r="D138" s="813"/>
      <c r="E138" s="813"/>
      <c r="F138" s="813"/>
      <c r="G138" s="813"/>
      <c r="H138" s="813"/>
      <c r="I138" s="813"/>
      <c r="J138" s="813"/>
      <c r="K138" s="813"/>
    </row>
    <row r="139" spans="2:11">
      <c r="B139" s="812" t="s">
        <v>473</v>
      </c>
      <c r="C139" s="812"/>
      <c r="D139" s="812"/>
      <c r="E139" s="812"/>
      <c r="F139" s="812"/>
      <c r="G139" s="812"/>
      <c r="H139" s="812"/>
      <c r="I139" s="812"/>
      <c r="J139" s="812"/>
      <c r="K139" s="812"/>
    </row>
    <row r="140" spans="2:11">
      <c r="B140" s="812"/>
      <c r="C140" s="812"/>
      <c r="D140" s="812"/>
      <c r="E140" s="812"/>
      <c r="F140" s="812"/>
      <c r="G140" s="812"/>
      <c r="H140" s="812"/>
      <c r="I140" s="812"/>
      <c r="J140" s="812"/>
      <c r="K140" s="812"/>
    </row>
    <row r="141" spans="2:11">
      <c r="B141" s="813" t="s">
        <v>474</v>
      </c>
      <c r="C141" s="813"/>
      <c r="D141" s="813"/>
      <c r="E141" s="813"/>
      <c r="F141" s="813"/>
      <c r="G141" s="813"/>
      <c r="H141" s="813"/>
      <c r="I141" s="813"/>
      <c r="J141" s="813"/>
      <c r="K141" s="813"/>
    </row>
    <row r="142" spans="2:11">
      <c r="B142" s="813"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2" s="813"/>
      <c r="D142" s="813"/>
      <c r="E142" s="813"/>
      <c r="F142" s="813"/>
      <c r="G142" s="813"/>
      <c r="H142" s="813"/>
      <c r="I142" s="813"/>
      <c r="J142" s="813"/>
      <c r="K142" s="813"/>
    </row>
    <row r="143" spans="2:11">
      <c r="B143" s="812"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3" s="812"/>
      <c r="D143" s="812"/>
      <c r="E143" s="812"/>
      <c r="F143" s="812"/>
      <c r="G143" s="812"/>
      <c r="H143" s="812"/>
      <c r="I143" s="812"/>
      <c r="J143" s="812"/>
      <c r="K143" s="812"/>
    </row>
    <row r="144" spans="2:11">
      <c r="B144" s="812"/>
      <c r="C144" s="812"/>
      <c r="D144" s="812"/>
      <c r="E144" s="812"/>
      <c r="F144" s="812"/>
      <c r="G144" s="812"/>
      <c r="H144" s="812"/>
      <c r="I144" s="812"/>
      <c r="J144" s="812"/>
      <c r="K144" s="812"/>
    </row>
    <row r="145" spans="2:11">
      <c r="B145" s="813" t="str">
        <f>"11) The 'Monthly Interest Rate' is the last known FERC interest rate from Line "&amp;A68&amp;", "&amp;H38&amp;"."</f>
        <v>11) The 'Monthly Interest Rate' is the last known FERC interest rate from Line 225, Col 6.</v>
      </c>
      <c r="C145" s="813"/>
      <c r="D145" s="813"/>
      <c r="E145" s="813"/>
      <c r="F145" s="813"/>
      <c r="G145" s="813"/>
      <c r="H145" s="813"/>
      <c r="I145" s="813"/>
      <c r="J145" s="813"/>
      <c r="K145" s="813"/>
    </row>
    <row r="146" spans="2:11" ht="15" customHeight="1">
      <c r="B146" s="816" t="s">
        <v>475</v>
      </c>
      <c r="C146" s="816"/>
      <c r="D146" s="816"/>
      <c r="E146" s="816"/>
      <c r="F146" s="816"/>
      <c r="G146" s="816"/>
      <c r="H146" s="816"/>
      <c r="I146" s="816"/>
      <c r="J146" s="816"/>
      <c r="K146" s="816"/>
    </row>
    <row r="147" spans="2:11">
      <c r="B147" s="812" t="s">
        <v>476</v>
      </c>
      <c r="C147" s="812"/>
      <c r="D147" s="812"/>
      <c r="E147" s="812"/>
      <c r="F147" s="812"/>
      <c r="G147" s="812"/>
      <c r="H147" s="812"/>
      <c r="I147" s="812"/>
      <c r="J147" s="812"/>
      <c r="K147" s="812"/>
    </row>
  </sheetData>
  <mergeCells count="22">
    <mergeCell ref="B99:K99"/>
    <mergeCell ref="B6:K6"/>
    <mergeCell ref="B7:K7"/>
    <mergeCell ref="B31:K32"/>
    <mergeCell ref="B33:K33"/>
    <mergeCell ref="B72:K73"/>
    <mergeCell ref="B134:K134"/>
    <mergeCell ref="B146:K146"/>
    <mergeCell ref="B147:K147"/>
    <mergeCell ref="B100:K100"/>
    <mergeCell ref="B124:K125"/>
    <mergeCell ref="B126:K126"/>
    <mergeCell ref="B130:K131"/>
    <mergeCell ref="B145:K145"/>
    <mergeCell ref="B142:K142"/>
    <mergeCell ref="B143:K144"/>
    <mergeCell ref="B139:K140"/>
    <mergeCell ref="B137:K137"/>
    <mergeCell ref="B138:K138"/>
    <mergeCell ref="B141:K141"/>
    <mergeCell ref="B132:K133"/>
    <mergeCell ref="B135:K136"/>
  </mergeCells>
  <printOptions horizontalCentered="1"/>
  <pageMargins left="1" right="1" top="1" bottom="1" header="0.5" footer="0.5"/>
  <pageSetup scale="46" fitToHeight="0" orientation="portrait" r:id="rId1"/>
  <headerFooter>
    <oddHeader>&amp;C&amp;"-,Bold"&amp;12Pacific Gas and Electric Company
Formula Rate Model
Schedule 4-ATA</oddHeader>
  </headerFooter>
  <rowBreaks count="1" manualBreakCount="1">
    <brk id="95" max="11" man="1"/>
  </rowBreaks>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0"/>
  <sheetViews>
    <sheetView view="pageBreakPreview" zoomScaleNormal="85" zoomScaleSheetLayoutView="100" zoomScalePageLayoutView="90" workbookViewId="0">
      <selection activeCell="D12" sqref="D12"/>
    </sheetView>
  </sheetViews>
  <sheetFormatPr defaultColWidth="8.85546875" defaultRowHeight="15"/>
  <cols>
    <col min="1" max="1" width="4.5703125" style="64" bestFit="1" customWidth="1"/>
    <col min="2" max="2" width="63.42578125" style="64" bestFit="1" customWidth="1"/>
    <col min="3" max="3" width="4.5703125" style="64" customWidth="1"/>
    <col min="4" max="4" width="16.5703125" style="64" bestFit="1" customWidth="1"/>
    <col min="5" max="5" width="29.7109375" style="64" customWidth="1"/>
    <col min="6" max="6" width="29.140625" style="64" customWidth="1"/>
    <col min="7" max="7" width="4.5703125" style="64" bestFit="1" customWidth="1"/>
    <col min="8" max="8" width="8.85546875" style="64"/>
    <col min="9" max="9" width="12.140625" style="64" bestFit="1" customWidth="1"/>
    <col min="10" max="10" width="7.140625" style="64" bestFit="1" customWidth="1"/>
    <col min="11" max="11" width="10.5703125" style="64" bestFit="1" customWidth="1"/>
    <col min="12" max="22" width="14.5703125" style="64" customWidth="1"/>
    <col min="23" max="16384" width="8.85546875" style="64"/>
  </cols>
  <sheetData>
    <row r="1" spans="1:22">
      <c r="B1" s="5" t="s">
        <v>16</v>
      </c>
      <c r="E1" s="6"/>
      <c r="F1" s="6" t="str">
        <f>CONCATENATE("Prior Year: ",'1-BaseTRR'!$G$2)</f>
        <v>Prior Year: 2021</v>
      </c>
    </row>
    <row r="2" spans="1:22">
      <c r="B2" s="65"/>
    </row>
    <row r="3" spans="1:22">
      <c r="B3" s="45" t="s">
        <v>477</v>
      </c>
      <c r="C3" s="46"/>
      <c r="D3" s="47"/>
      <c r="E3" s="47"/>
      <c r="F3" s="47"/>
    </row>
    <row r="4" spans="1:22">
      <c r="A4" s="3" t="s">
        <v>100</v>
      </c>
      <c r="B4" s="3" t="s">
        <v>6</v>
      </c>
      <c r="C4"/>
      <c r="D4" s="3" t="s">
        <v>134</v>
      </c>
      <c r="E4" s="3" t="s">
        <v>135</v>
      </c>
      <c r="F4" s="3" t="s">
        <v>136</v>
      </c>
      <c r="G4" s="3" t="str">
        <f>A4</f>
        <v>Line</v>
      </c>
    </row>
    <row r="5" spans="1:22">
      <c r="B5" s="66" t="s">
        <v>478</v>
      </c>
      <c r="I5" s="67"/>
      <c r="J5" s="68"/>
      <c r="K5" s="69"/>
      <c r="L5" s="70"/>
      <c r="M5" s="70"/>
      <c r="N5" s="70"/>
      <c r="O5" s="70"/>
      <c r="P5" s="70"/>
      <c r="Q5" s="70"/>
      <c r="R5" s="70"/>
      <c r="S5" s="70"/>
      <c r="T5" s="70"/>
      <c r="U5" s="70"/>
      <c r="V5" s="70"/>
    </row>
    <row r="6" spans="1:22">
      <c r="A6" s="71">
        <v>100</v>
      </c>
      <c r="B6" s="64" t="s">
        <v>479</v>
      </c>
      <c r="D6" s="13">
        <f>'5-CostofCap-2'!P13</f>
        <v>36443675751.440002</v>
      </c>
      <c r="E6" s="73" t="s">
        <v>480</v>
      </c>
      <c r="F6" s="64" t="s">
        <v>481</v>
      </c>
      <c r="G6" s="71">
        <f>A6</f>
        <v>100</v>
      </c>
      <c r="I6" s="74"/>
      <c r="J6" s="75"/>
      <c r="K6" s="74"/>
      <c r="L6" s="76"/>
      <c r="M6" s="76"/>
      <c r="N6" s="76"/>
      <c r="O6" s="76"/>
      <c r="P6" s="76"/>
      <c r="Q6" s="76"/>
      <c r="R6" s="76"/>
      <c r="S6" s="76"/>
      <c r="T6" s="76"/>
      <c r="U6" s="76"/>
      <c r="V6" s="76"/>
    </row>
    <row r="7" spans="1:22">
      <c r="A7" s="71">
        <f>A6+1</f>
        <v>101</v>
      </c>
      <c r="B7" s="64" t="s">
        <v>482</v>
      </c>
      <c r="D7" s="458">
        <f>-'5-CostofCap-2'!P15</f>
        <v>0</v>
      </c>
      <c r="E7" s="73" t="s">
        <v>483</v>
      </c>
      <c r="F7" s="64" t="s">
        <v>484</v>
      </c>
      <c r="G7" s="71">
        <f t="shared" ref="G7:G30" si="0">A7</f>
        <v>101</v>
      </c>
      <c r="I7" s="74"/>
      <c r="J7" s="77"/>
      <c r="K7" s="78"/>
      <c r="L7" s="76"/>
      <c r="M7" s="76"/>
      <c r="N7" s="76"/>
      <c r="O7" s="76"/>
      <c r="P7" s="76"/>
      <c r="Q7" s="76"/>
      <c r="R7" s="76"/>
      <c r="S7" s="76"/>
      <c r="T7" s="76"/>
      <c r="U7" s="76"/>
      <c r="V7" s="76"/>
    </row>
    <row r="8" spans="1:22">
      <c r="A8" s="71">
        <f t="shared" ref="A8:A16" si="1">A7+1</f>
        <v>102</v>
      </c>
      <c r="B8" s="64" t="s">
        <v>485</v>
      </c>
      <c r="D8" s="459">
        <f>'5-CostofCap-2'!P17</f>
        <v>806847382.58000004</v>
      </c>
      <c r="E8" s="73" t="s">
        <v>486</v>
      </c>
      <c r="F8" s="64" t="s">
        <v>481</v>
      </c>
      <c r="G8" s="71">
        <f t="shared" si="0"/>
        <v>102</v>
      </c>
      <c r="H8" s="65"/>
      <c r="I8" s="74"/>
      <c r="J8" s="77"/>
      <c r="K8" s="78"/>
      <c r="L8" s="76"/>
      <c r="M8" s="76"/>
      <c r="N8" s="76"/>
      <c r="O8" s="76"/>
      <c r="P8" s="76"/>
      <c r="Q8" s="76"/>
      <c r="R8" s="76"/>
      <c r="S8" s="76"/>
      <c r="T8" s="76"/>
      <c r="U8" s="76"/>
      <c r="V8" s="76"/>
    </row>
    <row r="9" spans="1:22">
      <c r="A9" s="71">
        <f t="shared" si="1"/>
        <v>103</v>
      </c>
      <c r="B9" s="64" t="s">
        <v>487</v>
      </c>
      <c r="D9" s="459">
        <f>'5-CostofCap-2'!P19</f>
        <v>0</v>
      </c>
      <c r="E9" s="73" t="s">
        <v>488</v>
      </c>
      <c r="F9" s="64" t="s">
        <v>481</v>
      </c>
      <c r="G9" s="71">
        <f t="shared" si="0"/>
        <v>103</v>
      </c>
      <c r="I9" s="74"/>
      <c r="J9" s="77"/>
      <c r="K9" s="78"/>
      <c r="L9" s="76"/>
      <c r="M9" s="76"/>
      <c r="N9" s="76"/>
      <c r="O9" s="76"/>
      <c r="P9" s="76"/>
      <c r="Q9" s="76"/>
      <c r="R9" s="76"/>
      <c r="S9" s="76"/>
      <c r="T9" s="76"/>
      <c r="U9" s="76"/>
      <c r="V9" s="76"/>
    </row>
    <row r="10" spans="1:22">
      <c r="A10" s="71">
        <f t="shared" si="1"/>
        <v>104</v>
      </c>
      <c r="B10" s="64" t="s">
        <v>489</v>
      </c>
      <c r="D10" s="459">
        <f>'5-CostofCap-2'!P21</f>
        <v>5486057.9100000001</v>
      </c>
      <c r="E10" s="73" t="s">
        <v>490</v>
      </c>
      <c r="F10" s="64" t="s">
        <v>481</v>
      </c>
      <c r="G10" s="71">
        <f t="shared" si="0"/>
        <v>104</v>
      </c>
      <c r="I10" s="79"/>
      <c r="J10" s="80"/>
      <c r="K10" s="76"/>
      <c r="L10" s="76"/>
      <c r="M10" s="76"/>
      <c r="N10" s="76"/>
      <c r="O10" s="76"/>
      <c r="P10" s="76"/>
      <c r="Q10" s="76"/>
      <c r="R10" s="76"/>
      <c r="S10" s="76"/>
      <c r="T10" s="76"/>
      <c r="U10" s="76"/>
      <c r="V10" s="76"/>
    </row>
    <row r="11" spans="1:22">
      <c r="A11" s="71">
        <f t="shared" si="1"/>
        <v>105</v>
      </c>
      <c r="B11" s="64" t="s">
        <v>491</v>
      </c>
      <c r="D11" s="459">
        <f>-'5-CostofCap-2'!P23</f>
        <v>-26193407.199999999</v>
      </c>
      <c r="E11" s="73" t="s">
        <v>492</v>
      </c>
      <c r="F11" s="64" t="s">
        <v>484</v>
      </c>
      <c r="G11" s="71">
        <f t="shared" si="0"/>
        <v>105</v>
      </c>
      <c r="I11" s="76"/>
      <c r="J11" s="76"/>
      <c r="K11" s="76"/>
      <c r="L11" s="76"/>
      <c r="M11" s="76"/>
      <c r="N11" s="76"/>
      <c r="O11" s="76"/>
      <c r="P11" s="76"/>
      <c r="Q11" s="76"/>
      <c r="R11" s="76"/>
      <c r="S11" s="76"/>
      <c r="T11" s="76"/>
      <c r="U11" s="76"/>
      <c r="V11" s="76"/>
    </row>
    <row r="12" spans="1:22">
      <c r="A12" s="71">
        <f t="shared" si="1"/>
        <v>106</v>
      </c>
      <c r="B12" s="64" t="s">
        <v>493</v>
      </c>
      <c r="D12" s="459">
        <f>-'5-CostofCap-2'!P25</f>
        <v>-197064626.34999999</v>
      </c>
      <c r="E12" s="73" t="s">
        <v>494</v>
      </c>
      <c r="F12" s="64" t="s">
        <v>484</v>
      </c>
      <c r="G12" s="71">
        <f t="shared" si="0"/>
        <v>106</v>
      </c>
      <c r="I12" s="76"/>
      <c r="J12" s="76"/>
      <c r="K12" s="76"/>
      <c r="L12" s="76"/>
      <c r="M12" s="76"/>
      <c r="N12" s="76"/>
      <c r="O12" s="76"/>
      <c r="P12" s="76"/>
      <c r="Q12" s="76"/>
      <c r="R12" s="76"/>
      <c r="S12" s="76"/>
      <c r="T12" s="76"/>
      <c r="U12" s="76"/>
      <c r="V12" s="76"/>
    </row>
    <row r="13" spans="1:22">
      <c r="A13" s="71">
        <f t="shared" si="1"/>
        <v>107</v>
      </c>
      <c r="B13" s="64" t="s">
        <v>495</v>
      </c>
      <c r="D13" s="459">
        <f>-'5-CostofCap-2'!P27</f>
        <v>-49489664.189999998</v>
      </c>
      <c r="E13" s="73" t="s">
        <v>496</v>
      </c>
      <c r="F13" s="64" t="s">
        <v>484</v>
      </c>
      <c r="G13" s="71">
        <f t="shared" si="0"/>
        <v>107</v>
      </c>
      <c r="I13" s="76"/>
      <c r="J13" s="76"/>
      <c r="K13" s="76"/>
      <c r="L13" s="76"/>
      <c r="M13" s="76"/>
      <c r="N13" s="76"/>
      <c r="O13" s="76"/>
      <c r="P13" s="76"/>
      <c r="Q13" s="76"/>
      <c r="R13" s="76"/>
      <c r="S13" s="76"/>
      <c r="T13" s="76"/>
      <c r="U13" s="76"/>
      <c r="V13" s="76"/>
    </row>
    <row r="14" spans="1:22">
      <c r="A14" s="71">
        <f t="shared" si="1"/>
        <v>108</v>
      </c>
      <c r="B14" s="64" t="s">
        <v>243</v>
      </c>
      <c r="D14" s="408">
        <f>'1-BaseTRR'!E99</f>
        <v>0.27983599999999997</v>
      </c>
      <c r="E14" s="73" t="s">
        <v>497</v>
      </c>
      <c r="G14" s="71">
        <f t="shared" si="0"/>
        <v>108</v>
      </c>
      <c r="I14" s="76"/>
      <c r="J14" s="76"/>
      <c r="K14" s="76"/>
      <c r="L14" s="76"/>
      <c r="M14" s="76"/>
      <c r="N14" s="76"/>
      <c r="O14" s="76"/>
      <c r="P14" s="76"/>
      <c r="Q14" s="76"/>
      <c r="R14" s="76"/>
      <c r="S14" s="76"/>
      <c r="T14" s="76"/>
      <c r="U14" s="76"/>
      <c r="V14" s="76"/>
    </row>
    <row r="15" spans="1:22">
      <c r="A15" s="71">
        <f t="shared" si="1"/>
        <v>109</v>
      </c>
      <c r="B15" s="64" t="s">
        <v>498</v>
      </c>
      <c r="D15" s="460">
        <f>+D13*(1-D14)</f>
        <v>-35640674.52172716</v>
      </c>
      <c r="E15" s="73" t="s">
        <v>499</v>
      </c>
      <c r="G15" s="71">
        <f t="shared" si="0"/>
        <v>109</v>
      </c>
      <c r="I15" s="76"/>
      <c r="J15" s="76"/>
      <c r="K15" s="76"/>
      <c r="L15" s="76"/>
      <c r="M15" s="76"/>
      <c r="N15" s="76"/>
      <c r="O15" s="76"/>
      <c r="P15" s="76"/>
      <c r="Q15" s="76"/>
      <c r="R15" s="76"/>
      <c r="S15" s="76"/>
      <c r="T15" s="76"/>
      <c r="U15" s="76"/>
      <c r="V15" s="76"/>
    </row>
    <row r="16" spans="1:22">
      <c r="A16" s="71">
        <f t="shared" si="1"/>
        <v>110</v>
      </c>
      <c r="B16" s="537" t="s">
        <v>176</v>
      </c>
      <c r="D16" s="63">
        <f>+SUM(D6:D12,D15:D15)</f>
        <v>36997110483.858284</v>
      </c>
      <c r="E16" s="73" t="s">
        <v>500</v>
      </c>
      <c r="G16" s="71">
        <f t="shared" si="0"/>
        <v>110</v>
      </c>
    </row>
    <row r="17" spans="1:22">
      <c r="D17" s="82"/>
      <c r="E17" s="73"/>
      <c r="G17" s="71"/>
    </row>
    <row r="18" spans="1:22">
      <c r="B18" s="66" t="s">
        <v>501</v>
      </c>
      <c r="D18" s="82"/>
      <c r="E18" s="73"/>
      <c r="G18" s="71"/>
    </row>
    <row r="19" spans="1:22">
      <c r="A19" s="71">
        <f>A16+1</f>
        <v>111</v>
      </c>
      <c r="B19" s="64" t="s">
        <v>502</v>
      </c>
      <c r="D19" s="13">
        <f>'5-CostofCap-2'!P29</f>
        <v>257994575</v>
      </c>
      <c r="E19" s="73" t="s">
        <v>503</v>
      </c>
      <c r="F19" s="64" t="s">
        <v>481</v>
      </c>
      <c r="G19" s="71">
        <f t="shared" si="0"/>
        <v>111</v>
      </c>
      <c r="I19" s="76"/>
      <c r="K19" s="76"/>
      <c r="L19" s="76"/>
      <c r="M19" s="76"/>
      <c r="N19" s="76"/>
      <c r="O19" s="76"/>
      <c r="P19" s="76"/>
      <c r="Q19" s="76"/>
      <c r="R19" s="76"/>
      <c r="S19" s="76"/>
      <c r="T19" s="76"/>
      <c r="U19" s="76"/>
      <c r="V19" s="76"/>
    </row>
    <row r="20" spans="1:22">
      <c r="A20" s="71">
        <f>A19+1</f>
        <v>112</v>
      </c>
      <c r="B20" s="64" t="s">
        <v>504</v>
      </c>
      <c r="D20" s="23">
        <f>'5-CostofCap-2'!P31</f>
        <v>-5940274.6799999997</v>
      </c>
      <c r="E20" s="73" t="s">
        <v>505</v>
      </c>
      <c r="F20" s="64" t="s">
        <v>481</v>
      </c>
      <c r="G20" s="71">
        <f t="shared" si="0"/>
        <v>112</v>
      </c>
      <c r="I20" s="76"/>
      <c r="K20" s="76"/>
      <c r="L20" s="76"/>
      <c r="M20" s="76"/>
      <c r="N20" s="76"/>
      <c r="O20" s="76"/>
      <c r="P20" s="76"/>
      <c r="Q20" s="76"/>
      <c r="R20" s="76"/>
      <c r="S20" s="76"/>
      <c r="T20" s="76"/>
      <c r="U20" s="76"/>
      <c r="V20" s="76"/>
    </row>
    <row r="21" spans="1:22">
      <c r="A21" s="71">
        <f t="shared" ref="A21:A22" si="2">A20+1</f>
        <v>113</v>
      </c>
      <c r="B21" s="64" t="s">
        <v>506</v>
      </c>
      <c r="D21" s="17">
        <f>'5-CostofCap-2'!P33</f>
        <v>0</v>
      </c>
      <c r="E21" s="73" t="s">
        <v>507</v>
      </c>
      <c r="F21" s="64" t="s">
        <v>481</v>
      </c>
      <c r="G21" s="71">
        <f t="shared" si="0"/>
        <v>113</v>
      </c>
      <c r="I21" s="76"/>
      <c r="K21" s="76"/>
      <c r="L21" s="76"/>
      <c r="M21" s="76"/>
      <c r="N21" s="76"/>
      <c r="O21" s="76"/>
      <c r="P21" s="76"/>
      <c r="Q21" s="76"/>
      <c r="R21" s="76"/>
      <c r="S21" s="76"/>
      <c r="T21" s="76"/>
      <c r="U21" s="76"/>
      <c r="V21" s="76"/>
    </row>
    <row r="22" spans="1:22">
      <c r="A22" s="71">
        <f t="shared" si="2"/>
        <v>114</v>
      </c>
      <c r="B22" s="537" t="s">
        <v>182</v>
      </c>
      <c r="D22" s="63">
        <f>SUM(D19:D21)</f>
        <v>252054300.31999999</v>
      </c>
      <c r="E22" s="73" t="s">
        <v>508</v>
      </c>
      <c r="G22" s="71">
        <f t="shared" si="0"/>
        <v>114</v>
      </c>
    </row>
    <row r="23" spans="1:22">
      <c r="A23" s="71"/>
      <c r="D23" s="72"/>
      <c r="E23" s="73"/>
      <c r="G23" s="71"/>
    </row>
    <row r="24" spans="1:22">
      <c r="B24" s="66" t="s">
        <v>509</v>
      </c>
      <c r="D24" s="72"/>
      <c r="E24" s="73"/>
      <c r="F24" s="83"/>
      <c r="G24" s="71"/>
    </row>
    <row r="25" spans="1:22">
      <c r="A25" s="71">
        <f>+A22+1</f>
        <v>115</v>
      </c>
      <c r="B25" s="64" t="s">
        <v>510</v>
      </c>
      <c r="D25" s="13">
        <f>'5-CostofCap-2'!P35</f>
        <v>25611170422.52</v>
      </c>
      <c r="E25" s="73" t="s">
        <v>511</v>
      </c>
      <c r="F25" s="64" t="s">
        <v>481</v>
      </c>
      <c r="G25" s="71">
        <f t="shared" si="0"/>
        <v>115</v>
      </c>
      <c r="I25" s="76"/>
      <c r="J25" s="76"/>
      <c r="K25" s="76"/>
      <c r="L25" s="76"/>
      <c r="M25" s="76"/>
      <c r="N25" s="76"/>
      <c r="O25" s="76"/>
      <c r="P25" s="76"/>
      <c r="Q25" s="76"/>
      <c r="R25" s="76"/>
      <c r="S25" s="76"/>
      <c r="T25" s="76"/>
      <c r="U25" s="76"/>
      <c r="V25" s="76"/>
    </row>
    <row r="26" spans="1:22">
      <c r="A26" s="71">
        <f>A25+1</f>
        <v>116</v>
      </c>
      <c r="B26" s="64" t="s">
        <v>512</v>
      </c>
      <c r="D26" s="23">
        <f>-D22</f>
        <v>-252054300.31999999</v>
      </c>
      <c r="E26" s="73" t="s">
        <v>513</v>
      </c>
      <c r="F26" s="64" t="s">
        <v>514</v>
      </c>
      <c r="G26" s="71">
        <f t="shared" si="0"/>
        <v>116</v>
      </c>
      <c r="I26" s="76"/>
      <c r="J26" s="76"/>
      <c r="K26" s="76"/>
      <c r="L26" s="76"/>
      <c r="M26" s="76"/>
      <c r="N26" s="76"/>
      <c r="O26" s="76"/>
      <c r="P26" s="76"/>
      <c r="Q26" s="76"/>
      <c r="R26" s="76"/>
      <c r="S26" s="76"/>
      <c r="T26" s="76"/>
      <c r="U26" s="76"/>
      <c r="V26" s="76"/>
    </row>
    <row r="27" spans="1:22">
      <c r="A27" s="71">
        <f t="shared" ref="A27:A29" si="3">A26+1</f>
        <v>117</v>
      </c>
      <c r="B27" s="64" t="s">
        <v>515</v>
      </c>
      <c r="D27" s="23">
        <f>-D21</f>
        <v>0</v>
      </c>
      <c r="E27" s="73" t="s">
        <v>516</v>
      </c>
      <c r="F27" s="64" t="s">
        <v>517</v>
      </c>
      <c r="G27" s="71">
        <f t="shared" si="0"/>
        <v>117</v>
      </c>
      <c r="I27" s="76"/>
      <c r="J27" s="76"/>
      <c r="K27" s="76"/>
      <c r="L27" s="76"/>
      <c r="M27" s="76"/>
      <c r="N27" s="76"/>
      <c r="O27" s="76"/>
      <c r="P27" s="76"/>
      <c r="Q27" s="76"/>
      <c r="R27" s="76"/>
      <c r="S27" s="76"/>
      <c r="T27" s="76"/>
      <c r="U27" s="76"/>
      <c r="V27" s="76"/>
    </row>
    <row r="28" spans="1:22">
      <c r="A28" s="71">
        <f t="shared" si="3"/>
        <v>118</v>
      </c>
      <c r="B28" s="64" t="s">
        <v>518</v>
      </c>
      <c r="D28" s="458">
        <f>-'5-CostofCap-2'!P37</f>
        <v>-344832855.04000002</v>
      </c>
      <c r="E28" s="73" t="s">
        <v>519</v>
      </c>
      <c r="F28" s="64" t="s">
        <v>520</v>
      </c>
      <c r="G28" s="71">
        <f t="shared" si="0"/>
        <v>118</v>
      </c>
      <c r="I28" s="76"/>
      <c r="J28" s="76"/>
      <c r="K28" s="76"/>
      <c r="L28" s="76"/>
      <c r="M28" s="76"/>
      <c r="N28" s="76"/>
      <c r="O28" s="76"/>
      <c r="P28" s="76"/>
      <c r="Q28" s="76"/>
      <c r="R28" s="76"/>
      <c r="S28" s="76"/>
      <c r="T28" s="76"/>
      <c r="U28" s="76"/>
      <c r="V28" s="76"/>
    </row>
    <row r="29" spans="1:22">
      <c r="A29" s="71">
        <f t="shared" si="3"/>
        <v>119</v>
      </c>
      <c r="B29" s="64" t="s">
        <v>521</v>
      </c>
      <c r="D29" s="668">
        <f>-'5-CostofCap-2'!P39</f>
        <v>7526996.6799999997</v>
      </c>
      <c r="E29" s="73" t="s">
        <v>522</v>
      </c>
      <c r="F29" s="64" t="s">
        <v>520</v>
      </c>
      <c r="G29" s="71">
        <f t="shared" si="0"/>
        <v>119</v>
      </c>
      <c r="I29" s="76"/>
      <c r="J29" s="76"/>
      <c r="K29" s="76"/>
      <c r="L29" s="76"/>
      <c r="M29" s="76"/>
      <c r="N29" s="76"/>
      <c r="O29" s="76"/>
      <c r="P29" s="76"/>
      <c r="Q29" s="76"/>
      <c r="R29" s="76"/>
      <c r="S29" s="76"/>
      <c r="T29" s="76"/>
      <c r="U29" s="76"/>
      <c r="V29" s="76"/>
    </row>
    <row r="30" spans="1:22">
      <c r="A30" s="71">
        <f>A29+1</f>
        <v>120</v>
      </c>
      <c r="B30" s="86" t="s">
        <v>187</v>
      </c>
      <c r="D30" s="63">
        <f>SUM(D25:D29)</f>
        <v>25021810263.84</v>
      </c>
      <c r="E30" s="73" t="s">
        <v>523</v>
      </c>
      <c r="G30" s="71">
        <f t="shared" si="0"/>
        <v>120</v>
      </c>
    </row>
    <row r="31" spans="1:22">
      <c r="B31" s="84"/>
    </row>
    <row r="36" spans="2:2">
      <c r="B36" s="85"/>
    </row>
    <row r="38" spans="2:2">
      <c r="B38" s="73"/>
    </row>
    <row r="40" spans="2:2">
      <c r="B40" s="73"/>
    </row>
  </sheetData>
  <printOptions horizontalCentered="1"/>
  <pageMargins left="1" right="1" top="1" bottom="1" header="0.5" footer="0.5"/>
  <pageSetup scale="75" fitToHeight="0" orientation="landscape" cellComments="asDisplayed" r:id="rId1"/>
  <headerFooter alignWithMargins="0">
    <oddHeader>&amp;C&amp;"-,Bold"&amp;12Pacific Gas and Electric Company
Formula Rate Model
Schedule 5-CostofCap-1</oddHeader>
  </headerFooter>
  <customProperties>
    <customPr name="_pios_id" r:id="rId2"/>
    <customPr name="Epm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7"/>
  <sheetViews>
    <sheetView view="pageBreakPreview" zoomScale="82" zoomScaleNormal="70" zoomScaleSheetLayoutView="82" zoomScalePageLayoutView="55" workbookViewId="0"/>
  </sheetViews>
  <sheetFormatPr defaultColWidth="8.85546875" defaultRowHeight="15"/>
  <cols>
    <col min="1" max="1" width="6.85546875" style="64" bestFit="1" customWidth="1"/>
    <col min="2" max="2" width="28.140625" style="64" customWidth="1"/>
    <col min="3" max="3" width="21.42578125" style="64" bestFit="1" customWidth="1"/>
    <col min="4" max="4" width="20.7109375" style="64" customWidth="1"/>
    <col min="5" max="6" width="18.85546875" style="64" bestFit="1" customWidth="1"/>
    <col min="7" max="7" width="20" style="64" customWidth="1"/>
    <col min="8" max="8" width="20.140625" style="64" customWidth="1"/>
    <col min="9" max="9" width="19.42578125" style="64" customWidth="1"/>
    <col min="10" max="10" width="21.85546875" style="64" customWidth="1"/>
    <col min="11" max="11" width="20.42578125" style="64" customWidth="1"/>
    <col min="12" max="12" width="20.140625" style="64" customWidth="1"/>
    <col min="13" max="13" width="18.5703125" style="64" bestFit="1" customWidth="1"/>
    <col min="14" max="15" width="18.85546875" style="64" bestFit="1" customWidth="1"/>
    <col min="16" max="16" width="18.85546875" style="64" customWidth="1"/>
    <col min="17" max="17" width="6.85546875" style="64" bestFit="1" customWidth="1"/>
    <col min="18" max="16384" width="8.85546875" style="64"/>
  </cols>
  <sheetData>
    <row r="1" spans="1:17">
      <c r="B1" s="86" t="s">
        <v>18</v>
      </c>
      <c r="O1" s="6"/>
      <c r="P1" s="6" t="str">
        <f>CONCATENATE("Prior Year: ",'1-BaseTRR'!$G$2)</f>
        <v>Prior Year: 2021</v>
      </c>
    </row>
    <row r="2" spans="1:17">
      <c r="B2" s="39" t="s">
        <v>131</v>
      </c>
      <c r="C2" s="87"/>
      <c r="D2" s="87"/>
      <c r="O2" s="6"/>
    </row>
    <row r="3" spans="1:17">
      <c r="B3" s="2"/>
    </row>
    <row r="4" spans="1:17">
      <c r="A4" s="71"/>
      <c r="B4" s="84" t="s">
        <v>350</v>
      </c>
      <c r="C4" s="76"/>
      <c r="D4" s="76"/>
      <c r="E4" s="76"/>
      <c r="F4" s="76"/>
      <c r="G4" s="76"/>
      <c r="H4" s="76"/>
      <c r="I4" s="76"/>
      <c r="J4" s="76"/>
      <c r="K4" s="76"/>
      <c r="L4" s="76"/>
      <c r="M4" s="76"/>
      <c r="N4" s="76"/>
      <c r="O4" s="76"/>
      <c r="P4" s="76"/>
    </row>
    <row r="5" spans="1:17">
      <c r="A5" s="71"/>
      <c r="B5" s="818" t="s">
        <v>524</v>
      </c>
      <c r="C5" s="818"/>
      <c r="D5" s="818"/>
      <c r="E5" s="818"/>
      <c r="F5" s="818"/>
      <c r="G5" s="818"/>
      <c r="H5" s="818"/>
      <c r="I5" s="818"/>
      <c r="J5" s="818"/>
      <c r="K5" s="818"/>
      <c r="L5" s="818"/>
      <c r="M5" s="818"/>
      <c r="N5" s="818"/>
      <c r="O5" s="818"/>
      <c r="P5" s="818"/>
    </row>
    <row r="6" spans="1:17">
      <c r="A6" s="71"/>
      <c r="B6" s="73"/>
      <c r="C6" s="76"/>
      <c r="D6" s="76"/>
      <c r="E6" s="76"/>
      <c r="F6" s="76"/>
      <c r="G6" s="76"/>
      <c r="H6" s="76"/>
      <c r="I6" s="76"/>
      <c r="J6" s="76"/>
      <c r="K6" s="76"/>
      <c r="L6" s="76"/>
      <c r="M6" s="76"/>
      <c r="N6" s="76"/>
      <c r="O6" s="76"/>
      <c r="P6" s="76"/>
    </row>
    <row r="7" spans="1:17">
      <c r="B7" s="2"/>
    </row>
    <row r="8" spans="1:17">
      <c r="C8" s="88" t="s">
        <v>371</v>
      </c>
      <c r="D8" s="88" t="s">
        <v>372</v>
      </c>
      <c r="E8" s="88" t="s">
        <v>373</v>
      </c>
      <c r="F8" s="88" t="s">
        <v>374</v>
      </c>
      <c r="G8" s="88" t="s">
        <v>375</v>
      </c>
      <c r="H8" s="88" t="s">
        <v>376</v>
      </c>
      <c r="I8" s="88" t="s">
        <v>377</v>
      </c>
      <c r="J8" s="88" t="s">
        <v>378</v>
      </c>
      <c r="K8" s="88" t="s">
        <v>409</v>
      </c>
      <c r="L8" s="88" t="s">
        <v>525</v>
      </c>
      <c r="M8" s="88" t="s">
        <v>526</v>
      </c>
      <c r="N8" s="88" t="s">
        <v>527</v>
      </c>
      <c r="O8" s="88" t="s">
        <v>528</v>
      </c>
      <c r="P8" s="88" t="s">
        <v>529</v>
      </c>
    </row>
    <row r="9" spans="1:17">
      <c r="C9" s="89" t="s">
        <v>530</v>
      </c>
      <c r="D9" s="90" t="s">
        <v>428</v>
      </c>
      <c r="E9" s="70" t="s">
        <v>430</v>
      </c>
      <c r="F9" s="70" t="s">
        <v>431</v>
      </c>
      <c r="G9" s="70" t="s">
        <v>432</v>
      </c>
      <c r="H9" s="70" t="s">
        <v>433</v>
      </c>
      <c r="I9" s="70" t="s">
        <v>395</v>
      </c>
      <c r="J9" s="70" t="s">
        <v>531</v>
      </c>
      <c r="K9" s="70" t="s">
        <v>435</v>
      </c>
      <c r="L9" s="70" t="s">
        <v>436</v>
      </c>
      <c r="M9" s="70" t="s">
        <v>437</v>
      </c>
      <c r="N9" s="70" t="s">
        <v>438</v>
      </c>
      <c r="O9" s="70" t="s">
        <v>439</v>
      </c>
      <c r="P9" s="70" t="s">
        <v>428</v>
      </c>
    </row>
    <row r="10" spans="1:17">
      <c r="A10" s="91"/>
      <c r="B10" s="91"/>
      <c r="C10" s="70" t="s">
        <v>532</v>
      </c>
      <c r="D10" s="70">
        <f>'1-BaseTRR'!G2-1</f>
        <v>2020</v>
      </c>
      <c r="E10" s="70">
        <f>'1-BaseTRR'!$G$2</f>
        <v>2021</v>
      </c>
      <c r="F10" s="70">
        <f>'1-BaseTRR'!$G$2</f>
        <v>2021</v>
      </c>
      <c r="G10" s="70">
        <f>'1-BaseTRR'!$G$2</f>
        <v>2021</v>
      </c>
      <c r="H10" s="70">
        <f>'1-BaseTRR'!$G$2</f>
        <v>2021</v>
      </c>
      <c r="I10" s="70">
        <f>'1-BaseTRR'!$G$2</f>
        <v>2021</v>
      </c>
      <c r="J10" s="70">
        <f>'1-BaseTRR'!$G$2</f>
        <v>2021</v>
      </c>
      <c r="K10" s="70">
        <f>'1-BaseTRR'!$G$2</f>
        <v>2021</v>
      </c>
      <c r="L10" s="70">
        <f>'1-BaseTRR'!$G$2</f>
        <v>2021</v>
      </c>
      <c r="M10" s="70">
        <f>'1-BaseTRR'!$G$2</f>
        <v>2021</v>
      </c>
      <c r="N10" s="70">
        <f>'1-BaseTRR'!$G$2</f>
        <v>2021</v>
      </c>
      <c r="O10" s="70">
        <f>'1-BaseTRR'!$G$2</f>
        <v>2021</v>
      </c>
      <c r="P10" s="70">
        <f>'1-BaseTRR'!$G$2</f>
        <v>2021</v>
      </c>
    </row>
    <row r="11" spans="1:17">
      <c r="B11" s="92" t="s">
        <v>6</v>
      </c>
      <c r="C11" s="89"/>
      <c r="D11" s="90"/>
      <c r="E11" s="70"/>
      <c r="F11" s="70"/>
      <c r="G11" s="70"/>
      <c r="H11" s="70"/>
      <c r="I11" s="70"/>
      <c r="J11" s="70"/>
      <c r="K11" s="70"/>
      <c r="L11" s="70"/>
      <c r="M11" s="70"/>
      <c r="N11" s="70"/>
      <c r="O11" s="70"/>
      <c r="P11" s="70"/>
    </row>
    <row r="12" spans="1:17">
      <c r="A12" s="3" t="s">
        <v>100</v>
      </c>
      <c r="B12" s="84" t="s">
        <v>533</v>
      </c>
      <c r="D12" s="90"/>
      <c r="E12" s="93"/>
      <c r="F12" s="93"/>
      <c r="G12" s="93"/>
      <c r="H12" s="93"/>
      <c r="I12" s="93"/>
      <c r="J12" s="93"/>
      <c r="K12" s="93"/>
      <c r="L12" s="93"/>
      <c r="M12" s="93"/>
      <c r="N12" s="93"/>
      <c r="O12" s="93"/>
      <c r="P12" s="93"/>
      <c r="Q12" s="3" t="str">
        <f>A12</f>
        <v>Line</v>
      </c>
    </row>
    <row r="13" spans="1:17">
      <c r="A13" s="71">
        <v>100</v>
      </c>
      <c r="B13" s="71"/>
      <c r="C13" s="15">
        <f>SUM(D13:P13)/13</f>
        <v>34348381099.341537</v>
      </c>
      <c r="D13" s="667">
        <v>31852940000</v>
      </c>
      <c r="E13" s="664">
        <v>31852940000</v>
      </c>
      <c r="F13" s="664">
        <v>31852939854</v>
      </c>
      <c r="G13" s="664">
        <v>34252939854</v>
      </c>
      <c r="H13" s="664">
        <v>34252939854</v>
      </c>
      <c r="I13" s="664">
        <v>34252939854</v>
      </c>
      <c r="J13" s="664">
        <v>35052939854</v>
      </c>
      <c r="K13" s="664">
        <v>35052939854</v>
      </c>
      <c r="L13" s="664">
        <v>35052939854</v>
      </c>
      <c r="M13" s="664">
        <v>35052939854</v>
      </c>
      <c r="N13" s="664">
        <v>35052939854</v>
      </c>
      <c r="O13" s="664">
        <v>36502939854</v>
      </c>
      <c r="P13" s="664">
        <v>36443675751.440002</v>
      </c>
      <c r="Q13" s="71">
        <f>A13</f>
        <v>100</v>
      </c>
    </row>
    <row r="14" spans="1:17">
      <c r="A14" s="71"/>
      <c r="B14" s="84" t="s">
        <v>534</v>
      </c>
      <c r="C14" s="82"/>
      <c r="D14" s="82"/>
      <c r="E14" s="82"/>
      <c r="F14" s="82"/>
      <c r="G14" s="82"/>
      <c r="H14" s="82"/>
      <c r="I14" s="82"/>
      <c r="J14" s="82"/>
      <c r="K14" s="82"/>
      <c r="L14" s="82"/>
      <c r="M14" s="82"/>
      <c r="N14" s="82"/>
      <c r="O14" s="82"/>
      <c r="P14" s="82"/>
      <c r="Q14" s="71"/>
    </row>
    <row r="15" spans="1:17">
      <c r="A15" s="71">
        <f>A13+1</f>
        <v>101</v>
      </c>
      <c r="B15" s="23"/>
      <c r="C15" s="15">
        <f>SUM(D15:P15)/13</f>
        <v>0</v>
      </c>
      <c r="D15" s="44">
        <v>0</v>
      </c>
      <c r="E15" s="44">
        <v>0</v>
      </c>
      <c r="F15" s="44">
        <v>0</v>
      </c>
      <c r="G15" s="44">
        <v>0</v>
      </c>
      <c r="H15" s="44">
        <v>0</v>
      </c>
      <c r="I15" s="44">
        <v>0</v>
      </c>
      <c r="J15" s="44">
        <v>0</v>
      </c>
      <c r="K15" s="44">
        <v>0</v>
      </c>
      <c r="L15" s="44">
        <v>0</v>
      </c>
      <c r="M15" s="44">
        <v>0</v>
      </c>
      <c r="N15" s="44">
        <v>0</v>
      </c>
      <c r="O15" s="44">
        <v>0</v>
      </c>
      <c r="P15" s="44">
        <v>0</v>
      </c>
      <c r="Q15" s="71">
        <f>A15</f>
        <v>101</v>
      </c>
    </row>
    <row r="16" spans="1:17">
      <c r="A16" s="71"/>
      <c r="B16" s="84" t="s">
        <v>535</v>
      </c>
      <c r="C16" s="82"/>
      <c r="D16" s="82"/>
      <c r="E16" s="82"/>
      <c r="F16" s="82"/>
      <c r="G16" s="82"/>
      <c r="H16" s="82"/>
      <c r="I16" s="82"/>
      <c r="J16" s="82"/>
      <c r="K16" s="82"/>
      <c r="L16" s="82"/>
      <c r="M16" s="82"/>
      <c r="N16" s="82"/>
      <c r="O16" s="82"/>
      <c r="P16" s="82"/>
      <c r="Q16" s="71"/>
    </row>
    <row r="17" spans="1:17">
      <c r="A17" s="71">
        <f>A15+1</f>
        <v>102</v>
      </c>
      <c r="B17" s="86"/>
      <c r="C17" s="15">
        <f>SUM(D17:P17)/13</f>
        <v>128249721.73692307</v>
      </c>
      <c r="D17" s="44">
        <v>0</v>
      </c>
      <c r="E17" s="44">
        <v>0</v>
      </c>
      <c r="F17" s="44">
        <v>0</v>
      </c>
      <c r="G17" s="44">
        <v>0</v>
      </c>
      <c r="H17" s="44">
        <v>0</v>
      </c>
      <c r="I17" s="44">
        <v>0</v>
      </c>
      <c r="J17" s="44">
        <v>0</v>
      </c>
      <c r="K17" s="44">
        <v>0</v>
      </c>
      <c r="L17" s="44">
        <v>0</v>
      </c>
      <c r="M17" s="44">
        <v>0</v>
      </c>
      <c r="N17" s="44">
        <v>0</v>
      </c>
      <c r="O17" s="44">
        <v>860399000</v>
      </c>
      <c r="P17" s="44">
        <v>806847382.58000004</v>
      </c>
      <c r="Q17" s="71">
        <f>A17</f>
        <v>102</v>
      </c>
    </row>
    <row r="18" spans="1:17">
      <c r="A18" s="71"/>
      <c r="B18" s="84" t="s">
        <v>536</v>
      </c>
      <c r="C18" s="82"/>
      <c r="D18" s="82"/>
      <c r="E18" s="82"/>
      <c r="F18" s="82"/>
      <c r="G18" s="82"/>
      <c r="H18" s="82"/>
      <c r="I18" s="82"/>
      <c r="J18" s="82"/>
      <c r="K18" s="82"/>
      <c r="L18" s="82"/>
      <c r="M18" s="82"/>
      <c r="N18" s="82"/>
      <c r="O18" s="82"/>
      <c r="P18" s="82"/>
      <c r="Q18" s="71"/>
    </row>
    <row r="19" spans="1:17">
      <c r="A19" s="71">
        <f>A17+1</f>
        <v>103</v>
      </c>
      <c r="B19" s="71"/>
      <c r="C19" s="15">
        <f>SUM(D19:P19)/13</f>
        <v>0</v>
      </c>
      <c r="D19" s="44">
        <v>0</v>
      </c>
      <c r="E19" s="44">
        <v>0</v>
      </c>
      <c r="F19" s="44">
        <v>0</v>
      </c>
      <c r="G19" s="44">
        <v>0</v>
      </c>
      <c r="H19" s="44">
        <v>0</v>
      </c>
      <c r="I19" s="44">
        <v>0</v>
      </c>
      <c r="J19" s="44">
        <v>0</v>
      </c>
      <c r="K19" s="44">
        <v>0</v>
      </c>
      <c r="L19" s="44">
        <v>0</v>
      </c>
      <c r="M19" s="44">
        <v>0</v>
      </c>
      <c r="N19" s="44">
        <v>0</v>
      </c>
      <c r="O19" s="44">
        <v>0</v>
      </c>
      <c r="P19" s="44">
        <v>0</v>
      </c>
      <c r="Q19" s="71">
        <f>A19</f>
        <v>103</v>
      </c>
    </row>
    <row r="20" spans="1:17">
      <c r="A20" s="71"/>
      <c r="B20" s="84" t="s">
        <v>537</v>
      </c>
      <c r="C20" s="82"/>
      <c r="D20" s="82"/>
      <c r="E20" s="82"/>
      <c r="F20" s="82"/>
      <c r="G20" s="82"/>
      <c r="H20" s="82"/>
      <c r="I20" s="82"/>
      <c r="J20" s="82"/>
      <c r="K20" s="82"/>
      <c r="L20" s="82"/>
      <c r="M20" s="82"/>
      <c r="N20" s="82"/>
      <c r="O20" s="82"/>
      <c r="P20" s="82"/>
      <c r="Q20" s="71"/>
    </row>
    <row r="21" spans="1:17">
      <c r="A21" s="71">
        <f>A19+1</f>
        <v>104</v>
      </c>
      <c r="C21" s="15">
        <f>SUM(D21:P21)/13</f>
        <v>847743.46230769227</v>
      </c>
      <c r="D21" s="664">
        <v>0</v>
      </c>
      <c r="E21" s="664">
        <v>0</v>
      </c>
      <c r="F21" s="664">
        <v>0</v>
      </c>
      <c r="G21" s="44">
        <v>0</v>
      </c>
      <c r="H21" s="44">
        <v>0</v>
      </c>
      <c r="I21" s="44">
        <v>0</v>
      </c>
      <c r="J21" s="44">
        <v>0</v>
      </c>
      <c r="K21" s="44">
        <v>0</v>
      </c>
      <c r="L21" s="44">
        <v>0</v>
      </c>
      <c r="M21" s="44">
        <v>0</v>
      </c>
      <c r="N21" s="44">
        <v>0</v>
      </c>
      <c r="O21" s="44">
        <v>5534607.0999999996</v>
      </c>
      <c r="P21" s="44">
        <v>5486057.9100000001</v>
      </c>
      <c r="Q21" s="71">
        <f>A21</f>
        <v>104</v>
      </c>
    </row>
    <row r="22" spans="1:17">
      <c r="A22" s="71"/>
      <c r="B22" s="84" t="s">
        <v>538</v>
      </c>
      <c r="C22" s="82"/>
      <c r="D22" s="82"/>
      <c r="E22" s="82"/>
      <c r="F22" s="82"/>
      <c r="G22" s="82"/>
      <c r="H22" s="82"/>
      <c r="I22" s="82"/>
      <c r="J22" s="82"/>
      <c r="K22" s="82"/>
      <c r="L22" s="82"/>
      <c r="M22" s="82"/>
      <c r="N22" s="82"/>
      <c r="O22" s="82"/>
      <c r="P22" s="82"/>
      <c r="Q22" s="71"/>
    </row>
    <row r="23" spans="1:17">
      <c r="A23" s="71">
        <f>A21+1</f>
        <v>105</v>
      </c>
      <c r="B23" s="94"/>
      <c r="C23" s="15">
        <f>SUM(D23:P23)/13</f>
        <v>23874985.242307689</v>
      </c>
      <c r="D23" s="664">
        <v>20595301.050000001</v>
      </c>
      <c r="E23" s="664">
        <v>20496637.149999999</v>
      </c>
      <c r="F23" s="664">
        <v>20397973.25</v>
      </c>
      <c r="G23" s="44">
        <v>22558514.68</v>
      </c>
      <c r="H23" s="44">
        <v>22446658.77</v>
      </c>
      <c r="I23" s="44">
        <v>22334802.859999999</v>
      </c>
      <c r="J23" s="44">
        <v>26107509.34</v>
      </c>
      <c r="K23" s="44">
        <v>25949113.149999999</v>
      </c>
      <c r="L23" s="44">
        <v>25790716.960000001</v>
      </c>
      <c r="M23" s="44">
        <v>25632320.77</v>
      </c>
      <c r="N23" s="44">
        <v>25473924.579999998</v>
      </c>
      <c r="O23" s="44">
        <v>26397928.390000001</v>
      </c>
      <c r="P23" s="44">
        <v>26193407.199999999</v>
      </c>
      <c r="Q23" s="71">
        <f>A23</f>
        <v>105</v>
      </c>
    </row>
    <row r="24" spans="1:17">
      <c r="B24" s="92" t="s">
        <v>539</v>
      </c>
      <c r="C24" s="82"/>
      <c r="D24" s="82"/>
      <c r="E24" s="82"/>
      <c r="F24" s="82"/>
      <c r="G24" s="82"/>
      <c r="H24" s="82"/>
      <c r="I24" s="82"/>
      <c r="J24" s="82"/>
      <c r="K24" s="82"/>
      <c r="L24" s="82"/>
      <c r="M24" s="82"/>
      <c r="N24" s="82"/>
      <c r="O24" s="82"/>
      <c r="P24" s="82"/>
      <c r="Q24" s="71"/>
    </row>
    <row r="25" spans="1:17">
      <c r="A25" s="71">
        <f>A23+1</f>
        <v>106</v>
      </c>
      <c r="B25" s="86"/>
      <c r="C25" s="15">
        <f>SUM(D25:P25)/13</f>
        <v>199836395.77769232</v>
      </c>
      <c r="D25" s="664">
        <v>198238359.5</v>
      </c>
      <c r="E25" s="664">
        <v>197638106.25999999</v>
      </c>
      <c r="F25" s="664">
        <v>193522196.59999999</v>
      </c>
      <c r="G25" s="44">
        <v>203148856.16999999</v>
      </c>
      <c r="H25" s="44">
        <v>199673512.74000001</v>
      </c>
      <c r="I25" s="44">
        <v>196130346.19999999</v>
      </c>
      <c r="J25" s="44">
        <v>208727045.71000001</v>
      </c>
      <c r="K25" s="44">
        <v>205507296.16999999</v>
      </c>
      <c r="L25" s="44">
        <v>202348166.18000001</v>
      </c>
      <c r="M25" s="44">
        <v>199099601.62</v>
      </c>
      <c r="N25" s="44">
        <v>195405699.96000001</v>
      </c>
      <c r="O25" s="44">
        <v>201369331.65000001</v>
      </c>
      <c r="P25" s="44">
        <v>197064626.34999999</v>
      </c>
      <c r="Q25" s="71">
        <f>A25</f>
        <v>106</v>
      </c>
    </row>
    <row r="26" spans="1:17">
      <c r="A26" s="71"/>
      <c r="B26" s="92" t="s">
        <v>540</v>
      </c>
      <c r="C26" s="82"/>
      <c r="D26" s="82"/>
      <c r="E26" s="82"/>
      <c r="F26" s="82"/>
      <c r="G26" s="82"/>
      <c r="H26" s="82"/>
      <c r="I26" s="82"/>
      <c r="J26" s="82"/>
      <c r="K26" s="82"/>
      <c r="L26" s="82"/>
      <c r="M26" s="82"/>
      <c r="N26" s="82"/>
      <c r="O26" s="82"/>
      <c r="P26" s="82"/>
      <c r="Q26" s="71"/>
    </row>
    <row r="27" spans="1:17">
      <c r="A27" s="71">
        <f>A25+1</f>
        <v>107</v>
      </c>
      <c r="B27" s="94"/>
      <c r="C27" s="15">
        <f>SUM(D27:P27)/13</f>
        <v>56243615.183076933</v>
      </c>
      <c r="D27" s="44">
        <v>62997566.18</v>
      </c>
      <c r="E27" s="44">
        <v>61871907.649999999</v>
      </c>
      <c r="F27" s="44">
        <v>60746249.159999996</v>
      </c>
      <c r="G27" s="44">
        <v>59620590.659999996</v>
      </c>
      <c r="H27" s="44">
        <v>58494932.200000003</v>
      </c>
      <c r="I27" s="44">
        <v>57369273.689999998</v>
      </c>
      <c r="J27" s="44">
        <v>56243615.18</v>
      </c>
      <c r="K27" s="44">
        <v>55117956.659999996</v>
      </c>
      <c r="L27" s="44">
        <v>53992298.189999998</v>
      </c>
      <c r="M27" s="44">
        <v>52866639.689999998</v>
      </c>
      <c r="N27" s="44">
        <v>51740981.200000003</v>
      </c>
      <c r="O27" s="44">
        <v>50615322.729999997</v>
      </c>
      <c r="P27" s="44">
        <v>49489664.189999998</v>
      </c>
      <c r="Q27" s="71">
        <f>A27</f>
        <v>107</v>
      </c>
    </row>
    <row r="28" spans="1:17">
      <c r="B28" s="84" t="s">
        <v>541</v>
      </c>
      <c r="C28" s="82"/>
      <c r="D28" s="82"/>
      <c r="E28" s="82"/>
      <c r="F28" s="82"/>
      <c r="G28" s="82"/>
      <c r="H28" s="82"/>
      <c r="I28" s="82"/>
      <c r="J28" s="82"/>
      <c r="K28" s="82"/>
      <c r="L28" s="82"/>
      <c r="M28" s="82"/>
      <c r="N28" s="82"/>
      <c r="O28" s="82"/>
      <c r="P28" s="82"/>
      <c r="Q28" s="71"/>
    </row>
    <row r="29" spans="1:17">
      <c r="A29" s="71">
        <f>A27+1</f>
        <v>108</v>
      </c>
      <c r="B29" s="71"/>
      <c r="C29" s="15">
        <f>SUM(D29:P29)/13</f>
        <v>257994575</v>
      </c>
      <c r="D29" s="44">
        <v>257994575</v>
      </c>
      <c r="E29" s="44">
        <v>257994575</v>
      </c>
      <c r="F29" s="44">
        <v>257994575</v>
      </c>
      <c r="G29" s="44">
        <v>257994575</v>
      </c>
      <c r="H29" s="44">
        <v>257994575</v>
      </c>
      <c r="I29" s="44">
        <v>257994575</v>
      </c>
      <c r="J29" s="44">
        <v>257994575</v>
      </c>
      <c r="K29" s="44">
        <v>257994575</v>
      </c>
      <c r="L29" s="44">
        <v>257994575</v>
      </c>
      <c r="M29" s="44">
        <v>257994575</v>
      </c>
      <c r="N29" s="44">
        <v>257994575</v>
      </c>
      <c r="O29" s="44">
        <v>257994575</v>
      </c>
      <c r="P29" s="44">
        <v>257994575</v>
      </c>
      <c r="Q29" s="71">
        <f>A29</f>
        <v>108</v>
      </c>
    </row>
    <row r="30" spans="1:17">
      <c r="A30" s="71"/>
      <c r="B30" s="84" t="s">
        <v>542</v>
      </c>
      <c r="C30" s="82"/>
      <c r="D30" s="82"/>
      <c r="E30" s="82"/>
      <c r="F30" s="82"/>
      <c r="G30" s="82"/>
      <c r="H30" s="82"/>
      <c r="I30" s="82"/>
      <c r="J30" s="82"/>
      <c r="K30" s="82"/>
      <c r="L30" s="82"/>
      <c r="M30" s="82"/>
      <c r="N30" s="82"/>
      <c r="O30" s="82"/>
      <c r="P30" s="82"/>
      <c r="Q30" s="71"/>
    </row>
    <row r="31" spans="1:17">
      <c r="A31" s="71">
        <f>A29+1</f>
        <v>109</v>
      </c>
      <c r="B31" s="71"/>
      <c r="C31" s="15">
        <f>SUM(D31:P31)/13</f>
        <v>-5940274.6800000006</v>
      </c>
      <c r="D31" s="44">
        <v>-5940274.6799999997</v>
      </c>
      <c r="E31" s="44">
        <v>-5940274.6799999997</v>
      </c>
      <c r="F31" s="44">
        <v>-5940274.6799999997</v>
      </c>
      <c r="G31" s="44">
        <v>-5940274.6799999997</v>
      </c>
      <c r="H31" s="44">
        <v>-5940274.6799999997</v>
      </c>
      <c r="I31" s="44">
        <v>-5940274.6799999997</v>
      </c>
      <c r="J31" s="44">
        <v>-5940274.6799999997</v>
      </c>
      <c r="K31" s="44">
        <v>-5940274.6799999997</v>
      </c>
      <c r="L31" s="44">
        <v>-5940274.6799999997</v>
      </c>
      <c r="M31" s="44">
        <v>-5940274.6799999997</v>
      </c>
      <c r="N31" s="44">
        <v>-5940274.6799999997</v>
      </c>
      <c r="O31" s="44">
        <v>-5940274.6799999997</v>
      </c>
      <c r="P31" s="44">
        <v>-5940274.6799999997</v>
      </c>
      <c r="Q31" s="71">
        <f>A31</f>
        <v>109</v>
      </c>
    </row>
    <row r="32" spans="1:17">
      <c r="A32" s="71"/>
      <c r="B32" s="84" t="s">
        <v>543</v>
      </c>
      <c r="C32" s="82"/>
      <c r="D32" s="82"/>
      <c r="E32" s="82"/>
      <c r="F32" s="82"/>
      <c r="G32" s="82"/>
      <c r="H32" s="82"/>
      <c r="I32" s="82"/>
      <c r="J32" s="82"/>
      <c r="K32" s="82"/>
      <c r="L32" s="82"/>
      <c r="M32" s="82"/>
      <c r="N32" s="82"/>
      <c r="O32" s="82"/>
      <c r="P32" s="82"/>
      <c r="Q32" s="71"/>
    </row>
    <row r="33" spans="1:17">
      <c r="A33" s="71">
        <f>A31+1</f>
        <v>110</v>
      </c>
      <c r="B33" s="71"/>
      <c r="C33" s="15">
        <f>SUM(D33:P33)/13</f>
        <v>0</v>
      </c>
      <c r="D33" s="44">
        <v>0</v>
      </c>
      <c r="E33" s="44">
        <v>0</v>
      </c>
      <c r="F33" s="44">
        <v>0</v>
      </c>
      <c r="G33" s="44">
        <v>0</v>
      </c>
      <c r="H33" s="44">
        <v>0</v>
      </c>
      <c r="I33" s="44">
        <v>0</v>
      </c>
      <c r="J33" s="44">
        <v>0</v>
      </c>
      <c r="K33" s="44">
        <v>0</v>
      </c>
      <c r="L33" s="44">
        <v>0</v>
      </c>
      <c r="M33" s="44">
        <v>0</v>
      </c>
      <c r="N33" s="44">
        <v>0</v>
      </c>
      <c r="O33" s="44">
        <v>0</v>
      </c>
      <c r="P33" s="44">
        <v>0</v>
      </c>
      <c r="Q33" s="71">
        <f>A33</f>
        <v>110</v>
      </c>
    </row>
    <row r="34" spans="1:17">
      <c r="B34" s="84" t="s">
        <v>544</v>
      </c>
      <c r="C34" s="531"/>
      <c r="D34" s="531"/>
      <c r="E34" s="531"/>
      <c r="F34" s="531"/>
      <c r="G34" s="531"/>
      <c r="H34" s="531"/>
      <c r="I34" s="531"/>
      <c r="J34" s="531"/>
      <c r="K34" s="531"/>
      <c r="L34" s="531"/>
      <c r="M34" s="531"/>
      <c r="N34" s="531"/>
      <c r="O34" s="531"/>
      <c r="P34" s="531"/>
      <c r="Q34" s="71"/>
    </row>
    <row r="35" spans="1:17">
      <c r="A35" s="71">
        <f>+A33+1</f>
        <v>111</v>
      </c>
      <c r="B35" s="71"/>
      <c r="C35" s="15">
        <f>SUM(D35:P35)/13</f>
        <v>25718283686.236923</v>
      </c>
      <c r="D35" s="641">
        <v>25476768827.259998</v>
      </c>
      <c r="E35" s="641">
        <v>25633323296.98</v>
      </c>
      <c r="F35" s="641">
        <v>25836405676.66</v>
      </c>
      <c r="G35" s="641">
        <v>25654388198.560001</v>
      </c>
      <c r="H35" s="641">
        <v>25774794934.5</v>
      </c>
      <c r="I35" s="641">
        <v>25930719405.959999</v>
      </c>
      <c r="J35" s="641">
        <v>26094757868.869999</v>
      </c>
      <c r="K35" s="641">
        <v>26208124367.129997</v>
      </c>
      <c r="L35" s="641">
        <v>26442591273</v>
      </c>
      <c r="M35" s="641">
        <v>25051924382.23</v>
      </c>
      <c r="N35" s="641">
        <v>25194585273.399998</v>
      </c>
      <c r="O35" s="641">
        <v>25428133994.010002</v>
      </c>
      <c r="P35" s="641">
        <v>25611170422.52</v>
      </c>
      <c r="Q35" s="71">
        <f>A35</f>
        <v>111</v>
      </c>
    </row>
    <row r="36" spans="1:17">
      <c r="A36" s="71"/>
      <c r="B36" s="84" t="s">
        <v>545</v>
      </c>
      <c r="C36" s="82"/>
      <c r="D36" s="82"/>
      <c r="E36" s="82"/>
      <c r="F36" s="82"/>
      <c r="G36" s="82"/>
      <c r="H36" s="82"/>
      <c r="I36" s="82"/>
      <c r="J36" s="82"/>
      <c r="K36" s="82"/>
      <c r="L36" s="82"/>
      <c r="M36" s="82"/>
      <c r="N36" s="82"/>
      <c r="O36" s="82"/>
      <c r="P36" s="82"/>
      <c r="Q36" s="71"/>
    </row>
    <row r="37" spans="1:17">
      <c r="A37" s="71">
        <f>+A35+1</f>
        <v>112</v>
      </c>
      <c r="B37" s="71"/>
      <c r="C37" s="15">
        <f>SUM(D37:P37)/13</f>
        <v>-3512820.4123076843</v>
      </c>
      <c r="D37" s="44">
        <v>-32541626.699999999</v>
      </c>
      <c r="E37" s="44">
        <v>-32541626.699999999</v>
      </c>
      <c r="F37" s="44">
        <v>-32541626.699999999</v>
      </c>
      <c r="G37" s="44">
        <v>-32541626.699999999</v>
      </c>
      <c r="H37" s="44">
        <v>-32541626.699999999</v>
      </c>
      <c r="I37" s="44">
        <v>-32541626.699999999</v>
      </c>
      <c r="J37" s="44">
        <v>-32541626.699999999</v>
      </c>
      <c r="K37" s="44">
        <v>-32541626.699999999</v>
      </c>
      <c r="L37" s="44">
        <v>-32541626.699999999</v>
      </c>
      <c r="M37" s="44">
        <v>-32541626.699999999</v>
      </c>
      <c r="N37" s="44">
        <v>-32541626.699999999</v>
      </c>
      <c r="O37" s="44">
        <v>-32541626.699999999</v>
      </c>
      <c r="P37" s="664">
        <v>344832855.04000002</v>
      </c>
      <c r="Q37" s="71">
        <f>A37</f>
        <v>112</v>
      </c>
    </row>
    <row r="38" spans="1:17">
      <c r="A38" s="71"/>
      <c r="B38" s="84" t="s">
        <v>546</v>
      </c>
      <c r="C38" s="82"/>
      <c r="D38" s="82"/>
      <c r="E38" s="82"/>
      <c r="F38" s="82"/>
      <c r="G38" s="82"/>
      <c r="H38" s="82"/>
      <c r="I38" s="82"/>
      <c r="J38" s="82"/>
      <c r="K38" s="82"/>
      <c r="L38" s="82"/>
      <c r="M38" s="82"/>
      <c r="N38" s="82"/>
      <c r="O38" s="82"/>
      <c r="P38" s="82"/>
      <c r="Q38" s="71"/>
    </row>
    <row r="39" spans="1:17">
      <c r="A39" s="71">
        <f>A37+1</f>
        <v>113</v>
      </c>
      <c r="B39" s="71"/>
      <c r="C39" s="15">
        <f>SUM(D39:P39)/13</f>
        <v>-4372708.1076923078</v>
      </c>
      <c r="D39" s="44">
        <v>-4621217.7</v>
      </c>
      <c r="E39" s="44">
        <v>-4528286.24</v>
      </c>
      <c r="F39" s="44">
        <v>-4435310.5</v>
      </c>
      <c r="G39" s="44">
        <v>-4342334.76</v>
      </c>
      <c r="H39" s="44">
        <v>-4249297.53</v>
      </c>
      <c r="I39" s="44">
        <v>-4156321.79</v>
      </c>
      <c r="J39" s="44">
        <v>-4063346.05</v>
      </c>
      <c r="K39" s="44">
        <v>-3970370.31</v>
      </c>
      <c r="L39" s="44">
        <v>-3877394.57</v>
      </c>
      <c r="M39" s="44">
        <v>-3784418.83</v>
      </c>
      <c r="N39" s="44">
        <v>-3691443.09</v>
      </c>
      <c r="O39" s="44">
        <v>-3598467.35</v>
      </c>
      <c r="P39" s="44">
        <v>-7526996.6799999997</v>
      </c>
      <c r="Q39" s="71">
        <f>A39</f>
        <v>113</v>
      </c>
    </row>
    <row r="40" spans="1:17">
      <c r="A40" s="71"/>
      <c r="B40" s="71"/>
      <c r="C40" s="76"/>
      <c r="D40" s="76"/>
      <c r="E40" s="76"/>
      <c r="F40" s="76"/>
      <c r="G40" s="76"/>
      <c r="H40" s="76"/>
      <c r="I40" s="76"/>
      <c r="J40" s="76"/>
      <c r="K40" s="76"/>
      <c r="L40" s="76"/>
      <c r="M40" s="76"/>
      <c r="N40" s="76"/>
      <c r="O40" s="76"/>
      <c r="P40" s="76"/>
    </row>
    <row r="41" spans="1:17">
      <c r="B41" s="7" t="s">
        <v>306</v>
      </c>
    </row>
    <row r="42" spans="1:17">
      <c r="B42" t="s">
        <v>547</v>
      </c>
      <c r="I42" s="65"/>
    </row>
    <row r="43" spans="1:17">
      <c r="B43" t="s">
        <v>548</v>
      </c>
    </row>
    <row r="44" spans="1:17">
      <c r="B44" t="s">
        <v>549</v>
      </c>
    </row>
    <row r="45" spans="1:17">
      <c r="B45" t="s">
        <v>550</v>
      </c>
    </row>
    <row r="46" spans="1:17">
      <c r="B46" t="s">
        <v>551</v>
      </c>
      <c r="C46" s="94"/>
    </row>
    <row r="47" spans="1:17">
      <c r="B47" t="s">
        <v>552</v>
      </c>
      <c r="C47" s="94"/>
    </row>
    <row r="48" spans="1:17">
      <c r="B48" t="s">
        <v>553</v>
      </c>
      <c r="C48" s="94"/>
    </row>
    <row r="49" spans="2:8">
      <c r="B49" t="s">
        <v>554</v>
      </c>
      <c r="C49" s="94"/>
    </row>
    <row r="50" spans="2:8">
      <c r="B50" s="64" t="s">
        <v>555</v>
      </c>
    </row>
    <row r="51" spans="2:8">
      <c r="B51" s="64" t="s">
        <v>556</v>
      </c>
    </row>
    <row r="52" spans="2:8">
      <c r="B52" s="64" t="s">
        <v>557</v>
      </c>
      <c r="H52" s="71"/>
    </row>
    <row r="53" spans="2:8">
      <c r="B53" s="64" t="s">
        <v>558</v>
      </c>
    </row>
    <row r="54" spans="2:8">
      <c r="B54" s="64" t="s">
        <v>559</v>
      </c>
    </row>
    <row r="55" spans="2:8">
      <c r="B55" s="64" t="s">
        <v>560</v>
      </c>
    </row>
    <row r="56" spans="2:8">
      <c r="B56" s="64" t="s">
        <v>561</v>
      </c>
    </row>
    <row r="57" spans="2:8">
      <c r="H57" s="448"/>
    </row>
  </sheetData>
  <mergeCells count="1">
    <mergeCell ref="B5:P5"/>
  </mergeCells>
  <printOptions horizontalCentered="1"/>
  <pageMargins left="1" right="1" top="1" bottom="1" header="0.5" footer="0.5"/>
  <pageSetup scale="35" fitToHeight="0" orientation="landscape" cellComments="asDisplayed" r:id="rId1"/>
  <headerFooter>
    <oddHeader>&amp;C&amp;"-,Bold"&amp;12Pacific Gas and Electric Company
Formula Rate Model
Schedule 5-CostofCap-2</oddHeader>
  </headerFooter>
  <customProperties>
    <customPr name="_pios_id" r:id="rId2"/>
    <customPr name="Epm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69412E3D0AA74DA594B272BCAFF451" ma:contentTypeVersion="9" ma:contentTypeDescription="Create a new document." ma:contentTypeScope="" ma:versionID="9f31715b0f0d6ce6c55302fdacab117c">
  <xsd:schema xmlns:xsd="http://www.w3.org/2001/XMLSchema" xmlns:xs="http://www.w3.org/2001/XMLSchema" xmlns:p="http://schemas.microsoft.com/office/2006/metadata/properties" xmlns:ns2="8c85b104-6ac8-421b-acce-f5fe225eb11a" xmlns:ns3="d3a76f79-0feb-43d2-9397-366ae1416e9e" targetNamespace="http://schemas.microsoft.com/office/2006/metadata/properties" ma:root="true" ma:fieldsID="05cce4414b16337e00ca19092e1f513b" ns2:_="" ns3:_="">
    <xsd:import namespace="8c85b104-6ac8-421b-acce-f5fe225eb11a"/>
    <xsd:import namespace="d3a76f79-0feb-43d2-9397-366ae1416e9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85b104-6ac8-421b-acce-f5fe225eb1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a76f79-0feb-43d2-9397-366ae1416e9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2.xml><?xml version="1.0" encoding="utf-8"?>
<ds:datastoreItem xmlns:ds="http://schemas.openxmlformats.org/officeDocument/2006/customXml" ds:itemID="{3DC53320-A44F-4639-93BC-857F338B23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85b104-6ac8-421b-acce-f5fe225eb11a"/>
    <ds:schemaRef ds:uri="d3a76f79-0feb-43d2-9397-366ae1416e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8CDF2E-51A9-4EE3-9FB5-853DE92D28AB}">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8c85b104-6ac8-421b-acce-f5fe225eb11a"/>
    <ds:schemaRef ds:uri="http://purl.org/dc/terms/"/>
    <ds:schemaRef ds:uri="http://schemas.openxmlformats.org/package/2006/metadata/core-properties"/>
    <ds:schemaRef ds:uri="d3a76f79-0feb-43d2-9397-366ae1416e9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36</vt:i4>
      </vt:variant>
    </vt:vector>
  </HeadingPairs>
  <TitlesOfParts>
    <vt:vector size="74" baseType="lpstr">
      <vt:lpstr>Cover Page</vt:lpstr>
      <vt:lpstr>ToC</vt:lpstr>
      <vt:lpstr>Formatting and References</vt:lpstr>
      <vt:lpstr>1-BaseTRR</vt:lpstr>
      <vt:lpstr>2-ITRR</vt:lpstr>
      <vt:lpstr>3-True-upTRR</vt:lpstr>
      <vt:lpstr>4-ATA</vt:lpstr>
      <vt:lpstr>5-CostofCap-1</vt:lpstr>
      <vt:lpstr>5-CostofCap-2</vt:lpstr>
      <vt:lpstr>5-CostofCap-3</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vt:lpstr>
      <vt:lpstr>17-RegAssets-1</vt:lpstr>
      <vt:lpstr>17-RegAssets-2</vt:lpstr>
      <vt:lpstr>17-RegAssets-3</vt:lpstr>
      <vt:lpstr>18-OandM</vt:lpstr>
      <vt:lpstr>19-AandG</vt:lpstr>
      <vt:lpstr>20-RevenueCredits</vt:lpstr>
      <vt:lpstr>21-NPandS</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'19-AandG'!Print_Area</vt:lpstr>
      <vt:lpstr>'20-RevenueCredits'!Print_Area</vt:lpstr>
      <vt:lpstr>'21-NPandS'!Print_Area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'3-True-upTRR'!Print_Area</vt:lpstr>
      <vt:lpstr>'4-ATA'!Print_Area</vt:lpstr>
      <vt:lpstr>'5-CostofCap-1'!Print_Area</vt:lpstr>
      <vt:lpstr>'5-CostofCap-2'!Print_Area</vt:lpstr>
      <vt:lpstr>'5-CostofCap-3'!Print_Area</vt:lpstr>
      <vt:lpstr>'5-CostofCap-4'!Print_Area</vt:lpstr>
      <vt:lpstr>'6-PlantJurisdiction'!Print_Area</vt:lpstr>
      <vt:lpstr>'7-PlantInService'!Print_Area</vt:lpstr>
      <vt:lpstr>'8-AbandonedPlant'!Print_Area</vt:lpstr>
      <vt:lpstr>'Cover Page'!Print_Area</vt:lpstr>
      <vt:lpstr>'10-AccDep'!Print_Titles</vt:lpstr>
      <vt:lpstr>'11-Depreciation'!Print_Titles</vt:lpstr>
      <vt:lpstr>'13-WorkCap'!Print_Titles</vt:lpstr>
      <vt:lpstr>'14-ADIT'!Print_Titles</vt:lpstr>
      <vt:lpstr>'17-RegAssets-3'!Print_Titles</vt:lpstr>
      <vt:lpstr>'1-BaseTRR'!Print_Titles</vt:lpstr>
      <vt:lpstr>'3-True-upTRR'!Print_Titles</vt:lpstr>
      <vt:lpstr>'4-ATA'!Print_Titles</vt:lpstr>
      <vt:lpstr>'7-PlantInService'!Print_Titles</vt:lpstr>
      <vt:lpstr>'9-PlantAdditions'!Print_Titles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2020-03-09T20:11:41Z</dcterms:created>
  <dcterms:modified xsi:type="dcterms:W3CDTF">2023-07-14T16:48:15Z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0x010100F369412E3D0AA74DA594B272BCAFF451</vt:lpwstr>
  </property>
  <property fmtid="{D5CDD505-2E9C-101B-9397-08002B2CF9AE}" pid="3" name="MSIP_Label_d4b98cd0-9232-4d1e-a754-93750c05520d_Enabled">
    <vt:lpwstr>true</vt:lpwstr>
  </property>
  <property fmtid="{D5CDD505-2E9C-101B-9397-08002B2CF9AE}" pid="4" name="MSIP_Label_d4b98cd0-9232-4d1e-a754-93750c05520d_SetDate">
    <vt:lpwstr>2022-11-09T23:01:07Z</vt:lpwstr>
  </property>
  <property fmtid="{D5CDD505-2E9C-101B-9397-08002B2CF9AE}" pid="5" name="MSIP_Label_d4b98cd0-9232-4d1e-a754-93750c05520d_Method">
    <vt:lpwstr>Privileged</vt:lpwstr>
  </property>
  <property fmtid="{D5CDD505-2E9C-101B-9397-08002B2CF9AE}" pid="6" name="MSIP_Label_d4b98cd0-9232-4d1e-a754-93750c05520d_Name">
    <vt:lpwstr>Restricted</vt:lpwstr>
  </property>
  <property fmtid="{D5CDD505-2E9C-101B-9397-08002B2CF9AE}" pid="7" name="MSIP_Label_d4b98cd0-9232-4d1e-a754-93750c05520d_SiteId">
    <vt:lpwstr>44ae661a-ece6-41aa-bc96-7c2c85a08941</vt:lpwstr>
  </property>
  <property fmtid="{D5CDD505-2E9C-101B-9397-08002B2CF9AE}" pid="8" name="MSIP_Label_d4b98cd0-9232-4d1e-a754-93750c05520d_ActionId">
    <vt:lpwstr>0c79fe89-2fa2-4de5-aa17-48b00b15f6af</vt:lpwstr>
  </property>
  <property fmtid="{D5CDD505-2E9C-101B-9397-08002B2CF9AE}" pid="9" name="MSIP_Label_d4b98cd0-9232-4d1e-a754-93750c05520d_ContentBits">
    <vt:lpwstr>3</vt:lpwstr>
  </property>
</Properties>
</file>