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AB88457E-C6F3-4B4E-A0F3-0D3A26FBDC7C}" xr6:coauthVersionLast="47" xr6:coauthVersionMax="47" xr10:uidLastSave="{00000000-0000-0000-0000-000000000000}"/>
  <bookViews>
    <workbookView xWindow="-27068" yWindow="-4628" windowWidth="22890" windowHeight="14790" tabRatio="858" activeTab="5" xr2:uid="{00000000-000D-0000-FFFF-FFFF00000000}"/>
  </bookViews>
  <sheets>
    <sheet name="Cover Page" sheetId="67" r:id="rId1"/>
    <sheet name="ToC" sheetId="100" r:id="rId2"/>
    <sheet name="Formatting and References" sheetId="101" r:id="rId3"/>
    <sheet name="1-BaseTRR" sheetId="1" r:id="rId4"/>
    <sheet name="2-ITRR" sheetId="2" r:id="rId5"/>
    <sheet name="3-True-upTRR Corrected V2" sheetId="47" r:id="rId6"/>
    <sheet name="3-True-upTRR Corrected V1" sheetId="108" r:id="rId7"/>
    <sheet name="3-True-upTRR Orig" sheetId="105" r:id="rId8"/>
    <sheet name="4-ATA Corrected V2" sheetId="109" r:id="rId9"/>
    <sheet name="4-ATA Corrected V1" sheetId="5" r:id="rId10"/>
    <sheet name="4-ATA Orig" sheetId="104" r:id="rId11"/>
    <sheet name="5-CostofCap-1" sheetId="68" r:id="rId12"/>
    <sheet name="5-CostofCap-2" sheetId="69" r:id="rId13"/>
    <sheet name="5-CostofCap-3" sheetId="70" r:id="rId14"/>
    <sheet name="5-CostofCap-4" sheetId="71" r:id="rId15"/>
    <sheet name="6-PlantJurisdiction" sheetId="72" r:id="rId16"/>
    <sheet name="7-PlantInService" sheetId="73" r:id="rId17"/>
    <sheet name="8-AbandonedPlant" sheetId="102" r:id="rId18"/>
    <sheet name="9-PlantAdditions" sheetId="75" r:id="rId19"/>
    <sheet name="10-AccDep" sheetId="76" r:id="rId20"/>
    <sheet name="11-Depreciation" sheetId="77" r:id="rId21"/>
    <sheet name="12-DepRates" sheetId="78" r:id="rId22"/>
    <sheet name="13-WorkCap" sheetId="79" r:id="rId23"/>
    <sheet name="14-ADIT" sheetId="80" r:id="rId24"/>
    <sheet name="15-NUC" sheetId="81" r:id="rId25"/>
    <sheet name="16-UnfundedReserves CorrectedV1" sheetId="82" r:id="rId26"/>
    <sheet name="16-UnfundedReserves Original" sheetId="110" r:id="rId27"/>
    <sheet name="17-RegAssets-1" sheetId="83" r:id="rId28"/>
    <sheet name="17-RegAssets-2" sheetId="103" r:id="rId29"/>
    <sheet name="18-OandM" sheetId="84" r:id="rId30"/>
    <sheet name="19-AandG Corrected V1" sheetId="85" r:id="rId31"/>
    <sheet name="19-AandG Original" sheetId="111" r:id="rId32"/>
    <sheet name="20-RevenueCredits" sheetId="86" r:id="rId33"/>
    <sheet name="21-NPandS Corrected V1" sheetId="87" r:id="rId34"/>
    <sheet name="21-NPandS Orig" sheetId="107" r:id="rId35"/>
    <sheet name="22-TaxRates" sheetId="88" r:id="rId36"/>
    <sheet name="23-RetailSGTax" sheetId="89" r:id="rId37"/>
    <sheet name="24-Allocators" sheetId="90" r:id="rId38"/>
    <sheet name="25-RFandUFactors" sheetId="91" r:id="rId39"/>
    <sheet name="26-WholesaleTRRs" sheetId="92" r:id="rId40"/>
    <sheet name="27-WholesaleRates" sheetId="93" r:id="rId41"/>
    <sheet name="28-GrossLoad" sheetId="94" r:id="rId42"/>
    <sheet name="29-RetailRates-1" sheetId="98" r:id="rId43"/>
    <sheet name="29-RetailRates-2" sheetId="99" r:id="rId44"/>
  </sheets>
  <definedNames>
    <definedName name="\a">#REF!</definedName>
    <definedName name="\b">#REF!</definedName>
    <definedName name="\x">#REF!</definedName>
    <definedName name="___huh2" localSheetId="17"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13" hidden="1">#REF!</definedName>
    <definedName name="__123Graph_AGRAPH" localSheetId="13" hidden="1">#REF!</definedName>
    <definedName name="__123Graph_AGRS" localSheetId="13" hidden="1">#REF!</definedName>
    <definedName name="__123Graph_B" localSheetId="13" hidden="1">#REF!</definedName>
    <definedName name="__123Graph_BGRAPH" localSheetId="13" hidden="1">#REF!</definedName>
    <definedName name="__123Graph_BGRS" localSheetId="13" hidden="1">#REF!</definedName>
    <definedName name="__123Graph_C" localSheetId="13" hidden="1">#REF!</definedName>
    <definedName name="__123Graph_CGRAPH" localSheetId="13" hidden="1">#REF!</definedName>
    <definedName name="__123Graph_CGRS" localSheetId="13" hidden="1">#REF!</definedName>
    <definedName name="__123Graph_DGRAPH" localSheetId="13" hidden="1">#REF!</definedName>
    <definedName name="__123Graph_DGRS" localSheetId="13" hidden="1">#REF!</definedName>
    <definedName name="__123Graph_LBL_A" localSheetId="13" hidden="1">#REF!</definedName>
    <definedName name="__123Graph_LBL_EGRAPH" localSheetId="13" hidden="1">#REF!</definedName>
    <definedName name="__123Graph_LBL_EGRS" localSheetId="13" hidden="1">#REF!</definedName>
    <definedName name="__123Graph_X" localSheetId="13" hidden="1">#REF!</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hidden="1">{#N/A,#N/A,FALSE,"Res - Unadj";#N/A,#N/A,FALSE,"Small L&amp;P";#N/A,#N/A,FALSE,"Medium L&amp;P";#N/A,#N/A,FALSE,"E-19";#N/A,#N/A,FALSE,"E-20";#N/A,#N/A,FALSE,"A-RTP";#N/A,#N/A,FALSE,"Strtlts &amp; Standby";#N/A,#N/A,FALSE,"AG";#N/A,#N/A,FALSE,"2001mixeduse"}</definedName>
    <definedName name="__foo4" hidden="1">{"Summary","1",FALSE,"Summary"}</definedName>
    <definedName name="__FPMExcelClient_CellBasedFunctionStatus" localSheetId="30">"2_1_2_2_2_2"</definedName>
    <definedName name="__FPMExcelClient_CellBasedFunctionStatus" localSheetId="31">"2_1_2_2_2_2"</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3" hidden="1">#REF!</definedName>
    <definedName name="_bdm.DA90C587C9374C5A8F37C549C9BCDD3D.edm" localSheetId="24" hidden="1">#REF!</definedName>
    <definedName name="_bdm.DA90C587C9374C5A8F37C549C9BCDD3D.edm" localSheetId="25" hidden="1">#REF!</definedName>
    <definedName name="_bdm.DA90C587C9374C5A8F37C549C9BCDD3D.edm" localSheetId="26" hidden="1">#REF!</definedName>
    <definedName name="_bdm.DA90C587C9374C5A8F37C549C9BCDD3D.edm" localSheetId="27" hidden="1">#REF!</definedName>
    <definedName name="_bdm.DA90C587C9374C5A8F37C549C9BCDD3D.edm" localSheetId="29" hidden="1">#REF!</definedName>
    <definedName name="_bdm.DA90C587C9374C5A8F37C549C9BCDD3D.edm" localSheetId="32"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36" hidden="1">#REF!</definedName>
    <definedName name="_bdm.DA90C587C9374C5A8F37C549C9BCDD3D.edm" localSheetId="37" hidden="1">#REF!</definedName>
    <definedName name="_bdm.DA90C587C9374C5A8F37C549C9BCDD3D.edm" localSheetId="38" hidden="1">#REF!</definedName>
    <definedName name="_bdm.DA90C587C9374C5A8F37C549C9BCDD3D.edm" localSheetId="39" hidden="1">#REF!</definedName>
    <definedName name="_bdm.DA90C587C9374C5A8F37C549C9BCDD3D.edm" localSheetId="40" hidden="1">#REF!</definedName>
    <definedName name="_bdm.DA90C587C9374C5A8F37C549C9BCDD3D.edm" localSheetId="41" hidden="1">#REF!</definedName>
    <definedName name="_bdm.DA90C587C9374C5A8F37C549C9BCDD3D.edm" localSheetId="6" hidden="1">#REF!</definedName>
    <definedName name="_bdm.DA90C587C9374C5A8F37C549C9BCDD3D.edm" localSheetId="5" hidden="1">#REF!</definedName>
    <definedName name="_bdm.DA90C587C9374C5A8F37C549C9BCDD3D.edm" localSheetId="7"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Fill" hidden="1">#REF!</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hidden="1">{#N/A,#N/A,FALSE,"Res - Unadj";#N/A,#N/A,FALSE,"Small L&amp;P";#N/A,#N/A,FALSE,"Medium L&amp;P";#N/A,#N/A,FALSE,"E-19";#N/A,#N/A,FALSE,"E-20";#N/A,#N/A,FALSE,"A-RTP";#N/A,#N/A,FALSE,"Strtlts &amp; Standby";#N/A,#N/A,FALSE,"AG";#N/A,#N/A,FALSE,"2001mixeduse"}</definedName>
    <definedName name="_foo4" hidden="1">{"Summary","1",FALSE,"Summary"}</definedName>
    <definedName name="_huh2" localSheetId="17"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2" hidden="1">#REF!</definedName>
    <definedName name="_Key1" localSheetId="33" hidden="1">#REF!</definedName>
    <definedName name="_Key1" localSheetId="34" hidden="1">#REF!</definedName>
    <definedName name="_Key1" localSheetId="35" hidden="1">#REF!</definedName>
    <definedName name="_Key1" localSheetId="36" hidden="1">#REF!</definedName>
    <definedName name="_Key1" localSheetId="37" hidden="1">#REF!</definedName>
    <definedName name="_Key1" localSheetId="38" hidden="1">#REF!</definedName>
    <definedName name="_Key1" localSheetId="39" hidden="1">#REF!</definedName>
    <definedName name="_Key1" localSheetId="40" hidden="1">#REF!</definedName>
    <definedName name="_Key1" localSheetId="41" hidden="1">#REF!</definedName>
    <definedName name="_Key1" localSheetId="6" hidden="1">#REF!</definedName>
    <definedName name="_Key1" localSheetId="5" hidden="1">#REF!</definedName>
    <definedName name="_Key1" localSheetId="7" hidden="1">#REF!</definedName>
    <definedName name="_Key1" localSheetId="11" hidden="1">#REF!</definedName>
    <definedName name="_Key1" localSheetId="12" hidden="1">#REF!</definedName>
    <definedName name="_Key1" localSheetId="13" hidden="1">#REF!</definedName>
    <definedName name="_Key1" localSheetId="15" hidden="1">#REF!</definedName>
    <definedName name="_Key1" localSheetId="16" hidden="1">#REF!</definedName>
    <definedName name="_Key1" localSheetId="17" hidden="1">#REF!</definedName>
    <definedName name="_Key1"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2" hidden="1">#REF!</definedName>
    <definedName name="_Key2" localSheetId="33" hidden="1">#REF!</definedName>
    <definedName name="_Key2" localSheetId="34" hidden="1">#REF!</definedName>
    <definedName name="_Key2" localSheetId="35" hidden="1">#REF!</definedName>
    <definedName name="_Key2" localSheetId="36" hidden="1">#REF!</definedName>
    <definedName name="_Key2" localSheetId="37" hidden="1">#REF!</definedName>
    <definedName name="_Key2" localSheetId="38" hidden="1">#REF!</definedName>
    <definedName name="_Key2" localSheetId="39" hidden="1">#REF!</definedName>
    <definedName name="_Key2" localSheetId="40" hidden="1">#REF!</definedName>
    <definedName name="_Key2" localSheetId="41" hidden="1">#REF!</definedName>
    <definedName name="_Key2" localSheetId="6" hidden="1">#REF!</definedName>
    <definedName name="_Key2" localSheetId="5" hidden="1">#REF!</definedName>
    <definedName name="_Key2" localSheetId="7" hidden="1">#REF!</definedName>
    <definedName name="_Key2" localSheetId="11" hidden="1">#REF!</definedName>
    <definedName name="_Key2" localSheetId="12" hidden="1">#REF!</definedName>
    <definedName name="_Key2" localSheetId="13" hidden="1">#REF!</definedName>
    <definedName name="_Key2" localSheetId="15" hidden="1">#REF!</definedName>
    <definedName name="_Key2" localSheetId="16" hidden="1">#REF!</definedName>
    <definedName name="_Key2" localSheetId="17" hidden="1">#REF!</definedName>
    <definedName name="_Key2" localSheetId="18" hidden="1">#REF!</definedName>
    <definedName name="_L2" hidden="1">{"PI_Data",#N/A,TRUE,"P&amp;I Data"}</definedName>
    <definedName name="_m2" hidden="1">{"PI_Data",#N/A,TRUE,"P&amp;I Data"}</definedName>
    <definedName name="_Order1">255</definedName>
    <definedName name="_Order2">255</definedName>
    <definedName name="_p2" hidden="1">{"PI_Data",#N/A,TRUE,"P&amp;I Data"}</definedName>
    <definedName name="_Regression_Int">1</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2" hidden="1">#REF!</definedName>
    <definedName name="_Sort" localSheetId="33" hidden="1">#REF!</definedName>
    <definedName name="_Sort" localSheetId="34" hidden="1">#REF!</definedName>
    <definedName name="_Sort" localSheetId="35" hidden="1">#REF!</definedName>
    <definedName name="_Sort" localSheetId="36" hidden="1">#REF!</definedName>
    <definedName name="_Sort" localSheetId="37" hidden="1">#REF!</definedName>
    <definedName name="_Sort" localSheetId="38" hidden="1">#REF!</definedName>
    <definedName name="_Sort" localSheetId="39" hidden="1">#REF!</definedName>
    <definedName name="_Sort" localSheetId="40" hidden="1">#REF!</definedName>
    <definedName name="_Sort" localSheetId="41" hidden="1">#REF!</definedName>
    <definedName name="_Sort" localSheetId="6" hidden="1">#REF!</definedName>
    <definedName name="_Sort" localSheetId="5" hidden="1">#REF!</definedName>
    <definedName name="_Sort" localSheetId="7" hidden="1">#REF!</definedName>
    <definedName name="_Sort" localSheetId="11" hidden="1">#REF!</definedName>
    <definedName name="_Sort" localSheetId="12" hidden="1">#REF!</definedName>
    <definedName name="_Sort" localSheetId="13" hidden="1">#REF!</definedName>
    <definedName name="_Sort" localSheetId="15" hidden="1">#REF!</definedName>
    <definedName name="_Sort" localSheetId="16" hidden="1">#REF!</definedName>
    <definedName name="_Sort" localSheetId="17" hidden="1">#REF!</definedName>
    <definedName name="_Sort" localSheetId="18" hidden="1">#REF!</definedName>
    <definedName name="_t2" hidden="1">{"PI_Data",#N/A,TRUE,"P&amp;I Data"}</definedName>
    <definedName name="a" hidden="1">{#N/A,#N/A,FALSE,"CTC Summary - EOY";#N/A,#N/A,FALSE,"CTC Summary - Wtavg"}</definedName>
    <definedName name="ACCELERATED2" hidden="1">{#N/A,#N/A,FALSE,"CTC Summary - EOY";#N/A,#N/A,FALSE,"CTC Summary - Wtavg"}</definedName>
    <definedName name="ACCELLERATED1X" hidden="1">{#N/A,#N/A,FALSE,"CTC Summary - EOY";#N/A,#N/A,FALSE,"CTC Summary - Wtavg"}</definedName>
    <definedName name="again" localSheetId="17"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hidden="1">{#N/A,#N/A,FALSE,"CTC Summary - EOY";#N/A,#N/A,FALSE,"CTC Summary - Wtavg"}</definedName>
    <definedName name="AS2DocOpenMode">"AS2DocumentEdit"</definedName>
    <definedName name="August" hidden="1">{#N/A,#N/A,FALSE,"CTC Summary - EOY";#N/A,#N/A,FALSE,"CTC Summary - Wtavg"}</definedName>
    <definedName name="b" hidden="1">{#N/A,#N/A,FALSE,"CTC Summary - EOY";#N/A,#N/A,FALSE,"CTC Summary - Wtavg"}</definedName>
    <definedName name="CIQWBGuid" hidden="1">"5c45d50c-fbb0-4040-9a33-7ec34da71b69"</definedName>
    <definedName name="copy" localSheetId="17"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7"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7"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7"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hidden="1">{"PI_Data",#N/A,TRUE,"P&amp;I Data"}</definedName>
    <definedName name="d" hidden="1">{#N/A,#N/A,FALSE,"CTC Summary - EOY";#N/A,#N/A,FALSE,"CTC Summary - Wtavg"}</definedName>
    <definedName name="DeleteMe" hidden="1">{#N/A,#N/A,FALSE,"Dist Rev at PR ";#N/A,#N/A,FALSE,"Spec";#N/A,#N/A,FALSE,"Res";#N/A,#N/A,FALSE,"Small L&amp;P";#N/A,#N/A,FALSE,"Medium L&amp;P";#N/A,#N/A,FALSE,"E-19";#N/A,#N/A,FALSE,"E-20";#N/A,#N/A,FALSE,"Strtlts &amp; Standby";#N/A,#N/A,FALSE,"A-RTP";#N/A,#N/A,FALSE,"2003mixeduse"}</definedName>
    <definedName name="e" hidden="1">{#N/A,#N/A,FALSE,"CTC Summary - EOY";#N/A,#N/A,FALSE,"CTC Summary - Wtavg"}</definedName>
    <definedName name="ED">"3W3Y8WU9D4KB8I8XZYLB5WWMT"</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6"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2"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36" hidden="1">{"PI_Data",#N/A,TRUE,"P&amp;I Data"}</definedName>
    <definedName name="ee" localSheetId="37" hidden="1">{"PI_Data",#N/A,TRUE,"P&amp;I Data"}</definedName>
    <definedName name="ee" localSheetId="38" hidden="1">{"PI_Data",#N/A,TRUE,"P&amp;I Data"}</definedName>
    <definedName name="ee" localSheetId="39" hidden="1">{"PI_Data",#N/A,TRUE,"P&amp;I Data"}</definedName>
    <definedName name="ee" localSheetId="40" hidden="1">{"PI_Data",#N/A,TRUE,"P&amp;I Data"}</definedName>
    <definedName name="ee" localSheetId="41" hidden="1">{"PI_Data",#N/A,TRUE,"P&amp;I Data"}</definedName>
    <definedName name="ee" localSheetId="13"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4" hidden="1">{"PI_Data",#N/A,TRUE,"P&amp;I Data"}</definedName>
    <definedName name="ef" localSheetId="25" hidden="1">{"PI_Data",#N/A,TRUE,"P&amp;I Data"}</definedName>
    <definedName name="ef" localSheetId="26" hidden="1">{"PI_Data",#N/A,TRUE,"P&amp;I Data"}</definedName>
    <definedName name="ef" localSheetId="27" hidden="1">{"PI_Data",#N/A,TRUE,"P&amp;I Data"}</definedName>
    <definedName name="ef" localSheetId="29" hidden="1">{"PI_Data",#N/A,TRUE,"P&amp;I Data"}</definedName>
    <definedName name="ef" localSheetId="32"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36" hidden="1">{"PI_Data",#N/A,TRUE,"P&amp;I Data"}</definedName>
    <definedName name="ef" localSheetId="37" hidden="1">{"PI_Data",#N/A,TRUE,"P&amp;I Data"}</definedName>
    <definedName name="ef" localSheetId="38" hidden="1">{"PI_Data",#N/A,TRUE,"P&amp;I Data"}</definedName>
    <definedName name="ef" localSheetId="39" hidden="1">{"PI_Data",#N/A,TRUE,"P&amp;I Data"}</definedName>
    <definedName name="ef" localSheetId="40" hidden="1">{"PI_Data",#N/A,TRUE,"P&amp;I Data"}</definedName>
    <definedName name="ef" localSheetId="41" hidden="1">{"PI_Data",#N/A,TRUE,"P&amp;I Data"}</definedName>
    <definedName name="ef" localSheetId="13"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V__EVCOM_OPTIONS__" hidden="1">8</definedName>
    <definedName name="EV__EXPOPTIONS__" hidden="1">1</definedName>
    <definedName name="EV__LASTREFTIME__" localSheetId="28"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hidden="1">{#N/A,#N/A,FALSE,"CTC Summary - EOY";#N/A,#N/A,FALSE,"CTC Summary - Wtavg"}</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17"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17"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7"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7"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7"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7"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4" hidden="1">{"PI_Data",#N/A,TRUE,"P&amp;I Data"}</definedName>
    <definedName name="L" localSheetId="25" hidden="1">{"PI_Data",#N/A,TRUE,"P&amp;I Data"}</definedName>
    <definedName name="L" localSheetId="26" hidden="1">{"PI_Data",#N/A,TRUE,"P&amp;I Data"}</definedName>
    <definedName name="L" localSheetId="27" hidden="1">{"PI_Data",#N/A,TRUE,"P&amp;I Data"}</definedName>
    <definedName name="L" localSheetId="29" hidden="1">{"PI_Data",#N/A,TRUE,"P&amp;I Data"}</definedName>
    <definedName name="L" localSheetId="32"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36" hidden="1">{"PI_Data",#N/A,TRUE,"P&amp;I Data"}</definedName>
    <definedName name="L" localSheetId="37" hidden="1">{"PI_Data",#N/A,TRUE,"P&amp;I Data"}</definedName>
    <definedName name="L" localSheetId="38" hidden="1">{"PI_Data",#N/A,TRUE,"P&amp;I Data"}</definedName>
    <definedName name="L" localSheetId="39" hidden="1">{"PI_Data",#N/A,TRUE,"P&amp;I Data"}</definedName>
    <definedName name="L" localSheetId="40" hidden="1">{"PI_Data",#N/A,TRUE,"P&amp;I Data"}</definedName>
    <definedName name="L" localSheetId="41" hidden="1">{"PI_Data",#N/A,TRUE,"P&amp;I Data"}</definedName>
    <definedName name="L" localSheetId="13"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2X" hidden="1">{"PI_Data",#N/A,TRUE,"P&amp;I Data"}</definedName>
    <definedName name="left">#REF!</definedName>
    <definedName name="LL"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4" hidden="1">{"PI_Data",#N/A,TRUE,"P&amp;I Data"}</definedName>
    <definedName name="m" localSheetId="25" hidden="1">{"PI_Data",#N/A,TRUE,"P&amp;I Data"}</definedName>
    <definedName name="m" localSheetId="26" hidden="1">{"PI_Data",#N/A,TRUE,"P&amp;I Data"}</definedName>
    <definedName name="m" localSheetId="27" hidden="1">{"PI_Data",#N/A,TRUE,"P&amp;I Data"}</definedName>
    <definedName name="m" localSheetId="29" hidden="1">{"PI_Data",#N/A,TRUE,"P&amp;I Data"}</definedName>
    <definedName name="m" localSheetId="32"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36" hidden="1">{"PI_Data",#N/A,TRUE,"P&amp;I Data"}</definedName>
    <definedName name="m" localSheetId="37" hidden="1">{"PI_Data",#N/A,TRUE,"P&amp;I Data"}</definedName>
    <definedName name="m" localSheetId="38" hidden="1">{"PI_Data",#N/A,TRUE,"P&amp;I Data"}</definedName>
    <definedName name="m" localSheetId="39" hidden="1">{"PI_Data",#N/A,TRUE,"P&amp;I Data"}</definedName>
    <definedName name="m" localSheetId="40" hidden="1">{"PI_Data",#N/A,TRUE,"P&amp;I Data"}</definedName>
    <definedName name="m" localSheetId="41" hidden="1">{"PI_Data",#N/A,TRUE,"P&amp;I Data"}</definedName>
    <definedName name="m" localSheetId="13"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2X" hidden="1">{"PI_Data",#N/A,TRUE,"P&amp;I Data"}</definedName>
    <definedName name="May" hidden="1">{#N/A,#N/A,FALSE,"CTC Summary - EOY";#N/A,#N/A,FALSE,"CTC Summary - Wtavg"}</definedName>
    <definedName name="MEWarning" hidden="1">1</definedName>
    <definedName name="MM" hidden="1">{"PI_Data",#N/A,TRUE,"P&amp;I Data"}</definedName>
    <definedName name="n" hidden="1">{#N/A,#N/A,FALSE,"CTC Summary - EOY";#N/A,#N/A,FALSE,"CTC Summary - Wtavg"}</definedName>
    <definedName name="New" hidden="1">{#N/A,#N/A,FALSE,"CTC Summary - EOY";#N/A,#N/A,FALSE,"CTC Summary - Wtavg"}</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6"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2"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36" hidden="1">{"PI_Data",#N/A,TRUE,"P&amp;I Data"}</definedName>
    <definedName name="p" localSheetId="37" hidden="1">{"PI_Data",#N/A,TRUE,"P&amp;I Data"}</definedName>
    <definedName name="p" localSheetId="38" hidden="1">{"PI_Data",#N/A,TRUE,"P&amp;I Data"}</definedName>
    <definedName name="p" localSheetId="39" hidden="1">{"PI_Data",#N/A,TRUE,"P&amp;I Data"}</definedName>
    <definedName name="p" localSheetId="40" hidden="1">{"PI_Data",#N/A,TRUE,"P&amp;I Data"}</definedName>
    <definedName name="p" localSheetId="41" hidden="1">{"PI_Data",#N/A,TRUE,"P&amp;I Data"}</definedName>
    <definedName name="p" localSheetId="13"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2X" hidden="1">{"PI_Data",#N/A,TRUE,"P&amp;I Data"}</definedName>
    <definedName name="PIX" hidden="1">{"PI_Data",#N/A,TRUE,"P&amp;I Data"}</definedName>
    <definedName name="PP" hidden="1">{"PI_Data",#N/A,TRUE,"P&amp;I Data"}</definedName>
    <definedName name="ppppppppppppppppppppppppppppppp" hidden="1">{"PI_Data",#N/A,TRUE,"P&amp;I Data"}</definedName>
    <definedName name="_xlnm.Print_Area" localSheetId="19">'10-AccDep'!$A$1:$R$136</definedName>
    <definedName name="_xlnm.Print_Area" localSheetId="22">'13-WorkCap'!$A$1:$J$69</definedName>
    <definedName name="_xlnm.Print_Area" localSheetId="23">'14-ADIT'!$A$1:$N$189</definedName>
    <definedName name="_xlnm.Print_Area" localSheetId="24">'15-NUC'!$A$1:$G$20</definedName>
    <definedName name="_xlnm.Print_Area" localSheetId="27">'17-RegAssets-1'!$A$1:$K$73</definedName>
    <definedName name="_xlnm.Print_Area" localSheetId="29">'18-OandM'!$A$1:$Q$47</definedName>
    <definedName name="_xlnm.Print_Area" localSheetId="30">'19-AandG Corrected V1'!$A$1:$O$81</definedName>
    <definedName name="_xlnm.Print_Area" localSheetId="31">'19-AandG Original'!$A$1:$O$81</definedName>
    <definedName name="_xlnm.Print_Area" localSheetId="32">'20-RevenueCredits'!$A$1:$K$70</definedName>
    <definedName name="_xlnm.Print_Area" localSheetId="33">'21-NPandS Corrected V1'!$A$1:$G$43</definedName>
    <definedName name="_xlnm.Print_Area" localSheetId="34">'21-NPandS Orig'!$A$1:$G$43</definedName>
    <definedName name="_xlnm.Print_Area" localSheetId="35">'22-TaxRates'!$A$1:$F$16</definedName>
    <definedName name="_xlnm.Print_Area" localSheetId="36">'23-RetailSGTax'!$A$1:$K$68</definedName>
    <definedName name="_xlnm.Print_Area" localSheetId="37">'24-Allocators'!$A$1:$F$64</definedName>
    <definedName name="_xlnm.Print_Area" localSheetId="38">'25-RFandUFactors'!$A$1:$G$25</definedName>
    <definedName name="_xlnm.Print_Area" localSheetId="39">'26-WholesaleTRRs'!$A$1:$I$59</definedName>
    <definedName name="_xlnm.Print_Area" localSheetId="41">'28-GrossLoad'!$A$1:$F$13</definedName>
    <definedName name="_xlnm.Print_Area" localSheetId="4">'2-ITRR'!$A$1:$G$35</definedName>
    <definedName name="_xlnm.Print_Area" localSheetId="6">'3-True-upTRR Corrected V1'!$A$1:$K$111</definedName>
    <definedName name="_xlnm.Print_Area" localSheetId="5">'3-True-upTRR Corrected V2'!$A$1:$M$111</definedName>
    <definedName name="_xlnm.Print_Area" localSheetId="7">'3-True-upTRR Orig'!$A$1:$I$111</definedName>
    <definedName name="_xlnm.Print_Area" localSheetId="9">'4-ATA Corrected V1'!$A$1:$R$148</definedName>
    <definedName name="_xlnm.Print_Area" localSheetId="8">'4-ATA Corrected V2'!$A$1:$L$162</definedName>
    <definedName name="_xlnm.Print_Area" localSheetId="10">'4-ATA Orig'!$A$1:$L$148</definedName>
    <definedName name="_xlnm.Print_Area" localSheetId="11">'5-CostofCap-1'!$A$1:$G$30</definedName>
    <definedName name="_xlnm.Print_Area" localSheetId="12">'5-CostofCap-2'!$A$1:$Q$57</definedName>
    <definedName name="_xlnm.Print_Area" localSheetId="13">'5-CostofCap-3'!$A$1:$H$25</definedName>
    <definedName name="_xlnm.Print_Area" localSheetId="14">'5-CostofCap-4'!$A$1:$K$47</definedName>
    <definedName name="_xlnm.Print_Area" localSheetId="15">'6-PlantJurisdiction'!$A$1:$J$29</definedName>
    <definedName name="_xlnm.Print_Area" localSheetId="16">'7-PlantInService'!$A$1:$R$136</definedName>
    <definedName name="_xlnm.Print_Area" localSheetId="17">'8-AbandonedPlant'!$A$1:$Q$49</definedName>
    <definedName name="_xlnm.Print_Area" localSheetId="18">'9-PlantAdditions'!$A$1:$J$118</definedName>
    <definedName name="_xlnm.Print_Area" localSheetId="0">'Cover Page'!$A$1:$F$23</definedName>
    <definedName name="Print_Area_MI">#REF!</definedName>
    <definedName name="_xlnm.Print_Titles" localSheetId="19">'10-AccDep'!$1:$2</definedName>
    <definedName name="_xlnm.Print_Titles" localSheetId="20">'11-Depreciation'!$1:$2</definedName>
    <definedName name="_xlnm.Print_Titles" localSheetId="22">'13-WorkCap'!$1:$2</definedName>
    <definedName name="_xlnm.Print_Titles" localSheetId="23">'14-ADIT'!$1:$2</definedName>
    <definedName name="_xlnm.Print_Titles" localSheetId="3">'1-BaseTRR'!$1:$2</definedName>
    <definedName name="_xlnm.Print_Titles" localSheetId="6">'3-True-upTRR Corrected V1'!$1:$2</definedName>
    <definedName name="_xlnm.Print_Titles" localSheetId="5">'3-True-upTRR Corrected V2'!$1:$2</definedName>
    <definedName name="_xlnm.Print_Titles" localSheetId="7">'3-True-upTRR Orig'!$1:$2</definedName>
    <definedName name="_xlnm.Print_Titles" localSheetId="9">'4-ATA Corrected V1'!$1:$2</definedName>
    <definedName name="_xlnm.Print_Titles" localSheetId="8">'4-ATA Corrected V2'!$1:$2</definedName>
    <definedName name="_xlnm.Print_Titles" localSheetId="10">'4-ATA Orig'!$1:$2</definedName>
    <definedName name="_xlnm.Print_Titles" localSheetId="16">'7-PlantInService'!$1:$2</definedName>
    <definedName name="_xlnm.Print_Titles" localSheetId="18">'9-PlantAdditions'!$1:$5</definedName>
    <definedName name="q" hidden="1">#REF!</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6"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2"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36" hidden="1">{"PI_Data",#N/A,TRUE,"P&amp;I Data"}</definedName>
    <definedName name="qwer" localSheetId="37" hidden="1">{"PI_Data",#N/A,TRUE,"P&amp;I Data"}</definedName>
    <definedName name="qwer" localSheetId="38" hidden="1">{"PI_Data",#N/A,TRUE,"P&amp;I Data"}</definedName>
    <definedName name="qwer" localSheetId="39" hidden="1">{"PI_Data",#N/A,TRUE,"P&amp;I Data"}</definedName>
    <definedName name="qwer" localSheetId="40" hidden="1">{"PI_Data",#N/A,TRUE,"P&amp;I Data"}</definedName>
    <definedName name="qwer" localSheetId="41" hidden="1">{"PI_Data",#N/A,TRUE,"P&amp;I Data"}</definedName>
    <definedName name="qwer" localSheetId="13"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1" hidden="1">{"PI_Data",#N/A,TRUE,"P&amp;I Data"}</definedName>
    <definedName name="qwer2"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8" hidden="1">23</definedName>
    <definedName name="SAPBEXrevision">9</definedName>
    <definedName name="SAPBEXsysID">"BPR"</definedName>
    <definedName name="SAPBEXwbID" localSheetId="28" hidden="1">"4HQ4VKTSPDVV7Z9R01RIJVVW7"</definedName>
    <definedName name="SAPBEXwbID">"3XY8MM4SHGBHT4B7F8XEIC63B"</definedName>
    <definedName name="SAPBEXwbID2" localSheetId="28" hidden="1">"43PJT8J5QINLSBNFYJLE3ZU45"</definedName>
    <definedName name="SAPBEXwbID2">"3W3Y8WU9D4KB8I8XZYLB5WWMT"</definedName>
    <definedName name="SAPCrosstab1">#REF!</definedName>
    <definedName name="SAPEXwbID1">"471C2VSNPC28U9XYPMV2AOH11"</definedName>
    <definedName name="sds" hidden="1">{"Summary","1",FALSE,"Summary"}</definedName>
    <definedName name="sdsb" hidden="1">{"Summary","1",FALSE,"Summary"}</definedName>
    <definedName name="sencount">1</definedName>
    <definedName name="solver_lin" hidden="1">0</definedName>
    <definedName name="solver_num" hidden="1">0</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3" hidden="1">#REF!</definedName>
    <definedName name="solver_opt" localSheetId="24" hidden="1">#REF!</definedName>
    <definedName name="solver_opt" localSheetId="25" hidden="1">#REF!</definedName>
    <definedName name="solver_opt" localSheetId="26" hidden="1">#REF!</definedName>
    <definedName name="solver_opt" localSheetId="27" hidden="1">#REF!</definedName>
    <definedName name="solver_opt" localSheetId="29" hidden="1">#REF!</definedName>
    <definedName name="solver_opt" localSheetId="32" hidden="1">#REF!</definedName>
    <definedName name="solver_opt" localSheetId="33" hidden="1">#REF!</definedName>
    <definedName name="solver_opt" localSheetId="34" hidden="1">#REF!</definedName>
    <definedName name="solver_opt" localSheetId="35" hidden="1">#REF!</definedName>
    <definedName name="solver_opt" localSheetId="36" hidden="1">#REF!</definedName>
    <definedName name="solver_opt" localSheetId="37" hidden="1">#REF!</definedName>
    <definedName name="solver_opt" localSheetId="38" hidden="1">#REF!</definedName>
    <definedName name="solver_opt" localSheetId="39" hidden="1">#REF!</definedName>
    <definedName name="solver_opt" localSheetId="40" hidden="1">#REF!</definedName>
    <definedName name="solver_opt" localSheetId="41" hidden="1">#REF!</definedName>
    <definedName name="solver_opt" localSheetId="6" hidden="1">#REF!</definedName>
    <definedName name="solver_opt" localSheetId="5" hidden="1">#REF!</definedName>
    <definedName name="solver_opt" localSheetId="7" hidden="1">#REF!</definedName>
    <definedName name="solver_opt" localSheetId="11" hidden="1">#REF!</definedName>
    <definedName name="solver_opt" localSheetId="12" hidden="1">#REF!</definedName>
    <definedName name="solver_opt" localSheetId="13" hidden="1">#REF!</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typ" hidden="1">1</definedName>
    <definedName name="solver_val" hidden="1">0</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hidden="1">{#N/A,#N/A,FALSE,"CTC Summary - EOY";#N/A,#N/A,FALSE,"CTC Summary - Wtavg"}</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6"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2"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36" hidden="1">{"PI_Data",#N/A,TRUE,"P&amp;I Data"}</definedName>
    <definedName name="T" localSheetId="37" hidden="1">{"PI_Data",#N/A,TRUE,"P&amp;I Data"}</definedName>
    <definedName name="T" localSheetId="38" hidden="1">{"PI_Data",#N/A,TRUE,"P&amp;I Data"}</definedName>
    <definedName name="T" localSheetId="39" hidden="1">{"PI_Data",#N/A,TRUE,"P&amp;I Data"}</definedName>
    <definedName name="T" localSheetId="40" hidden="1">{"PI_Data",#N/A,TRUE,"P&amp;I Data"}</definedName>
    <definedName name="T" localSheetId="41" hidden="1">{"PI_Data",#N/A,TRUE,"P&amp;I Data"}</definedName>
    <definedName name="T" localSheetId="13"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2X"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4" hidden="1">{"PI_Data",#N/A,TRUE,"P&amp;I Data"}</definedName>
    <definedName name="test" localSheetId="25" hidden="1">{"PI_Data",#N/A,TRUE,"P&amp;I Data"}</definedName>
    <definedName name="test" localSheetId="26" hidden="1">{"PI_Data",#N/A,TRUE,"P&amp;I Data"}</definedName>
    <definedName name="test" localSheetId="27" hidden="1">{"PI_Data",#N/A,TRUE,"P&amp;I Data"}</definedName>
    <definedName name="test" localSheetId="29" hidden="1">{"PI_Data",#N/A,TRUE,"P&amp;I Data"}</definedName>
    <definedName name="test" localSheetId="32"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36" hidden="1">{"PI_Data",#N/A,TRUE,"P&amp;I Data"}</definedName>
    <definedName name="test" localSheetId="37" hidden="1">{"PI_Data",#N/A,TRUE,"P&amp;I Data"}</definedName>
    <definedName name="test" localSheetId="38" hidden="1">{"PI_Data",#N/A,TRUE,"P&amp;I Data"}</definedName>
    <definedName name="test" localSheetId="39" hidden="1">{"PI_Data",#N/A,TRUE,"P&amp;I Data"}</definedName>
    <definedName name="test" localSheetId="40" hidden="1">{"PI_Data",#N/A,TRUE,"P&amp;I Data"}</definedName>
    <definedName name="test" localSheetId="41" hidden="1">{"PI_Data",#N/A,TRUE,"P&amp;I Data"}</definedName>
    <definedName name="test" localSheetId="13"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hidden="1">{"PI_Data",#N/A,TRUE,"P&amp;I Data"}</definedName>
    <definedName name="ttttttttttttttttttttttaaaaaaaaaaaa" hidden="1">{"PI_Data",#N/A,TRUE,"P&amp;I Data"}</definedName>
    <definedName name="UCC_500" hidden="1">#REF!</definedName>
    <definedName name="UCC_510" hidden="1">#REF!</definedName>
    <definedName name="UCC_800" hidden="1">#REF!</definedName>
    <definedName name="UCC_801" hidden="1">#REF!</definedName>
    <definedName name="UCC_802" hidden="1">#REF!</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6"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2"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36" hidden="1">{#N/A,#N/A,FALSE,"CTC Summary - EOY";#N/A,#N/A,FALSE,"CTC Summary - Wtavg"}</definedName>
    <definedName name="wrn.Accelerated." localSheetId="37" hidden="1">{#N/A,#N/A,FALSE,"CTC Summary - EOY";#N/A,#N/A,FALSE,"CTC Summary - Wtavg"}</definedName>
    <definedName name="wrn.Accelerated." localSheetId="38" hidden="1">{#N/A,#N/A,FALSE,"CTC Summary - EOY";#N/A,#N/A,FALSE,"CTC Summary - Wtavg"}</definedName>
    <definedName name="wrn.Accelerated." localSheetId="39" hidden="1">{#N/A,#N/A,FALSE,"CTC Summary - EOY";#N/A,#N/A,FALSE,"CTC Summary - Wtavg"}</definedName>
    <definedName name="wrn.Accelerated." localSheetId="40" hidden="1">{#N/A,#N/A,FALSE,"CTC Summary - EOY";#N/A,#N/A,FALSE,"CTC Summary - Wtavg"}</definedName>
    <definedName name="wrn.Accelerated." localSheetId="41" hidden="1">{#N/A,#N/A,FALSE,"CTC Summary - EOY";#N/A,#N/A,FALSE,"CTC Summary - Wtavg"}</definedName>
    <definedName name="wrn.Accelerated." localSheetId="13"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6"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2"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36" hidden="1">{#N/A,#N/A,FALSE,"CTC Summary - EOY";#N/A,#N/A,FALSE,"CTC Summary - Wtavg"}</definedName>
    <definedName name="wrn.accellerated1" localSheetId="37" hidden="1">{#N/A,#N/A,FALSE,"CTC Summary - EOY";#N/A,#N/A,FALSE,"CTC Summary - Wtavg"}</definedName>
    <definedName name="wrn.accellerated1" localSheetId="38" hidden="1">{#N/A,#N/A,FALSE,"CTC Summary - EOY";#N/A,#N/A,FALSE,"CTC Summary - Wtavg"}</definedName>
    <definedName name="wrn.accellerated1" localSheetId="39" hidden="1">{#N/A,#N/A,FALSE,"CTC Summary - EOY";#N/A,#N/A,FALSE,"CTC Summary - Wtavg"}</definedName>
    <definedName name="wrn.accellerated1" localSheetId="40" hidden="1">{#N/A,#N/A,FALSE,"CTC Summary - EOY";#N/A,#N/A,FALSE,"CTC Summary - Wtavg"}</definedName>
    <definedName name="wrn.accellerated1" localSheetId="41" hidden="1">{#N/A,#N/A,FALSE,"CTC Summary - EOY";#N/A,#N/A,FALSE,"CTC Summary - Wtavg"}</definedName>
    <definedName name="wrn.accellerated1" localSheetId="13"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G." localSheetId="17" hidden="1">{#N/A,#N/A,FALSE,"AG-1";#N/A,#N/A,FALSE,"AG-R";#N/A,#N/A,FALSE,"AG-V";#N/A,#N/A,FALSE,"AG-4";#N/A,#N/A,FALSE,"AG-5";#N/A,#N/A,FALSE,"AG-6";#N/A,#N/A,FALSE,"AG-7"}</definedName>
    <definedName name="wrn.AG." hidden="1">{#N/A,#N/A,FALSE,"AG-1";#N/A,#N/A,FALSE,"AG-R";#N/A,#N/A,FALSE,"AG-V";#N/A,#N/A,FALSE,"AG-4";#N/A,#N/A,FALSE,"AG-5";#N/A,#N/A,FALSE,"AG-6";#N/A,#N/A,FALSE,"AG-7"}</definedName>
    <definedName name="wrn.AGa." localSheetId="17"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7"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17"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8" hidden="1">{#N/A,#N/A,FALSE,"Dist Rev at PR ";#N/A,#N/A,FALSE,"Spec";#N/A,#N/A,FALSE,"Res";#N/A,#N/A,FALSE,"Small L&amp;P";#N/A,#N/A,FALSE,"Medium L&amp;P";#N/A,#N/A,FALSE,"E-19";#N/A,#N/A,FALSE,"E-20";#N/A,#N/A,FALSE,"Strtlts &amp; Standby";#N/A,#N/A,FALSE,"A-RTP";#N/A,#N/A,FALSE,"2003mixeduse"}</definedName>
    <definedName name="wrn.Distr." localSheetId="17"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hidden="1">{"JE9DOLLARS",#N/A,FALSE,"JE9"}</definedName>
    <definedName name="wrn.JE9DTHS." hidden="1">{"JE9DTHS",#N/A,FALSE,"JE9"}</definedName>
    <definedName name="wrn.JE9MCF." hidden="1">{"JE9MCF",#N/A,FALSE,"JE9"}</definedName>
    <definedName name="wrn.ND." localSheetId="28" hidden="1">{#N/A,#N/A,FALSE,"ND Rev at Pres Rates";#N/A,#N/A,FALSE,"Res - Unadj sales";#N/A,#N/A,FALSE,"Small L&amp;P";#N/A,#N/A,FALSE,"Medium L&amp;P";#N/A,#N/A,FALSE,"E-19";#N/A,#N/A,FALSE,"E-20";#N/A,#N/A,FALSE,"Strtlts &amp; Standby";#N/A,#N/A,FALSE,"AG";#N/A,#N/A,FALSE,"A-RTP";#N/A,#N/A,FALSE,"Spec"}</definedName>
    <definedName name="wrn.ND." localSheetId="17"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6"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2"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36" hidden="1">{"PI_Data",#N/A,TRUE,"P&amp;I Data"}</definedName>
    <definedName name="wrn.PI_Report." localSheetId="37" hidden="1">{"PI_Data",#N/A,TRUE,"P&amp;I Data"}</definedName>
    <definedName name="wrn.PI_Report." localSheetId="38" hidden="1">{"PI_Data",#N/A,TRUE,"P&amp;I Data"}</definedName>
    <definedName name="wrn.PI_Report." localSheetId="39" hidden="1">{"PI_Data",#N/A,TRUE,"P&amp;I Data"}</definedName>
    <definedName name="wrn.PI_Report." localSheetId="40" hidden="1">{"PI_Data",#N/A,TRUE,"P&amp;I Data"}</definedName>
    <definedName name="wrn.PI_Report." localSheetId="41" hidden="1">{"PI_Data",#N/A,TRUE,"P&amp;I Data"}</definedName>
    <definedName name="wrn.PI_Report." localSheetId="13"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6"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36" hidden="1">{#N/A,#N/A,FALSE,"Transmission Revenue Allocation";"Marginal Cost Revenues",#N/A,FALSE,"MC Revenues- 01 sales, 96 MC's";#N/A,#N/A,FALSE,"1996 marginal costs -ECAC Adopt"}</definedName>
    <definedName name="wrn.printout." localSheetId="37" hidden="1">{#N/A,#N/A,FALSE,"Transmission Revenue Allocation";"Marginal Cost Revenues",#N/A,FALSE,"MC Revenues- 01 sales, 96 MC's";#N/A,#N/A,FALSE,"1996 marginal costs -ECAC Adopt"}</definedName>
    <definedName name="wrn.printout." localSheetId="38" hidden="1">{#N/A,#N/A,FALSE,"Transmission Revenue Allocation";"Marginal Cost Revenues",#N/A,FALSE,"MC Revenues- 01 sales, 96 MC's";#N/A,#N/A,FALSE,"1996 marginal costs -ECAC Adopt"}</definedName>
    <definedName name="wrn.printout." localSheetId="39" hidden="1">{#N/A,#N/A,FALSE,"Transmission Revenue Allocation";"Marginal Cost Revenues",#N/A,FALSE,"MC Revenues- 01 sales, 96 MC's";#N/A,#N/A,FALSE,"1996 marginal costs -ECAC Adopt"}</definedName>
    <definedName name="wrn.printout." localSheetId="40" hidden="1">{#N/A,#N/A,FALSE,"Transmission Revenue Allocation";"Marginal Cost Revenues",#N/A,FALSE,"MC Revenues- 01 sales, 96 MC's";#N/A,#N/A,FALSE,"1996 marginal costs -ECAC Adopt"}</definedName>
    <definedName name="wrn.printout." localSheetId="41"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17"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8"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8" hidden="1">{#N/A,#N/A,FALSE,"ND Rev at Pres Rates";#N/A,#N/A,FALSE,"Res - Unadj";#N/A,#N/A,FALSE,"Small L&amp;P";#N/A,#N/A,FALSE,"Medium L&amp;P";#N/A,#N/A,FALSE,"E-19";#N/A,#N/A,FALSE,"E-20";#N/A,#N/A,FALSE,"A-RTP";#N/A,#N/A,FALSE,"Strtlts &amp; Standby";#N/A,#N/A,FALSE,"AG";#N/A,#N/A,FALSE,"2001mixeduse"}</definedName>
    <definedName name="wrn.schedules." localSheetId="17"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hidden="1">{"Summary","1",FALSE,"Summary"}</definedName>
    <definedName name="x" hidden="1">{#N/A,#N/A,FALSE,"CTC Summary - EOY";#N/A,#N/A,FALSE,"CTC Summary - Wtavg"}</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hidden="1">{#N/A,#N/A,FALSE,"Res - Unadj";#N/A,#N/A,FALSE,"Small L&amp;P";#N/A,#N/A,FALSE,"Medium L&amp;P";#N/A,#N/A,FALSE,"E-19";#N/A,#N/A,FALSE,"E-20";#N/A,#N/A,FALSE,"A-RTP";#N/A,#N/A,FALSE,"Strtlts &amp; Standby";#N/A,#N/A,FALSE,"AG";#N/A,#N/A,FALSE,"2001mixeduse"}</definedName>
    <definedName name="xl" hidden="1">{"Summary","1",FALSE,"Summary"}</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hidden="1">{"PI_Data",#N/A,TRUE,"P&amp;I Data"}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4" i="99" l="1"/>
  <c r="F51" i="99"/>
  <c r="E51" i="99"/>
  <c r="D51" i="99"/>
  <c r="H49" i="99"/>
  <c r="I49" i="99" s="1"/>
  <c r="G49" i="99"/>
  <c r="H47" i="99"/>
  <c r="I47" i="99" s="1"/>
  <c r="G47" i="99"/>
  <c r="H45" i="99"/>
  <c r="I45" i="99" s="1"/>
  <c r="G45" i="99"/>
  <c r="G51" i="99" s="1"/>
  <c r="L42" i="99"/>
  <c r="F42" i="99"/>
  <c r="F40" i="99"/>
  <c r="E40" i="99"/>
  <c r="D40" i="99"/>
  <c r="H38" i="99"/>
  <c r="I38" i="99" s="1"/>
  <c r="G38" i="99"/>
  <c r="H36" i="99"/>
  <c r="I36" i="99" s="1"/>
  <c r="G36" i="99"/>
  <c r="I34" i="99"/>
  <c r="I40" i="99" s="1"/>
  <c r="H34" i="99"/>
  <c r="G34" i="99"/>
  <c r="G40" i="99" s="1"/>
  <c r="F32" i="99"/>
  <c r="E32" i="99"/>
  <c r="D32" i="99"/>
  <c r="H30" i="99"/>
  <c r="I30" i="99" s="1"/>
  <c r="G30" i="99"/>
  <c r="H28" i="99"/>
  <c r="I28" i="99" s="1"/>
  <c r="I32" i="99" s="1"/>
  <c r="G28" i="99"/>
  <c r="G32" i="99" s="1"/>
  <c r="H26" i="99"/>
  <c r="I26" i="99" s="1"/>
  <c r="G26" i="99"/>
  <c r="F24" i="99"/>
  <c r="F54" i="99" s="1"/>
  <c r="E24" i="99"/>
  <c r="E42" i="99" s="1"/>
  <c r="D24" i="99"/>
  <c r="D42" i="99" s="1"/>
  <c r="H22" i="99"/>
  <c r="I22" i="99" s="1"/>
  <c r="G22" i="99"/>
  <c r="I20" i="99"/>
  <c r="G20" i="99"/>
  <c r="I18" i="99"/>
  <c r="G18" i="99"/>
  <c r="H16" i="99"/>
  <c r="I16" i="99" s="1"/>
  <c r="G16" i="99"/>
  <c r="G24" i="99" s="1"/>
  <c r="A16" i="99"/>
  <c r="A18" i="99" s="1"/>
  <c r="N14" i="99"/>
  <c r="I14" i="99"/>
  <c r="H14" i="99"/>
  <c r="G14" i="99"/>
  <c r="A14" i="99"/>
  <c r="N12" i="99"/>
  <c r="I12" i="99"/>
  <c r="G12" i="99"/>
  <c r="N10" i="99"/>
  <c r="G9" i="99"/>
  <c r="F9" i="99"/>
  <c r="H47" i="98"/>
  <c r="L45" i="98"/>
  <c r="L43" i="98"/>
  <c r="L41" i="98"/>
  <c r="L47" i="98" s="1"/>
  <c r="H39" i="98"/>
  <c r="L37" i="98"/>
  <c r="L35" i="98"/>
  <c r="L33" i="98"/>
  <c r="L29" i="98"/>
  <c r="H29" i="98"/>
  <c r="L27" i="98"/>
  <c r="H27" i="98"/>
  <c r="L25" i="98"/>
  <c r="H25" i="98"/>
  <c r="H23" i="98"/>
  <c r="L21" i="98"/>
  <c r="L19" i="98"/>
  <c r="L17" i="98"/>
  <c r="L15" i="98"/>
  <c r="L13" i="98"/>
  <c r="H13" i="98"/>
  <c r="A13" i="98"/>
  <c r="N13" i="98" s="1"/>
  <c r="N11" i="98"/>
  <c r="L11" i="98"/>
  <c r="L49" i="98" s="1"/>
  <c r="H11" i="98"/>
  <c r="N9" i="98"/>
  <c r="A12" i="94"/>
  <c r="A11" i="94"/>
  <c r="F11" i="94" s="1"/>
  <c r="F10" i="94"/>
  <c r="D10" i="94"/>
  <c r="C10" i="94"/>
  <c r="C12" i="94" s="1"/>
  <c r="C6" i="93" s="1"/>
  <c r="C11" i="93" s="1"/>
  <c r="A10" i="94"/>
  <c r="D12" i="94" s="1"/>
  <c r="A9" i="94"/>
  <c r="F9" i="94" s="1"/>
  <c r="F8" i="94"/>
  <c r="E1" i="94"/>
  <c r="D12" i="93"/>
  <c r="A12" i="93"/>
  <c r="F12" i="93" s="1"/>
  <c r="F11" i="93"/>
  <c r="A11" i="93"/>
  <c r="F10" i="93"/>
  <c r="A7" i="93"/>
  <c r="F7" i="93" s="1"/>
  <c r="A6" i="93"/>
  <c r="D7" i="93" s="1"/>
  <c r="F5" i="93"/>
  <c r="F3" i="93"/>
  <c r="E1" i="93"/>
  <c r="F56" i="92"/>
  <c r="A38" i="92"/>
  <c r="A39" i="92" s="1"/>
  <c r="I37" i="92"/>
  <c r="A37" i="92"/>
  <c r="I36" i="92"/>
  <c r="G19" i="92"/>
  <c r="A13" i="92"/>
  <c r="A14" i="92" s="1"/>
  <c r="I12" i="92"/>
  <c r="A12" i="92"/>
  <c r="I11" i="92"/>
  <c r="I6" i="92"/>
  <c r="I5" i="92"/>
  <c r="H1" i="92"/>
  <c r="E23" i="91"/>
  <c r="A23" i="91"/>
  <c r="G23" i="91" s="1"/>
  <c r="G22" i="91"/>
  <c r="E22" i="91"/>
  <c r="A22" i="91"/>
  <c r="G21" i="91"/>
  <c r="E21" i="91"/>
  <c r="A18" i="91"/>
  <c r="G18" i="91" s="1"/>
  <c r="G17" i="91"/>
  <c r="G13" i="91"/>
  <c r="A13" i="91"/>
  <c r="G12" i="91"/>
  <c r="A8" i="91"/>
  <c r="G8" i="91" s="1"/>
  <c r="G7" i="91"/>
  <c r="G4" i="91"/>
  <c r="C63" i="90"/>
  <c r="C17" i="90"/>
  <c r="C15" i="90"/>
  <c r="C20" i="90" s="1"/>
  <c r="D13" i="90"/>
  <c r="C13" i="90"/>
  <c r="A13" i="90"/>
  <c r="F12" i="90"/>
  <c r="A12" i="90"/>
  <c r="C10" i="90"/>
  <c r="A10" i="90"/>
  <c r="F10" i="90" s="1"/>
  <c r="A9" i="90"/>
  <c r="F9" i="90" s="1"/>
  <c r="F8" i="90"/>
  <c r="A8" i="90"/>
  <c r="F7" i="90"/>
  <c r="A7" i="90"/>
  <c r="F6" i="90"/>
  <c r="F4" i="90"/>
  <c r="E59" i="89"/>
  <c r="D58" i="89"/>
  <c r="G57" i="89"/>
  <c r="D57" i="89"/>
  <c r="G56" i="89"/>
  <c r="D56" i="89"/>
  <c r="D55" i="89"/>
  <c r="D54" i="89"/>
  <c r="D53" i="89"/>
  <c r="D52" i="89"/>
  <c r="D51" i="89"/>
  <c r="D50" i="89"/>
  <c r="D49" i="89"/>
  <c r="A49" i="89"/>
  <c r="D48" i="89"/>
  <c r="A48" i="89"/>
  <c r="K48" i="89" s="1"/>
  <c r="D47" i="89"/>
  <c r="A47" i="89"/>
  <c r="K47" i="89" s="1"/>
  <c r="K46" i="89"/>
  <c r="H46" i="89"/>
  <c r="E46" i="89"/>
  <c r="K45" i="89"/>
  <c r="A32" i="89"/>
  <c r="K31" i="89"/>
  <c r="K29" i="89"/>
  <c r="D24" i="89"/>
  <c r="D22" i="89"/>
  <c r="D15" i="89"/>
  <c r="E24" i="89" s="1"/>
  <c r="E14" i="89"/>
  <c r="D14" i="89"/>
  <c r="A14" i="89"/>
  <c r="K13" i="89"/>
  <c r="E13" i="89"/>
  <c r="E15" i="89" s="1"/>
  <c r="D13" i="89"/>
  <c r="K12" i="89"/>
  <c r="A8" i="89"/>
  <c r="K7" i="89"/>
  <c r="K6" i="89"/>
  <c r="C15" i="88"/>
  <c r="C16" i="88" s="1"/>
  <c r="A15" i="88"/>
  <c r="F15" i="88" s="1"/>
  <c r="F14" i="88"/>
  <c r="A14" i="88"/>
  <c r="F13" i="88"/>
  <c r="F12" i="88"/>
  <c r="C8" i="88"/>
  <c r="C9" i="88" s="1"/>
  <c r="F7" i="88"/>
  <c r="A7" i="88"/>
  <c r="F6" i="88"/>
  <c r="F5" i="88"/>
  <c r="A38" i="87"/>
  <c r="G38" i="87" s="1"/>
  <c r="D37" i="87"/>
  <c r="A37" i="87"/>
  <c r="G37" i="87" s="1"/>
  <c r="A36" i="87"/>
  <c r="G36" i="87" s="1"/>
  <c r="G35" i="87"/>
  <c r="G34" i="87"/>
  <c r="A28" i="87"/>
  <c r="G27" i="87"/>
  <c r="D27" i="87"/>
  <c r="G26" i="87"/>
  <c r="G23" i="87"/>
  <c r="E22" i="87"/>
  <c r="F22" i="87" s="1"/>
  <c r="E21" i="87"/>
  <c r="F21" i="87" s="1"/>
  <c r="E20" i="87"/>
  <c r="F20" i="87" s="1"/>
  <c r="A20" i="87"/>
  <c r="G20" i="87" s="1"/>
  <c r="E19" i="87"/>
  <c r="F19" i="87" s="1"/>
  <c r="G18" i="87"/>
  <c r="E18" i="87"/>
  <c r="A18" i="87"/>
  <c r="A19" i="87" s="1"/>
  <c r="G19" i="87" s="1"/>
  <c r="G17" i="87"/>
  <c r="D17" i="87"/>
  <c r="C17" i="87"/>
  <c r="C10" i="87"/>
  <c r="A9" i="87"/>
  <c r="G9" i="87" s="1"/>
  <c r="G8" i="87"/>
  <c r="A8" i="87"/>
  <c r="D10" i="87" s="1"/>
  <c r="G6" i="87"/>
  <c r="G5" i="87"/>
  <c r="H61" i="86"/>
  <c r="H60" i="86"/>
  <c r="H59" i="86"/>
  <c r="H58" i="86"/>
  <c r="H57" i="86"/>
  <c r="H56" i="86"/>
  <c r="H55" i="86"/>
  <c r="H54" i="86"/>
  <c r="H53" i="86"/>
  <c r="H52" i="86"/>
  <c r="H51" i="86"/>
  <c r="H50" i="86"/>
  <c r="H49" i="86"/>
  <c r="H48" i="86"/>
  <c r="H47" i="86"/>
  <c r="H46" i="86"/>
  <c r="A46" i="86"/>
  <c r="H45" i="86"/>
  <c r="A45" i="86"/>
  <c r="K45" i="86" s="1"/>
  <c r="K44" i="86"/>
  <c r="I44" i="86"/>
  <c r="G44" i="86"/>
  <c r="F44" i="86"/>
  <c r="H44" i="86" s="1"/>
  <c r="E44" i="86"/>
  <c r="A44" i="86"/>
  <c r="K43" i="86"/>
  <c r="H41" i="86"/>
  <c r="H40" i="86"/>
  <c r="H39" i="86"/>
  <c r="H38" i="86"/>
  <c r="H37" i="86"/>
  <c r="A37" i="86"/>
  <c r="K36" i="86"/>
  <c r="I36" i="86"/>
  <c r="G36" i="86"/>
  <c r="F36" i="86"/>
  <c r="H36" i="86" s="1"/>
  <c r="E36" i="86"/>
  <c r="A36" i="86"/>
  <c r="K35" i="86"/>
  <c r="H33" i="86"/>
  <c r="H32" i="86"/>
  <c r="H31" i="86"/>
  <c r="A31" i="86"/>
  <c r="I30" i="86"/>
  <c r="G30" i="86"/>
  <c r="F30" i="86"/>
  <c r="H30" i="86" s="1"/>
  <c r="E30" i="86"/>
  <c r="A30" i="86"/>
  <c r="K30" i="86" s="1"/>
  <c r="K29" i="86"/>
  <c r="H27" i="86"/>
  <c r="H26" i="86"/>
  <c r="H25" i="86"/>
  <c r="H24" i="86"/>
  <c r="H23" i="86"/>
  <c r="H22" i="86"/>
  <c r="H21" i="86"/>
  <c r="I20" i="86"/>
  <c r="H20" i="86"/>
  <c r="H10" i="86" s="1"/>
  <c r="G20" i="86"/>
  <c r="G10" i="86" s="1"/>
  <c r="E45" i="92" s="1"/>
  <c r="F20" i="86"/>
  <c r="E20" i="86"/>
  <c r="A20" i="86"/>
  <c r="K19" i="86"/>
  <c r="H17" i="86"/>
  <c r="H16" i="86"/>
  <c r="H15" i="86"/>
  <c r="I14" i="86"/>
  <c r="I10" i="86" s="1"/>
  <c r="C6" i="87" s="1"/>
  <c r="H14" i="86"/>
  <c r="G14" i="86"/>
  <c r="F14" i="86"/>
  <c r="F10" i="86" s="1"/>
  <c r="D45" i="92" s="1"/>
  <c r="F45" i="92" s="1"/>
  <c r="E14" i="86"/>
  <c r="A14" i="86"/>
  <c r="K13" i="86"/>
  <c r="K10" i="86"/>
  <c r="E10" i="86"/>
  <c r="K9" i="86"/>
  <c r="M65" i="85"/>
  <c r="L65" i="85"/>
  <c r="K65" i="85"/>
  <c r="J65" i="85"/>
  <c r="I65" i="85"/>
  <c r="H65" i="85"/>
  <c r="G65" i="85"/>
  <c r="F65" i="85"/>
  <c r="E64" i="85"/>
  <c r="E63" i="85"/>
  <c r="E62" i="85"/>
  <c r="E61" i="85"/>
  <c r="E60" i="85"/>
  <c r="E59" i="85"/>
  <c r="E58" i="85"/>
  <c r="E57" i="85"/>
  <c r="E56" i="85"/>
  <c r="E55" i="85"/>
  <c r="E54" i="85"/>
  <c r="E65" i="85" s="1"/>
  <c r="E53" i="85"/>
  <c r="E52" i="85"/>
  <c r="E51" i="85"/>
  <c r="A50" i="85"/>
  <c r="A51" i="85" s="1"/>
  <c r="O49" i="85"/>
  <c r="A49" i="85"/>
  <c r="O48" i="85"/>
  <c r="K45" i="85"/>
  <c r="F40" i="85"/>
  <c r="K31" i="85"/>
  <c r="K29" i="85"/>
  <c r="A26" i="85"/>
  <c r="A27" i="85" s="1"/>
  <c r="O27" i="85" s="1"/>
  <c r="O25" i="85"/>
  <c r="J23" i="85"/>
  <c r="I23" i="85"/>
  <c r="G23" i="85"/>
  <c r="E23" i="85"/>
  <c r="I22" i="85"/>
  <c r="K22" i="85" s="1"/>
  <c r="K21" i="85"/>
  <c r="I21" i="85"/>
  <c r="K20" i="85"/>
  <c r="I20" i="85"/>
  <c r="I19" i="85"/>
  <c r="K19" i="85" s="1"/>
  <c r="K18" i="85"/>
  <c r="I18" i="85"/>
  <c r="K17" i="85"/>
  <c r="I17" i="85"/>
  <c r="I16" i="85"/>
  <c r="K16" i="85" s="1"/>
  <c r="K15" i="85"/>
  <c r="I15" i="85"/>
  <c r="K14" i="85"/>
  <c r="I14" i="85"/>
  <c r="K13" i="85"/>
  <c r="F28" i="85" s="1"/>
  <c r="I13" i="85"/>
  <c r="K12" i="85"/>
  <c r="I12" i="85"/>
  <c r="K11" i="85"/>
  <c r="I11" i="85"/>
  <c r="I10" i="85"/>
  <c r="K10" i="85" s="1"/>
  <c r="K9" i="85"/>
  <c r="I9" i="85"/>
  <c r="A8" i="85"/>
  <c r="O6" i="85"/>
  <c r="A6" i="85"/>
  <c r="A7" i="85" s="1"/>
  <c r="O7" i="85" s="1"/>
  <c r="O5" i="85"/>
  <c r="L37" i="84"/>
  <c r="K37" i="84"/>
  <c r="J37" i="84"/>
  <c r="I37" i="84"/>
  <c r="F37" i="84"/>
  <c r="K36" i="84"/>
  <c r="J36" i="84"/>
  <c r="I36" i="84"/>
  <c r="F36" i="84"/>
  <c r="K35" i="84"/>
  <c r="J35" i="84"/>
  <c r="L35" i="84" s="1"/>
  <c r="I35" i="84"/>
  <c r="F35" i="84"/>
  <c r="L34" i="84"/>
  <c r="K34" i="84"/>
  <c r="J34" i="84"/>
  <c r="I34" i="84"/>
  <c r="F34" i="84"/>
  <c r="B34" i="84"/>
  <c r="L33" i="84"/>
  <c r="K33" i="84"/>
  <c r="J33" i="84"/>
  <c r="I33" i="84"/>
  <c r="F33" i="84"/>
  <c r="K32" i="84"/>
  <c r="J32" i="84"/>
  <c r="I32" i="84"/>
  <c r="F32" i="84"/>
  <c r="K31" i="84"/>
  <c r="J31" i="84"/>
  <c r="I31" i="84"/>
  <c r="F31" i="84"/>
  <c r="K30" i="84"/>
  <c r="J30" i="84"/>
  <c r="I30" i="84"/>
  <c r="F30" i="84"/>
  <c r="K29" i="84"/>
  <c r="J29" i="84"/>
  <c r="I29" i="84"/>
  <c r="F29" i="84"/>
  <c r="B29" i="84"/>
  <c r="B30" i="84" s="1"/>
  <c r="B31" i="84" s="1"/>
  <c r="B32" i="84" s="1"/>
  <c r="L28" i="84"/>
  <c r="K28" i="84"/>
  <c r="J28" i="84"/>
  <c r="I28" i="84"/>
  <c r="F28" i="84"/>
  <c r="K27" i="84"/>
  <c r="J27" i="84"/>
  <c r="I27" i="84"/>
  <c r="F27" i="84"/>
  <c r="K26" i="84"/>
  <c r="J26" i="84"/>
  <c r="I26" i="84"/>
  <c r="F26" i="84"/>
  <c r="K25" i="84"/>
  <c r="J25" i="84"/>
  <c r="I25" i="84"/>
  <c r="F25" i="84"/>
  <c r="O24" i="84"/>
  <c r="N24" i="84"/>
  <c r="P24" i="84" s="1"/>
  <c r="L24" i="84"/>
  <c r="K24" i="84"/>
  <c r="J24" i="84"/>
  <c r="I24" i="84"/>
  <c r="F24" i="84"/>
  <c r="L23" i="84"/>
  <c r="K23" i="84"/>
  <c r="J23" i="84"/>
  <c r="I23" i="84"/>
  <c r="F23" i="84"/>
  <c r="K22" i="84"/>
  <c r="J22" i="84"/>
  <c r="L22" i="84" s="1"/>
  <c r="I22" i="84"/>
  <c r="F22" i="84"/>
  <c r="K21" i="84"/>
  <c r="J21" i="84"/>
  <c r="L21" i="84" s="1"/>
  <c r="I21" i="84"/>
  <c r="F21" i="84"/>
  <c r="L20" i="84"/>
  <c r="K20" i="84"/>
  <c r="J20" i="84"/>
  <c r="I20" i="84"/>
  <c r="F20" i="84"/>
  <c r="K19" i="84"/>
  <c r="J19" i="84"/>
  <c r="I19" i="84"/>
  <c r="F19" i="84"/>
  <c r="L18" i="84"/>
  <c r="K18" i="84"/>
  <c r="J18" i="84"/>
  <c r="I18" i="84"/>
  <c r="F18" i="84"/>
  <c r="L17" i="84"/>
  <c r="K17" i="84"/>
  <c r="J17" i="84"/>
  <c r="I17" i="84"/>
  <c r="F17" i="84"/>
  <c r="K16" i="84"/>
  <c r="J16" i="84"/>
  <c r="I16" i="84"/>
  <c r="F16" i="84"/>
  <c r="K15" i="84"/>
  <c r="J15" i="84"/>
  <c r="I15" i="84"/>
  <c r="F15" i="84"/>
  <c r="K14" i="84"/>
  <c r="J14" i="84"/>
  <c r="I14" i="84"/>
  <c r="F14" i="84"/>
  <c r="K13" i="84"/>
  <c r="J13" i="84"/>
  <c r="L13" i="84" s="1"/>
  <c r="I13" i="84"/>
  <c r="F13" i="84"/>
  <c r="L12" i="84"/>
  <c r="K12" i="84"/>
  <c r="J12" i="84"/>
  <c r="I12" i="84"/>
  <c r="F12" i="84"/>
  <c r="L11" i="84"/>
  <c r="K11" i="84"/>
  <c r="J11" i="84"/>
  <c r="I11" i="84"/>
  <c r="F11" i="84"/>
  <c r="A11" i="84"/>
  <c r="Q10" i="84"/>
  <c r="H10" i="84"/>
  <c r="G10" i="84"/>
  <c r="E10" i="84"/>
  <c r="D10" i="84"/>
  <c r="AV129" i="103"/>
  <c r="AJ129" i="103"/>
  <c r="AX129" i="103" s="1"/>
  <c r="AF129" i="103"/>
  <c r="P129" i="103"/>
  <c r="AH129" i="103" s="1"/>
  <c r="AJ128" i="103"/>
  <c r="AX128" i="103" s="1"/>
  <c r="AF128" i="103"/>
  <c r="P128" i="103"/>
  <c r="AJ127" i="103"/>
  <c r="AX127" i="103" s="1"/>
  <c r="AF127" i="103"/>
  <c r="T127" i="103"/>
  <c r="P127" i="103"/>
  <c r="AH127" i="103" s="1"/>
  <c r="AV127" i="103" s="1"/>
  <c r="AV126" i="103"/>
  <c r="AJ126" i="103"/>
  <c r="AX126" i="103" s="1"/>
  <c r="AF126" i="103"/>
  <c r="T126" i="103"/>
  <c r="P126" i="103"/>
  <c r="AH126" i="103" s="1"/>
  <c r="AJ125" i="103"/>
  <c r="AX125" i="103" s="1"/>
  <c r="AX124" i="103" s="1"/>
  <c r="AF125" i="103"/>
  <c r="P125" i="103"/>
  <c r="A125" i="103"/>
  <c r="A126" i="103" s="1"/>
  <c r="BC124" i="103"/>
  <c r="AR124" i="103"/>
  <c r="AP124" i="103"/>
  <c r="AN124" i="103"/>
  <c r="AJ124" i="103"/>
  <c r="AB124" i="103"/>
  <c r="Z124" i="103"/>
  <c r="X124" i="103"/>
  <c r="R124" i="103"/>
  <c r="N124" i="103"/>
  <c r="J124" i="103"/>
  <c r="H124" i="103"/>
  <c r="F124" i="103"/>
  <c r="AX122" i="103"/>
  <c r="AV122" i="103"/>
  <c r="AT122" i="103"/>
  <c r="AJ122" i="103"/>
  <c r="AH122" i="103"/>
  <c r="AF122" i="103"/>
  <c r="AL122" i="103" s="1"/>
  <c r="AV121" i="103"/>
  <c r="AT121" i="103"/>
  <c r="AZ121" i="103" s="1"/>
  <c r="AL121" i="103"/>
  <c r="AJ121" i="103"/>
  <c r="AX121" i="103" s="1"/>
  <c r="AH121" i="103"/>
  <c r="AF121" i="103"/>
  <c r="T121" i="103"/>
  <c r="AJ120" i="103"/>
  <c r="AX120" i="103" s="1"/>
  <c r="AH120" i="103"/>
  <c r="AV120" i="103" s="1"/>
  <c r="AF120" i="103"/>
  <c r="AT120" i="103" s="1"/>
  <c r="AZ120" i="103" s="1"/>
  <c r="T120" i="103"/>
  <c r="AJ119" i="103"/>
  <c r="AX119" i="103" s="1"/>
  <c r="AH119" i="103"/>
  <c r="AV119" i="103" s="1"/>
  <c r="AF119" i="103"/>
  <c r="AT119" i="103" s="1"/>
  <c r="AZ119" i="103" s="1"/>
  <c r="T119" i="103"/>
  <c r="AJ118" i="103"/>
  <c r="AX118" i="103" s="1"/>
  <c r="AH118" i="103"/>
  <c r="AV118" i="103" s="1"/>
  <c r="N118" i="103"/>
  <c r="AJ117" i="103"/>
  <c r="AX117" i="103" s="1"/>
  <c r="AH117" i="103"/>
  <c r="AV117" i="103" s="1"/>
  <c r="N117" i="103"/>
  <c r="A117" i="103"/>
  <c r="A118" i="103" s="1"/>
  <c r="BC116" i="103"/>
  <c r="AR116" i="103"/>
  <c r="AP116" i="103"/>
  <c r="AP16" i="103" s="1"/>
  <c r="AN116" i="103"/>
  <c r="AN16" i="103" s="1"/>
  <c r="AB116" i="103"/>
  <c r="Z116" i="103"/>
  <c r="X116" i="103"/>
  <c r="R116" i="103"/>
  <c r="P116" i="103"/>
  <c r="J116" i="103"/>
  <c r="H116" i="103"/>
  <c r="F116" i="103"/>
  <c r="F16" i="103" s="1"/>
  <c r="AV113" i="103"/>
  <c r="AH113" i="103"/>
  <c r="AF113" i="103"/>
  <c r="R113" i="103"/>
  <c r="AV112" i="103"/>
  <c r="AH112" i="103"/>
  <c r="AF112" i="103"/>
  <c r="T112" i="103"/>
  <c r="R112" i="103"/>
  <c r="AJ112" i="103" s="1"/>
  <c r="AX112" i="103" s="1"/>
  <c r="AV111" i="103"/>
  <c r="AH111" i="103"/>
  <c r="AF111" i="103"/>
  <c r="R111" i="103"/>
  <c r="AJ111" i="103" s="1"/>
  <c r="AX111" i="103" s="1"/>
  <c r="AV110" i="103"/>
  <c r="AH110" i="103"/>
  <c r="AF110" i="103"/>
  <c r="T110" i="103"/>
  <c r="R110" i="103"/>
  <c r="AJ110" i="103" s="1"/>
  <c r="AX110" i="103" s="1"/>
  <c r="AV109" i="103"/>
  <c r="AH109" i="103"/>
  <c r="AF109" i="103"/>
  <c r="R109" i="103"/>
  <c r="AJ109" i="103" s="1"/>
  <c r="AX109" i="103" s="1"/>
  <c r="BC108" i="103"/>
  <c r="AV108" i="103"/>
  <c r="AH108" i="103"/>
  <c r="AF108" i="103"/>
  <c r="R108" i="103"/>
  <c r="AJ108" i="103" s="1"/>
  <c r="AX108" i="103" s="1"/>
  <c r="A108" i="103"/>
  <c r="A109" i="103" s="1"/>
  <c r="AV107" i="103"/>
  <c r="AH107" i="103"/>
  <c r="AF107" i="103"/>
  <c r="T107" i="103"/>
  <c r="R107" i="103"/>
  <c r="AJ107" i="103" s="1"/>
  <c r="AX107" i="103" s="1"/>
  <c r="A107" i="103"/>
  <c r="BC107" i="103" s="1"/>
  <c r="BC106" i="103"/>
  <c r="AV106" i="103"/>
  <c r="AH106" i="103"/>
  <c r="AF106" i="103"/>
  <c r="T106" i="103"/>
  <c r="R106" i="103"/>
  <c r="AJ106" i="103" s="1"/>
  <c r="AX106" i="103" s="1"/>
  <c r="BC105" i="103"/>
  <c r="AT105" i="103"/>
  <c r="AH105" i="103"/>
  <c r="AV105" i="103" s="1"/>
  <c r="AF105" i="103"/>
  <c r="AL105" i="103" s="1"/>
  <c r="T105" i="103"/>
  <c r="R105" i="103"/>
  <c r="AJ105" i="103" s="1"/>
  <c r="AX105" i="103" s="1"/>
  <c r="BC104" i="103"/>
  <c r="AH104" i="103"/>
  <c r="AV104" i="103" s="1"/>
  <c r="AF104" i="103"/>
  <c r="AT104" i="103" s="1"/>
  <c r="R104" i="103"/>
  <c r="AX103" i="103"/>
  <c r="AV103" i="103"/>
  <c r="AJ103" i="103"/>
  <c r="AH103" i="103"/>
  <c r="AF103" i="103"/>
  <c r="AT103" i="103" s="1"/>
  <c r="R103" i="103"/>
  <c r="A103" i="103"/>
  <c r="BC103" i="103" s="1"/>
  <c r="BC102" i="103"/>
  <c r="AR102" i="103"/>
  <c r="AP102" i="103"/>
  <c r="AP15" i="103" s="1"/>
  <c r="AN102" i="103"/>
  <c r="AH102" i="103"/>
  <c r="AB102" i="103"/>
  <c r="Z102" i="103"/>
  <c r="X102" i="103"/>
  <c r="P102" i="103"/>
  <c r="N102" i="103"/>
  <c r="J102" i="103"/>
  <c r="H102" i="103"/>
  <c r="F102" i="103"/>
  <c r="AZ99" i="103"/>
  <c r="AX99" i="103"/>
  <c r="AL99" i="103"/>
  <c r="AJ99" i="103"/>
  <c r="AF99" i="103"/>
  <c r="AT99" i="103" s="1"/>
  <c r="P99" i="103"/>
  <c r="AH99" i="103" s="1"/>
  <c r="AV99" i="103" s="1"/>
  <c r="AX98" i="103"/>
  <c r="AV98" i="103"/>
  <c r="AT98" i="103"/>
  <c r="AL98" i="103"/>
  <c r="AJ98" i="103"/>
  <c r="AF98" i="103"/>
  <c r="P98" i="103"/>
  <c r="AH98" i="103" s="1"/>
  <c r="AX97" i="103"/>
  <c r="AJ97" i="103"/>
  <c r="AF97" i="103"/>
  <c r="P97" i="103"/>
  <c r="AH97" i="103" s="1"/>
  <c r="AV97" i="103" s="1"/>
  <c r="AX96" i="103"/>
  <c r="AL96" i="103"/>
  <c r="AJ96" i="103"/>
  <c r="AF96" i="103"/>
  <c r="AT96" i="103" s="1"/>
  <c r="P96" i="103"/>
  <c r="AH96" i="103" s="1"/>
  <c r="AV96" i="103" s="1"/>
  <c r="AX95" i="103"/>
  <c r="AV95" i="103"/>
  <c r="AT95" i="103"/>
  <c r="AJ95" i="103"/>
  <c r="AF95" i="103"/>
  <c r="P95" i="103"/>
  <c r="AH95" i="103" s="1"/>
  <c r="AL95" i="103" s="1"/>
  <c r="AX94" i="103"/>
  <c r="AV94" i="103"/>
  <c r="AJ94" i="103"/>
  <c r="AF94" i="103"/>
  <c r="P94" i="103"/>
  <c r="AH94" i="103" s="1"/>
  <c r="AX93" i="103"/>
  <c r="AJ93" i="103"/>
  <c r="AF93" i="103"/>
  <c r="AT93" i="103" s="1"/>
  <c r="P93" i="103"/>
  <c r="AH93" i="103" s="1"/>
  <c r="AV93" i="103" s="1"/>
  <c r="AX92" i="103"/>
  <c r="AT92" i="103"/>
  <c r="AL92" i="103"/>
  <c r="AJ92" i="103"/>
  <c r="AF92" i="103"/>
  <c r="P92" i="103"/>
  <c r="AH92" i="103" s="1"/>
  <c r="AV92" i="103" s="1"/>
  <c r="AX91" i="103"/>
  <c r="AV91" i="103"/>
  <c r="AJ91" i="103"/>
  <c r="AF91" i="103"/>
  <c r="P91" i="103"/>
  <c r="AH91" i="103" s="1"/>
  <c r="AX90" i="103"/>
  <c r="AV90" i="103"/>
  <c r="AT90" i="103"/>
  <c r="AZ90" i="103" s="1"/>
  <c r="AJ90" i="103"/>
  <c r="AF90" i="103"/>
  <c r="P90" i="103"/>
  <c r="AH90" i="103" s="1"/>
  <c r="AL90" i="103" s="1"/>
  <c r="AX89" i="103"/>
  <c r="AV89" i="103"/>
  <c r="AT89" i="103"/>
  <c r="AZ89" i="103" s="1"/>
  <c r="AL89" i="103"/>
  <c r="AJ89" i="103"/>
  <c r="AF89" i="103"/>
  <c r="P89" i="103"/>
  <c r="AH89" i="103" s="1"/>
  <c r="AX88" i="103"/>
  <c r="AJ88" i="103"/>
  <c r="AF88" i="103"/>
  <c r="P88" i="103"/>
  <c r="AH88" i="103" s="1"/>
  <c r="AV88" i="103" s="1"/>
  <c r="AX87" i="103"/>
  <c r="AV87" i="103"/>
  <c r="AJ87" i="103"/>
  <c r="AF87" i="103"/>
  <c r="AT87" i="103" s="1"/>
  <c r="P87" i="103"/>
  <c r="AH87" i="103" s="1"/>
  <c r="AX86" i="103"/>
  <c r="AT86" i="103"/>
  <c r="AJ86" i="103"/>
  <c r="AF86" i="103"/>
  <c r="P86" i="103"/>
  <c r="AX85" i="103"/>
  <c r="AJ85" i="103"/>
  <c r="AF85" i="103"/>
  <c r="P85" i="103"/>
  <c r="AX84" i="103"/>
  <c r="AT84" i="103"/>
  <c r="AJ84" i="103"/>
  <c r="AF84" i="103"/>
  <c r="P84" i="103"/>
  <c r="AX83" i="103"/>
  <c r="AT83" i="103"/>
  <c r="AJ83" i="103"/>
  <c r="AF83" i="103"/>
  <c r="P83" i="103"/>
  <c r="AX82" i="103"/>
  <c r="AJ82" i="103"/>
  <c r="AF82" i="103"/>
  <c r="P82" i="103"/>
  <c r="AX81" i="103"/>
  <c r="AJ81" i="103"/>
  <c r="AF81" i="103"/>
  <c r="AT81" i="103" s="1"/>
  <c r="P81" i="103"/>
  <c r="AX80" i="103"/>
  <c r="AL80" i="103"/>
  <c r="AJ80" i="103"/>
  <c r="AF80" i="103"/>
  <c r="AT80" i="103" s="1"/>
  <c r="P80" i="103"/>
  <c r="AH80" i="103" s="1"/>
  <c r="AV80" i="103" s="1"/>
  <c r="AX79" i="103"/>
  <c r="AL79" i="103"/>
  <c r="AJ79" i="103"/>
  <c r="AF79" i="103"/>
  <c r="AT79" i="103" s="1"/>
  <c r="AZ79" i="103" s="1"/>
  <c r="T79" i="103"/>
  <c r="P79" i="103"/>
  <c r="AH79" i="103" s="1"/>
  <c r="AV79" i="103" s="1"/>
  <c r="AX78" i="103"/>
  <c r="AJ78" i="103"/>
  <c r="AF78" i="103"/>
  <c r="P78" i="103"/>
  <c r="AH78" i="103" s="1"/>
  <c r="AV78" i="103" s="1"/>
  <c r="AX77" i="103"/>
  <c r="AV77" i="103"/>
  <c r="AJ77" i="103"/>
  <c r="AF77" i="103"/>
  <c r="AL77" i="103" s="1"/>
  <c r="T77" i="103"/>
  <c r="P77" i="103"/>
  <c r="AH77" i="103" s="1"/>
  <c r="AX76" i="103"/>
  <c r="AT76" i="103"/>
  <c r="AJ76" i="103"/>
  <c r="AF76" i="103"/>
  <c r="P76" i="103"/>
  <c r="AX75" i="103"/>
  <c r="AV75" i="103"/>
  <c r="AT75" i="103"/>
  <c r="AZ75" i="103" s="1"/>
  <c r="AL75" i="103"/>
  <c r="AJ75" i="103"/>
  <c r="AF75" i="103"/>
  <c r="P75" i="103"/>
  <c r="AH75" i="103" s="1"/>
  <c r="AX74" i="103"/>
  <c r="AV74" i="103"/>
  <c r="AT74" i="103"/>
  <c r="AZ74" i="103" s="1"/>
  <c r="AL74" i="103"/>
  <c r="AJ74" i="103"/>
  <c r="AF74" i="103"/>
  <c r="P74" i="103"/>
  <c r="AH74" i="103" s="1"/>
  <c r="AX73" i="103"/>
  <c r="AV73" i="103"/>
  <c r="AJ73" i="103"/>
  <c r="AF73" i="103"/>
  <c r="T73" i="103"/>
  <c r="P73" i="103"/>
  <c r="AH73" i="103" s="1"/>
  <c r="AX72" i="103"/>
  <c r="AJ72" i="103"/>
  <c r="AH72" i="103"/>
  <c r="AV72" i="103" s="1"/>
  <c r="AF72" i="103"/>
  <c r="T72" i="103"/>
  <c r="P72" i="103"/>
  <c r="AJ71" i="103"/>
  <c r="AX71" i="103" s="1"/>
  <c r="AH71" i="103"/>
  <c r="AV71" i="103" s="1"/>
  <c r="AF71" i="103"/>
  <c r="T71" i="103"/>
  <c r="P71" i="103"/>
  <c r="AJ70" i="103"/>
  <c r="AX70" i="103" s="1"/>
  <c r="AH70" i="103"/>
  <c r="AV70" i="103" s="1"/>
  <c r="AF70" i="103"/>
  <c r="T70" i="103"/>
  <c r="P70" i="103"/>
  <c r="AJ69" i="103"/>
  <c r="AX69" i="103" s="1"/>
  <c r="AH69" i="103"/>
  <c r="AV69" i="103" s="1"/>
  <c r="AF69" i="103"/>
  <c r="T69" i="103"/>
  <c r="P69" i="103"/>
  <c r="AJ68" i="103"/>
  <c r="AX68" i="103" s="1"/>
  <c r="AH68" i="103"/>
  <c r="AV68" i="103" s="1"/>
  <c r="AF68" i="103"/>
  <c r="T68" i="103"/>
  <c r="P68" i="103"/>
  <c r="AJ67" i="103"/>
  <c r="AX67" i="103" s="1"/>
  <c r="AH67" i="103"/>
  <c r="AV67" i="103" s="1"/>
  <c r="AF67" i="103"/>
  <c r="T67" i="103"/>
  <c r="P67" i="103"/>
  <c r="AJ66" i="103"/>
  <c r="AX66" i="103" s="1"/>
  <c r="AH66" i="103"/>
  <c r="AV66" i="103" s="1"/>
  <c r="AF66" i="103"/>
  <c r="T66" i="103"/>
  <c r="P66" i="103"/>
  <c r="AJ65" i="103"/>
  <c r="AX65" i="103" s="1"/>
  <c r="AH65" i="103"/>
  <c r="AV65" i="103" s="1"/>
  <c r="AF65" i="103"/>
  <c r="T65" i="103"/>
  <c r="P65" i="103"/>
  <c r="AJ64" i="103"/>
  <c r="AX64" i="103" s="1"/>
  <c r="AH64" i="103"/>
  <c r="AV64" i="103" s="1"/>
  <c r="AF64" i="103"/>
  <c r="T64" i="103"/>
  <c r="P64" i="103"/>
  <c r="AJ63" i="103"/>
  <c r="AX63" i="103" s="1"/>
  <c r="AH63" i="103"/>
  <c r="AV63" i="103" s="1"/>
  <c r="AF63" i="103"/>
  <c r="T63" i="103"/>
  <c r="P63" i="103"/>
  <c r="AJ62" i="103"/>
  <c r="AX62" i="103" s="1"/>
  <c r="AH62" i="103"/>
  <c r="AV62" i="103" s="1"/>
  <c r="AF62" i="103"/>
  <c r="T62" i="103"/>
  <c r="P62" i="103"/>
  <c r="AJ61" i="103"/>
  <c r="AX61" i="103" s="1"/>
  <c r="AH61" i="103"/>
  <c r="AV61" i="103" s="1"/>
  <c r="AF61" i="103"/>
  <c r="T61" i="103"/>
  <c r="P61" i="103"/>
  <c r="AJ60" i="103"/>
  <c r="AX60" i="103" s="1"/>
  <c r="AH60" i="103"/>
  <c r="AV60" i="103" s="1"/>
  <c r="AF60" i="103"/>
  <c r="T60" i="103"/>
  <c r="P60" i="103"/>
  <c r="AJ59" i="103"/>
  <c r="AX59" i="103" s="1"/>
  <c r="AH59" i="103"/>
  <c r="AV59" i="103" s="1"/>
  <c r="AF59" i="103"/>
  <c r="T59" i="103"/>
  <c r="P59" i="103"/>
  <c r="AJ58" i="103"/>
  <c r="AX58" i="103" s="1"/>
  <c r="AH58" i="103"/>
  <c r="AV58" i="103" s="1"/>
  <c r="AF58" i="103"/>
  <c r="T58" i="103"/>
  <c r="P58" i="103"/>
  <c r="AJ57" i="103"/>
  <c r="AX57" i="103" s="1"/>
  <c r="AH57" i="103"/>
  <c r="AV57" i="103" s="1"/>
  <c r="AF57" i="103"/>
  <c r="T57" i="103"/>
  <c r="P57" i="103"/>
  <c r="AJ56" i="103"/>
  <c r="AX56" i="103" s="1"/>
  <c r="AH56" i="103"/>
  <c r="AV56" i="103" s="1"/>
  <c r="AF56" i="103"/>
  <c r="T56" i="103"/>
  <c r="P56" i="103"/>
  <c r="AJ55" i="103"/>
  <c r="AH55" i="103"/>
  <c r="AV55" i="103" s="1"/>
  <c r="AF55" i="103"/>
  <c r="AT55" i="103" s="1"/>
  <c r="T55" i="103"/>
  <c r="P55" i="103"/>
  <c r="AL54" i="103"/>
  <c r="AJ54" i="103"/>
  <c r="AX54" i="103" s="1"/>
  <c r="AH54" i="103"/>
  <c r="AV54" i="103" s="1"/>
  <c r="AZ54" i="103" s="1"/>
  <c r="AF54" i="103"/>
  <c r="AT54" i="103" s="1"/>
  <c r="T54" i="103"/>
  <c r="P54" i="103"/>
  <c r="AZ53" i="103"/>
  <c r="AJ53" i="103"/>
  <c r="AX53" i="103" s="1"/>
  <c r="AH53" i="103"/>
  <c r="AV53" i="103" s="1"/>
  <c r="AF53" i="103"/>
  <c r="AT53" i="103" s="1"/>
  <c r="T53" i="103"/>
  <c r="P53" i="103"/>
  <c r="AZ52" i="103"/>
  <c r="AJ52" i="103"/>
  <c r="AX52" i="103" s="1"/>
  <c r="AH52" i="103"/>
  <c r="AV52" i="103" s="1"/>
  <c r="AF52" i="103"/>
  <c r="AT52" i="103" s="1"/>
  <c r="T52" i="103"/>
  <c r="P52" i="103"/>
  <c r="AL51" i="103"/>
  <c r="AJ51" i="103"/>
  <c r="AX51" i="103" s="1"/>
  <c r="AH51" i="103"/>
  <c r="AV51" i="103" s="1"/>
  <c r="AF51" i="103"/>
  <c r="AT51" i="103" s="1"/>
  <c r="T51" i="103"/>
  <c r="P51" i="103"/>
  <c r="AZ50" i="103"/>
  <c r="AJ50" i="103"/>
  <c r="AX50" i="103" s="1"/>
  <c r="AH50" i="103"/>
  <c r="AV50" i="103" s="1"/>
  <c r="AF50" i="103"/>
  <c r="AT50" i="103" s="1"/>
  <c r="T50" i="103"/>
  <c r="P50" i="103"/>
  <c r="AZ49" i="103"/>
  <c r="AJ49" i="103"/>
  <c r="AX49" i="103" s="1"/>
  <c r="AH49" i="103"/>
  <c r="AV49" i="103" s="1"/>
  <c r="AF49" i="103"/>
  <c r="AT49" i="103" s="1"/>
  <c r="T49" i="103"/>
  <c r="P49" i="103"/>
  <c r="AV48" i="103"/>
  <c r="AT48" i="103"/>
  <c r="AL48" i="103"/>
  <c r="AJ48" i="103"/>
  <c r="AX48" i="103" s="1"/>
  <c r="AH48" i="103"/>
  <c r="AF48" i="103"/>
  <c r="T48" i="103"/>
  <c r="P48" i="103"/>
  <c r="AJ47" i="103"/>
  <c r="AX47" i="103" s="1"/>
  <c r="AH47" i="103"/>
  <c r="AV47" i="103" s="1"/>
  <c r="AF47" i="103"/>
  <c r="T47" i="103"/>
  <c r="P47" i="103"/>
  <c r="BC46" i="103"/>
  <c r="AJ46" i="103"/>
  <c r="AX46" i="103" s="1"/>
  <c r="AH46" i="103"/>
  <c r="AV46" i="103" s="1"/>
  <c r="AF46" i="103"/>
  <c r="T46" i="103"/>
  <c r="P46" i="103"/>
  <c r="AV45" i="103"/>
  <c r="AT45" i="103"/>
  <c r="AZ45" i="103" s="1"/>
  <c r="AJ45" i="103"/>
  <c r="AX45" i="103" s="1"/>
  <c r="AH45" i="103"/>
  <c r="AF45" i="103"/>
  <c r="AL45" i="103" s="1"/>
  <c r="T45" i="103"/>
  <c r="P45" i="103"/>
  <c r="BC44" i="103"/>
  <c r="AJ44" i="103"/>
  <c r="AH44" i="103"/>
  <c r="AV44" i="103" s="1"/>
  <c r="AF44" i="103"/>
  <c r="AT44" i="103" s="1"/>
  <c r="T44" i="103"/>
  <c r="P44" i="103"/>
  <c r="BC43" i="103"/>
  <c r="AV43" i="103"/>
  <c r="AT43" i="103"/>
  <c r="AJ43" i="103"/>
  <c r="AH43" i="103"/>
  <c r="AF43" i="103"/>
  <c r="T43" i="103"/>
  <c r="P43" i="103"/>
  <c r="A43" i="103"/>
  <c r="A44" i="103" s="1"/>
  <c r="A45" i="103" s="1"/>
  <c r="A46" i="103" s="1"/>
  <c r="A47" i="103" s="1"/>
  <c r="A48" i="103" s="1"/>
  <c r="BC42" i="103"/>
  <c r="AR42" i="103"/>
  <c r="AR14" i="103" s="1"/>
  <c r="AP42" i="103"/>
  <c r="AN42" i="103"/>
  <c r="AN14" i="103" s="1"/>
  <c r="AB42" i="103"/>
  <c r="AB14" i="103" s="1"/>
  <c r="Z42" i="103"/>
  <c r="X42" i="103"/>
  <c r="R42" i="103"/>
  <c r="P42" i="103"/>
  <c r="P14" i="103" s="1"/>
  <c r="N42" i="103"/>
  <c r="N14" i="103" s="1"/>
  <c r="T14" i="103" s="1"/>
  <c r="J42" i="103"/>
  <c r="J14" i="103" s="1"/>
  <c r="H42" i="103"/>
  <c r="H14" i="103" s="1"/>
  <c r="F42" i="103"/>
  <c r="AV39" i="103"/>
  <c r="AL39" i="103"/>
  <c r="AJ39" i="103"/>
  <c r="AX39" i="103" s="1"/>
  <c r="AH39" i="103"/>
  <c r="N39" i="103"/>
  <c r="AF39" i="103" s="1"/>
  <c r="AT39" i="103" s="1"/>
  <c r="AZ39" i="103" s="1"/>
  <c r="AX38" i="103"/>
  <c r="AV38" i="103"/>
  <c r="AL38" i="103"/>
  <c r="AJ38" i="103"/>
  <c r="AH38" i="103"/>
  <c r="AF38" i="103"/>
  <c r="AT38" i="103" s="1"/>
  <c r="T38" i="103"/>
  <c r="N38" i="103"/>
  <c r="AJ37" i="103"/>
  <c r="AX37" i="103" s="1"/>
  <c r="AH37" i="103"/>
  <c r="AF37" i="103"/>
  <c r="T37" i="103"/>
  <c r="N37" i="103"/>
  <c r="AV36" i="103"/>
  <c r="AL36" i="103"/>
  <c r="AJ36" i="103"/>
  <c r="AX36" i="103" s="1"/>
  <c r="AH36" i="103"/>
  <c r="N36" i="103"/>
  <c r="AF36" i="103" s="1"/>
  <c r="AT36" i="103" s="1"/>
  <c r="AX35" i="103"/>
  <c r="AV35" i="103"/>
  <c r="AL35" i="103"/>
  <c r="AJ35" i="103"/>
  <c r="AH35" i="103"/>
  <c r="AF35" i="103"/>
  <c r="T35" i="103"/>
  <c r="N35" i="103"/>
  <c r="A35" i="103"/>
  <c r="BC35" i="103" s="1"/>
  <c r="BC34" i="103"/>
  <c r="AR34" i="103"/>
  <c r="AR13" i="103" s="1"/>
  <c r="AP34" i="103"/>
  <c r="AN34" i="103"/>
  <c r="AN13" i="103" s="1"/>
  <c r="AB34" i="103"/>
  <c r="Z34" i="103"/>
  <c r="X34" i="103"/>
  <c r="R34" i="103"/>
  <c r="P34" i="103"/>
  <c r="P13" i="103" s="1"/>
  <c r="N34" i="103"/>
  <c r="N13" i="103" s="1"/>
  <c r="J34" i="103"/>
  <c r="J13" i="103" s="1"/>
  <c r="J17" i="103" s="1"/>
  <c r="J23" i="103" s="1"/>
  <c r="H34" i="103"/>
  <c r="H13" i="103" s="1"/>
  <c r="F34" i="103"/>
  <c r="F13" i="103" s="1"/>
  <c r="AT31" i="103"/>
  <c r="AZ31" i="103" s="1"/>
  <c r="AL31" i="103"/>
  <c r="AJ31" i="103"/>
  <c r="AX31" i="103" s="1"/>
  <c r="AH31" i="103"/>
  <c r="AV31" i="103" s="1"/>
  <c r="AF31" i="103"/>
  <c r="T31" i="103"/>
  <c r="AZ30" i="103"/>
  <c r="AL30" i="103"/>
  <c r="AJ30" i="103"/>
  <c r="AX30" i="103" s="1"/>
  <c r="AH30" i="103"/>
  <c r="AV30" i="103" s="1"/>
  <c r="AF30" i="103"/>
  <c r="AT30" i="103" s="1"/>
  <c r="T30" i="103"/>
  <c r="AJ29" i="103"/>
  <c r="AX29" i="103" s="1"/>
  <c r="AH29" i="103"/>
  <c r="T29" i="103"/>
  <c r="N29" i="103"/>
  <c r="AF29" i="103" s="1"/>
  <c r="AF26" i="103" s="1"/>
  <c r="AF12" i="103" s="1"/>
  <c r="AX28" i="103"/>
  <c r="AJ28" i="103"/>
  <c r="AJ26" i="103" s="1"/>
  <c r="AJ12" i="103" s="1"/>
  <c r="AH28" i="103"/>
  <c r="AV28" i="103" s="1"/>
  <c r="T28" i="103"/>
  <c r="N28" i="103"/>
  <c r="AF28" i="103" s="1"/>
  <c r="A28" i="103"/>
  <c r="A29" i="103" s="1"/>
  <c r="BC27" i="103"/>
  <c r="AX27" i="103"/>
  <c r="AX26" i="103" s="1"/>
  <c r="AX12" i="103" s="1"/>
  <c r="AJ27" i="103"/>
  <c r="AH27" i="103"/>
  <c r="AV27" i="103" s="1"/>
  <c r="T27" i="103"/>
  <c r="N27" i="103"/>
  <c r="AF27" i="103" s="1"/>
  <c r="A27" i="103"/>
  <c r="BC26" i="103"/>
  <c r="AR26" i="103"/>
  <c r="AP26" i="103"/>
  <c r="AP12" i="103" s="1"/>
  <c r="AN26" i="103"/>
  <c r="AB26" i="103"/>
  <c r="AB12" i="103" s="1"/>
  <c r="Z26" i="103"/>
  <c r="X26" i="103"/>
  <c r="R26" i="103"/>
  <c r="P26" i="103"/>
  <c r="J26" i="103"/>
  <c r="H26" i="103"/>
  <c r="F26" i="103"/>
  <c r="F12" i="103" s="1"/>
  <c r="AZ22" i="103"/>
  <c r="AL22" i="103"/>
  <c r="AJ22" i="103"/>
  <c r="T22" i="103"/>
  <c r="N22" i="103"/>
  <c r="AZ21" i="103"/>
  <c r="AL21" i="103"/>
  <c r="AJ21" i="103"/>
  <c r="N21" i="103"/>
  <c r="T21" i="103" s="1"/>
  <c r="AX20" i="103"/>
  <c r="AR20" i="103"/>
  <c r="AP20" i="103"/>
  <c r="AN20" i="103"/>
  <c r="AJ20" i="103"/>
  <c r="AB20" i="103"/>
  <c r="Z20" i="103"/>
  <c r="X20" i="103"/>
  <c r="R20" i="103"/>
  <c r="N20" i="103"/>
  <c r="J20" i="103"/>
  <c r="H20" i="103"/>
  <c r="F20" i="103"/>
  <c r="AR16" i="103"/>
  <c r="AB16" i="103"/>
  <c r="Z16" i="103"/>
  <c r="X16" i="103"/>
  <c r="R16" i="103"/>
  <c r="P16" i="103"/>
  <c r="J16" i="103"/>
  <c r="H16" i="103"/>
  <c r="AR15" i="103"/>
  <c r="AN15" i="103"/>
  <c r="AH15" i="103"/>
  <c r="AB15" i="103"/>
  <c r="Z15" i="103"/>
  <c r="X15" i="103"/>
  <c r="P15" i="103"/>
  <c r="N15" i="103"/>
  <c r="J15" i="103"/>
  <c r="H15" i="103"/>
  <c r="F15" i="103"/>
  <c r="F17" i="103" s="1"/>
  <c r="F23" i="103" s="1"/>
  <c r="AP14" i="103"/>
  <c r="Z14" i="103"/>
  <c r="X14" i="103"/>
  <c r="R14" i="103"/>
  <c r="F14" i="103"/>
  <c r="A14" i="103"/>
  <c r="AP13" i="103"/>
  <c r="AB13" i="103"/>
  <c r="Z13" i="103"/>
  <c r="X13" i="103"/>
  <c r="T13" i="103"/>
  <c r="R13" i="103"/>
  <c r="A13" i="103"/>
  <c r="BC13" i="103" s="1"/>
  <c r="BC12" i="103"/>
  <c r="AR12" i="103"/>
  <c r="AN12" i="103"/>
  <c r="Z12" i="103"/>
  <c r="Z17" i="103" s="1"/>
  <c r="Z23" i="103" s="1"/>
  <c r="X12" i="103"/>
  <c r="X17" i="103" s="1"/>
  <c r="R12" i="103"/>
  <c r="P12" i="103"/>
  <c r="J12" i="103"/>
  <c r="H12" i="103"/>
  <c r="G66" i="83"/>
  <c r="G65" i="83"/>
  <c r="G64" i="83" s="1"/>
  <c r="H55" i="83"/>
  <c r="K54" i="83"/>
  <c r="A47" i="83"/>
  <c r="K46" i="83"/>
  <c r="E34" i="83"/>
  <c r="E27" i="83" s="1"/>
  <c r="D34" i="83"/>
  <c r="E25" i="83" s="1"/>
  <c r="C34" i="83"/>
  <c r="E26" i="83" s="1"/>
  <c r="K33" i="83"/>
  <c r="A26" i="83"/>
  <c r="K26" i="83" s="1"/>
  <c r="K25" i="83"/>
  <c r="K24" i="83"/>
  <c r="F50" i="82"/>
  <c r="G49" i="82"/>
  <c r="A49" i="82"/>
  <c r="A50" i="82" s="1"/>
  <c r="G48" i="82"/>
  <c r="F43" i="82"/>
  <c r="A43" i="82"/>
  <c r="G43" i="82" s="1"/>
  <c r="G41" i="82"/>
  <c r="A41" i="82"/>
  <c r="A40" i="82"/>
  <c r="F41" i="82" s="1"/>
  <c r="G39" i="82"/>
  <c r="F34" i="82"/>
  <c r="E34" i="82"/>
  <c r="A34" i="82"/>
  <c r="G34" i="82" s="1"/>
  <c r="G32" i="82"/>
  <c r="F27" i="82"/>
  <c r="F25" i="82"/>
  <c r="A25" i="82"/>
  <c r="G24" i="82"/>
  <c r="A24" i="82"/>
  <c r="G23" i="82"/>
  <c r="E13" i="82"/>
  <c r="D13" i="82"/>
  <c r="A12" i="82"/>
  <c r="G11" i="82"/>
  <c r="G10" i="82"/>
  <c r="G6" i="82"/>
  <c r="A6" i="82"/>
  <c r="G5" i="82"/>
  <c r="G4" i="82"/>
  <c r="C20" i="81"/>
  <c r="C17" i="81"/>
  <c r="C13" i="81"/>
  <c r="F11" i="81"/>
  <c r="C7" i="81"/>
  <c r="A7" i="81"/>
  <c r="A8" i="81" s="1"/>
  <c r="F6" i="81"/>
  <c r="F5" i="81"/>
  <c r="B169" i="80"/>
  <c r="B170" i="80" s="1"/>
  <c r="B171" i="80" s="1"/>
  <c r="B172" i="80" s="1"/>
  <c r="B173" i="80" s="1"/>
  <c r="B174" i="80" s="1"/>
  <c r="B175" i="80" s="1"/>
  <c r="B176" i="80" s="1"/>
  <c r="B177" i="80" s="1"/>
  <c r="B178" i="80" s="1"/>
  <c r="B179" i="80" s="1"/>
  <c r="B180" i="80" s="1"/>
  <c r="B181" i="80" s="1"/>
  <c r="B182" i="80" s="1"/>
  <c r="B183" i="80" s="1"/>
  <c r="N167" i="80"/>
  <c r="I160" i="80"/>
  <c r="B160" i="80"/>
  <c r="I159" i="80"/>
  <c r="B159" i="80"/>
  <c r="I158" i="80"/>
  <c r="B158" i="80"/>
  <c r="I157" i="80"/>
  <c r="B157" i="80"/>
  <c r="I156" i="80"/>
  <c r="B156" i="80"/>
  <c r="I155" i="80"/>
  <c r="B155" i="80"/>
  <c r="I154" i="80"/>
  <c r="B154" i="80"/>
  <c r="I153" i="80"/>
  <c r="B153" i="80"/>
  <c r="I152" i="80"/>
  <c r="B152" i="80"/>
  <c r="I151" i="80"/>
  <c r="B151" i="80"/>
  <c r="I150" i="80"/>
  <c r="B150" i="80"/>
  <c r="I149" i="80"/>
  <c r="B149" i="80"/>
  <c r="N146" i="80"/>
  <c r="K146" i="80"/>
  <c r="N144" i="80"/>
  <c r="I144" i="80"/>
  <c r="I143" i="80"/>
  <c r="N142" i="80"/>
  <c r="I142" i="80"/>
  <c r="N141" i="80"/>
  <c r="I141" i="80"/>
  <c r="I140" i="80"/>
  <c r="N139" i="80"/>
  <c r="I139" i="80"/>
  <c r="N138" i="80"/>
  <c r="I138" i="80"/>
  <c r="I137" i="80"/>
  <c r="I136" i="80"/>
  <c r="B136" i="80"/>
  <c r="B137" i="80" s="1"/>
  <c r="B138" i="80" s="1"/>
  <c r="B139" i="80" s="1"/>
  <c r="B140" i="80" s="1"/>
  <c r="B141" i="80" s="1"/>
  <c r="B142" i="80" s="1"/>
  <c r="B143" i="80" s="1"/>
  <c r="N135" i="80"/>
  <c r="I135" i="80"/>
  <c r="N134" i="80"/>
  <c r="I134" i="80"/>
  <c r="B134" i="80"/>
  <c r="B135" i="80" s="1"/>
  <c r="N133" i="80"/>
  <c r="I133" i="80"/>
  <c r="A133" i="80"/>
  <c r="A134" i="80" s="1"/>
  <c r="A135" i="80" s="1"/>
  <c r="A136" i="80" s="1"/>
  <c r="A137" i="80" s="1"/>
  <c r="A138" i="80" s="1"/>
  <c r="A139" i="80" s="1"/>
  <c r="A140" i="80" s="1"/>
  <c r="A141" i="80" s="1"/>
  <c r="A142" i="80" s="1"/>
  <c r="A143" i="80" s="1"/>
  <c r="A144" i="80" s="1"/>
  <c r="A146" i="80" s="1"/>
  <c r="A149" i="80" s="1"/>
  <c r="N132" i="80"/>
  <c r="I132" i="80"/>
  <c r="B132" i="80"/>
  <c r="B133" i="80" s="1"/>
  <c r="G128" i="80"/>
  <c r="F128" i="80"/>
  <c r="G121" i="80"/>
  <c r="G120" i="80" s="1"/>
  <c r="G119" i="80"/>
  <c r="G118" i="80" s="1"/>
  <c r="A113" i="80"/>
  <c r="N112" i="80"/>
  <c r="A112" i="80"/>
  <c r="N111" i="80"/>
  <c r="A111" i="80"/>
  <c r="N110" i="80"/>
  <c r="J110" i="80"/>
  <c r="H110" i="80"/>
  <c r="E110" i="80"/>
  <c r="N109" i="80"/>
  <c r="D102" i="80"/>
  <c r="D98" i="80"/>
  <c r="I97" i="80"/>
  <c r="H97" i="80"/>
  <c r="G97" i="80"/>
  <c r="F97" i="80"/>
  <c r="E97" i="80"/>
  <c r="D95" i="80"/>
  <c r="D94" i="80"/>
  <c r="A94" i="80"/>
  <c r="N94" i="80" s="1"/>
  <c r="N93" i="80"/>
  <c r="D93" i="80"/>
  <c r="N91" i="80"/>
  <c r="I81" i="80"/>
  <c r="H81" i="80"/>
  <c r="G81" i="80"/>
  <c r="F81" i="80"/>
  <c r="F83" i="80" s="1"/>
  <c r="A81" i="80"/>
  <c r="A79" i="80"/>
  <c r="N79" i="80" s="1"/>
  <c r="N78" i="80"/>
  <c r="E78" i="80"/>
  <c r="D78" i="80"/>
  <c r="A78" i="80"/>
  <c r="N77" i="80"/>
  <c r="E77" i="80"/>
  <c r="D77" i="80" s="1"/>
  <c r="A77" i="80"/>
  <c r="N76" i="80"/>
  <c r="E76" i="80"/>
  <c r="N74" i="80"/>
  <c r="D69" i="80"/>
  <c r="I62" i="80"/>
  <c r="H62" i="80"/>
  <c r="G62" i="80"/>
  <c r="F62" i="80"/>
  <c r="E62" i="80"/>
  <c r="D60" i="80"/>
  <c r="D59" i="80"/>
  <c r="D58" i="80"/>
  <c r="D57" i="80"/>
  <c r="D56" i="80"/>
  <c r="A56" i="80"/>
  <c r="A57" i="80" s="1"/>
  <c r="N57" i="80" s="1"/>
  <c r="N55" i="80"/>
  <c r="D55" i="80"/>
  <c r="A55" i="80"/>
  <c r="N54" i="80"/>
  <c r="D54" i="80"/>
  <c r="N53" i="80"/>
  <c r="I43" i="80"/>
  <c r="H43" i="80"/>
  <c r="G43" i="80"/>
  <c r="F43" i="80"/>
  <c r="F45" i="80" s="1"/>
  <c r="E43" i="80"/>
  <c r="D41" i="80"/>
  <c r="D40" i="80"/>
  <c r="D39" i="80"/>
  <c r="D38" i="80"/>
  <c r="D37" i="80"/>
  <c r="D36" i="80"/>
  <c r="D35" i="80"/>
  <c r="D34" i="80"/>
  <c r="A34" i="80"/>
  <c r="A35" i="80" s="1"/>
  <c r="A36" i="80" s="1"/>
  <c r="N33" i="80"/>
  <c r="D33" i="80"/>
  <c r="A33" i="80"/>
  <c r="N32" i="80"/>
  <c r="D32" i="80"/>
  <c r="N30" i="80"/>
  <c r="A10" i="80"/>
  <c r="N9" i="80"/>
  <c r="N8" i="80"/>
  <c r="I59" i="79"/>
  <c r="H59" i="79"/>
  <c r="G59" i="79"/>
  <c r="F59" i="79"/>
  <c r="E59" i="79"/>
  <c r="D59" i="79"/>
  <c r="I56" i="79"/>
  <c r="H56" i="79"/>
  <c r="G56" i="79"/>
  <c r="E56" i="79"/>
  <c r="D56" i="79"/>
  <c r="F49" i="79"/>
  <c r="F48" i="79"/>
  <c r="F47" i="79"/>
  <c r="F46" i="79"/>
  <c r="F45" i="79"/>
  <c r="F44" i="79"/>
  <c r="F43" i="79"/>
  <c r="F42" i="79"/>
  <c r="F41" i="79"/>
  <c r="F40" i="79"/>
  <c r="F39" i="79"/>
  <c r="J38" i="79"/>
  <c r="F38" i="79"/>
  <c r="A38" i="79"/>
  <c r="A39" i="79" s="1"/>
  <c r="J37" i="79"/>
  <c r="F37" i="79"/>
  <c r="J36" i="79"/>
  <c r="E26" i="79"/>
  <c r="D26" i="79"/>
  <c r="A16" i="79"/>
  <c r="A14" i="79"/>
  <c r="A15" i="79" s="1"/>
  <c r="J15" i="79" s="1"/>
  <c r="J13" i="79"/>
  <c r="J12" i="79"/>
  <c r="A32" i="78"/>
  <c r="A33" i="78" s="1"/>
  <c r="A34" i="78" s="1"/>
  <c r="A31" i="78"/>
  <c r="Q31" i="78" s="1"/>
  <c r="A30" i="78"/>
  <c r="Q30" i="78" s="1"/>
  <c r="Q29" i="78"/>
  <c r="A29" i="78"/>
  <c r="Q28" i="78"/>
  <c r="Q27" i="78"/>
  <c r="D19" i="78"/>
  <c r="B19" i="78"/>
  <c r="D18" i="78"/>
  <c r="B18" i="78"/>
  <c r="D17" i="78"/>
  <c r="B17" i="78"/>
  <c r="D16" i="78"/>
  <c r="B16" i="78"/>
  <c r="D15" i="78"/>
  <c r="M98" i="77" s="1"/>
  <c r="B15" i="78"/>
  <c r="D14" i="78"/>
  <c r="B14" i="78"/>
  <c r="D13" i="78"/>
  <c r="B13" i="78"/>
  <c r="D12" i="78"/>
  <c r="B12" i="78"/>
  <c r="D11" i="78"/>
  <c r="B11" i="78"/>
  <c r="A11" i="78"/>
  <c r="Q10" i="78"/>
  <c r="I10" i="78"/>
  <c r="D10" i="78"/>
  <c r="B10" i="78"/>
  <c r="Q9" i="78"/>
  <c r="P1" i="78"/>
  <c r="A130" i="77"/>
  <c r="Q130" i="77" s="1"/>
  <c r="Q129" i="77"/>
  <c r="Q128" i="77"/>
  <c r="A112" i="77"/>
  <c r="Q111" i="77"/>
  <c r="A111" i="77"/>
  <c r="Q110" i="77"/>
  <c r="Q108" i="77"/>
  <c r="J98" i="77"/>
  <c r="G98" i="77"/>
  <c r="F98" i="77"/>
  <c r="E98" i="77"/>
  <c r="Q97" i="77"/>
  <c r="H85" i="77"/>
  <c r="M84" i="77"/>
  <c r="A78" i="77"/>
  <c r="A79" i="77" s="1"/>
  <c r="Q77" i="77"/>
  <c r="A77" i="77"/>
  <c r="Q76" i="77"/>
  <c r="Q75" i="77"/>
  <c r="Q61" i="77"/>
  <c r="Q60" i="77"/>
  <c r="Q51" i="77"/>
  <c r="Q50" i="77"/>
  <c r="Q38" i="77"/>
  <c r="Q37" i="77"/>
  <c r="Q25" i="77"/>
  <c r="C25" i="77"/>
  <c r="Q24" i="77"/>
  <c r="N15" i="77"/>
  <c r="M15" i="77"/>
  <c r="L15" i="77"/>
  <c r="K15" i="77"/>
  <c r="J15" i="77"/>
  <c r="I15" i="77"/>
  <c r="H15" i="77"/>
  <c r="G15" i="77"/>
  <c r="F15" i="77"/>
  <c r="E15" i="77"/>
  <c r="D15" i="77"/>
  <c r="C15" i="77"/>
  <c r="O15" i="77" s="1"/>
  <c r="F130" i="77" s="1"/>
  <c r="A15" i="77"/>
  <c r="Q15" i="77" s="1"/>
  <c r="O14" i="77"/>
  <c r="A14" i="77"/>
  <c r="Q14" i="77" s="1"/>
  <c r="Q13" i="77"/>
  <c r="O13" i="77"/>
  <c r="Q12" i="77"/>
  <c r="A129" i="76"/>
  <c r="R129" i="76" s="1"/>
  <c r="A128" i="76"/>
  <c r="R128" i="76" s="1"/>
  <c r="R127" i="76"/>
  <c r="R126" i="76"/>
  <c r="D117" i="76"/>
  <c r="A117" i="76"/>
  <c r="R117" i="76" s="1"/>
  <c r="R116" i="76"/>
  <c r="A116" i="76"/>
  <c r="R115" i="76"/>
  <c r="R114" i="76"/>
  <c r="D103" i="76"/>
  <c r="A103" i="76"/>
  <c r="R103" i="76" s="1"/>
  <c r="R102" i="76"/>
  <c r="A102" i="76"/>
  <c r="R101" i="76"/>
  <c r="R100" i="76"/>
  <c r="F89" i="76"/>
  <c r="E89" i="76"/>
  <c r="D89" i="76"/>
  <c r="D88" i="76"/>
  <c r="A88" i="76"/>
  <c r="A89" i="76" s="1"/>
  <c r="R89" i="76" s="1"/>
  <c r="R87" i="76"/>
  <c r="D87" i="76"/>
  <c r="R86" i="76"/>
  <c r="O77" i="76"/>
  <c r="N77" i="76"/>
  <c r="M77" i="76"/>
  <c r="L77" i="76"/>
  <c r="K77" i="76"/>
  <c r="J77" i="76"/>
  <c r="I77" i="76"/>
  <c r="H77" i="76"/>
  <c r="G77" i="76"/>
  <c r="F77" i="76"/>
  <c r="E77" i="76"/>
  <c r="D77" i="76"/>
  <c r="P76" i="76"/>
  <c r="E23" i="92" s="1"/>
  <c r="P75" i="76"/>
  <c r="P74" i="76"/>
  <c r="P73" i="76"/>
  <c r="P72" i="76"/>
  <c r="P71" i="76"/>
  <c r="P70" i="76"/>
  <c r="P69" i="76"/>
  <c r="P68" i="76"/>
  <c r="P67" i="76"/>
  <c r="P66" i="76"/>
  <c r="P65" i="76"/>
  <c r="A65" i="76"/>
  <c r="R64" i="76"/>
  <c r="P64" i="76"/>
  <c r="R63" i="76"/>
  <c r="O52" i="76"/>
  <c r="N52" i="76"/>
  <c r="M52" i="76"/>
  <c r="L52" i="76"/>
  <c r="K52" i="76"/>
  <c r="J52" i="76"/>
  <c r="I52" i="76"/>
  <c r="H52" i="76"/>
  <c r="G52" i="76"/>
  <c r="F52" i="76"/>
  <c r="E52" i="76"/>
  <c r="D52" i="76"/>
  <c r="P51" i="76"/>
  <c r="D23" i="92" s="1"/>
  <c r="P50" i="76"/>
  <c r="P49" i="76"/>
  <c r="P48" i="76"/>
  <c r="P47" i="76"/>
  <c r="P46" i="76"/>
  <c r="P45" i="76"/>
  <c r="P44" i="76"/>
  <c r="P43" i="76"/>
  <c r="A43" i="76"/>
  <c r="A44" i="76" s="1"/>
  <c r="A45" i="76" s="1"/>
  <c r="P42" i="76"/>
  <c r="A42" i="76"/>
  <c r="P41" i="76"/>
  <c r="R40" i="76"/>
  <c r="P40" i="76"/>
  <c r="A40" i="76"/>
  <c r="A41" i="76" s="1"/>
  <c r="R41" i="76" s="1"/>
  <c r="R39" i="76"/>
  <c r="P39" i="76"/>
  <c r="P52" i="76" s="1"/>
  <c r="R38" i="76"/>
  <c r="F27" i="76"/>
  <c r="O26" i="76"/>
  <c r="I19" i="78" s="1"/>
  <c r="N26" i="76"/>
  <c r="I18" i="78" s="1"/>
  <c r="M26" i="76"/>
  <c r="I17" i="78" s="1"/>
  <c r="L26" i="76"/>
  <c r="I16" i="78" s="1"/>
  <c r="K26" i="76"/>
  <c r="I15" i="78" s="1"/>
  <c r="J26" i="76"/>
  <c r="I14" i="78" s="1"/>
  <c r="I26" i="76"/>
  <c r="I13" i="78" s="1"/>
  <c r="H26" i="76"/>
  <c r="I12" i="78" s="1"/>
  <c r="G26" i="76"/>
  <c r="I11" i="78" s="1"/>
  <c r="F26" i="76"/>
  <c r="E26" i="76"/>
  <c r="D26" i="76"/>
  <c r="P26" i="76" s="1"/>
  <c r="O25" i="76"/>
  <c r="N25" i="76"/>
  <c r="M25" i="76"/>
  <c r="L25" i="76"/>
  <c r="K25" i="76"/>
  <c r="J25" i="76"/>
  <c r="I25" i="76"/>
  <c r="H25" i="76"/>
  <c r="G25" i="76"/>
  <c r="F25" i="76"/>
  <c r="E25" i="76"/>
  <c r="D25" i="76"/>
  <c r="P25" i="76" s="1"/>
  <c r="O24" i="76"/>
  <c r="N24" i="76"/>
  <c r="M24" i="76"/>
  <c r="L24" i="76"/>
  <c r="K24" i="76"/>
  <c r="J24" i="76"/>
  <c r="I24" i="76"/>
  <c r="H24" i="76"/>
  <c r="G24" i="76"/>
  <c r="F24" i="76"/>
  <c r="E24" i="76"/>
  <c r="D24" i="76"/>
  <c r="P24" i="76" s="1"/>
  <c r="O23" i="76"/>
  <c r="N23" i="76"/>
  <c r="M23" i="76"/>
  <c r="L23" i="76"/>
  <c r="K23" i="76"/>
  <c r="J23" i="76"/>
  <c r="I23" i="76"/>
  <c r="H23" i="76"/>
  <c r="G23" i="76"/>
  <c r="F23" i="76"/>
  <c r="E23" i="76"/>
  <c r="D23" i="76"/>
  <c r="P23" i="76" s="1"/>
  <c r="O22" i="76"/>
  <c r="N22" i="76"/>
  <c r="M22" i="76"/>
  <c r="L22" i="76"/>
  <c r="K22" i="76"/>
  <c r="J22" i="76"/>
  <c r="I22" i="76"/>
  <c r="H22" i="76"/>
  <c r="G22" i="76"/>
  <c r="F22" i="76"/>
  <c r="E22" i="76"/>
  <c r="D22" i="76"/>
  <c r="O21" i="76"/>
  <c r="N21" i="76"/>
  <c r="M21" i="76"/>
  <c r="L21" i="76"/>
  <c r="K21" i="76"/>
  <c r="J21" i="76"/>
  <c r="I21" i="76"/>
  <c r="H21" i="76"/>
  <c r="G21" i="76"/>
  <c r="F21" i="76"/>
  <c r="E21" i="76"/>
  <c r="D21" i="76"/>
  <c r="P21" i="76" s="1"/>
  <c r="O20" i="76"/>
  <c r="N20" i="76"/>
  <c r="M20" i="76"/>
  <c r="L20" i="76"/>
  <c r="K20" i="76"/>
  <c r="J20" i="76"/>
  <c r="J27" i="76" s="1"/>
  <c r="I20" i="76"/>
  <c r="H20" i="76"/>
  <c r="G20" i="76"/>
  <c r="F20" i="76"/>
  <c r="E20" i="76"/>
  <c r="D20" i="76"/>
  <c r="P20" i="76" s="1"/>
  <c r="O19" i="76"/>
  <c r="N19" i="76"/>
  <c r="M19" i="76"/>
  <c r="L19" i="76"/>
  <c r="L27" i="76" s="1"/>
  <c r="K19" i="76"/>
  <c r="J19" i="76"/>
  <c r="I19" i="76"/>
  <c r="H19" i="76"/>
  <c r="G19" i="76"/>
  <c r="F19" i="76"/>
  <c r="E19" i="76"/>
  <c r="D19" i="76"/>
  <c r="P19" i="76" s="1"/>
  <c r="O18" i="76"/>
  <c r="N18" i="76"/>
  <c r="M18" i="76"/>
  <c r="L18" i="76"/>
  <c r="K18" i="76"/>
  <c r="J18" i="76"/>
  <c r="I18" i="76"/>
  <c r="H18" i="76"/>
  <c r="G18" i="76"/>
  <c r="F18" i="76"/>
  <c r="E18" i="76"/>
  <c r="D18" i="76"/>
  <c r="P18" i="76" s="1"/>
  <c r="O17" i="76"/>
  <c r="N17" i="76"/>
  <c r="M17" i="76"/>
  <c r="L17" i="76"/>
  <c r="K17" i="76"/>
  <c r="J17" i="76"/>
  <c r="I17" i="76"/>
  <c r="H17" i="76"/>
  <c r="G17" i="76"/>
  <c r="F17" i="76"/>
  <c r="E17" i="76"/>
  <c r="D17" i="76"/>
  <c r="P17" i="76" s="1"/>
  <c r="O16" i="76"/>
  <c r="N16" i="76"/>
  <c r="M16" i="76"/>
  <c r="L16" i="76"/>
  <c r="K16" i="76"/>
  <c r="J16" i="76"/>
  <c r="I16" i="76"/>
  <c r="H16" i="76"/>
  <c r="G16" i="76"/>
  <c r="F16" i="76"/>
  <c r="E16" i="76"/>
  <c r="D16" i="76"/>
  <c r="P16" i="76" s="1"/>
  <c r="O15" i="76"/>
  <c r="N15" i="76"/>
  <c r="M15" i="76"/>
  <c r="L15" i="76"/>
  <c r="K15" i="76"/>
  <c r="J15" i="76"/>
  <c r="I15" i="76"/>
  <c r="H15" i="76"/>
  <c r="H27" i="76" s="1"/>
  <c r="G15" i="76"/>
  <c r="F15" i="76"/>
  <c r="E15" i="76"/>
  <c r="D15" i="76"/>
  <c r="P15" i="76" s="1"/>
  <c r="A15" i="76"/>
  <c r="A16" i="76" s="1"/>
  <c r="R14" i="76"/>
  <c r="Q14" i="76"/>
  <c r="O14" i="76"/>
  <c r="O27" i="76" s="1"/>
  <c r="N14" i="76"/>
  <c r="M14" i="76"/>
  <c r="M27" i="76" s="1"/>
  <c r="L14" i="76"/>
  <c r="K14" i="76"/>
  <c r="K27" i="76" s="1"/>
  <c r="J14" i="76"/>
  <c r="I14" i="76"/>
  <c r="I27" i="76" s="1"/>
  <c r="H14" i="76"/>
  <c r="G14" i="76"/>
  <c r="G27" i="76" s="1"/>
  <c r="F14" i="76"/>
  <c r="E14" i="76"/>
  <c r="E27" i="76" s="1"/>
  <c r="D14" i="76"/>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B90" i="75"/>
  <c r="E89" i="75"/>
  <c r="E90" i="75" s="1"/>
  <c r="B89" i="75"/>
  <c r="A89" i="75"/>
  <c r="A90" i="75" s="1"/>
  <c r="J88" i="75"/>
  <c r="E88" i="75"/>
  <c r="B88" i="75"/>
  <c r="J87" i="75"/>
  <c r="C87" i="75"/>
  <c r="B87" i="75"/>
  <c r="B86" i="75"/>
  <c r="C75" i="75"/>
  <c r="C74" i="75"/>
  <c r="C73" i="75"/>
  <c r="C72" i="75"/>
  <c r="C71" i="75"/>
  <c r="C70" i="75"/>
  <c r="C69" i="75"/>
  <c r="C68" i="75"/>
  <c r="C67" i="75"/>
  <c r="C66" i="75"/>
  <c r="C65" i="75"/>
  <c r="C64" i="75"/>
  <c r="A53" i="75"/>
  <c r="A54" i="75" s="1"/>
  <c r="J52" i="75"/>
  <c r="E52" i="75"/>
  <c r="E53" i="75" s="1"/>
  <c r="J51" i="75"/>
  <c r="C51" i="75"/>
  <c r="B51" i="75"/>
  <c r="B50" i="75"/>
  <c r="G38" i="75"/>
  <c r="D38" i="75"/>
  <c r="D160" i="80" s="1"/>
  <c r="F160" i="80" s="1"/>
  <c r="C38" i="75"/>
  <c r="B38" i="75"/>
  <c r="G37" i="75"/>
  <c r="D37" i="75"/>
  <c r="D159" i="80" s="1"/>
  <c r="F159" i="80" s="1"/>
  <c r="C37" i="75"/>
  <c r="B37" i="75"/>
  <c r="G36" i="75"/>
  <c r="D36" i="75"/>
  <c r="D158" i="80" s="1"/>
  <c r="F158" i="80" s="1"/>
  <c r="C36" i="75"/>
  <c r="B36" i="75"/>
  <c r="G35" i="75"/>
  <c r="D35" i="75"/>
  <c r="D157" i="80" s="1"/>
  <c r="F157" i="80" s="1"/>
  <c r="C35" i="75"/>
  <c r="B35" i="75"/>
  <c r="G34" i="75"/>
  <c r="D34" i="75"/>
  <c r="D156" i="80" s="1"/>
  <c r="F156" i="80" s="1"/>
  <c r="C34" i="75"/>
  <c r="B34" i="75"/>
  <c r="G33" i="75"/>
  <c r="D33" i="75"/>
  <c r="D155" i="80" s="1"/>
  <c r="F155" i="80" s="1"/>
  <c r="C33" i="75"/>
  <c r="B33" i="75"/>
  <c r="G32" i="75"/>
  <c r="D32" i="75"/>
  <c r="D154" i="80" s="1"/>
  <c r="F154" i="80" s="1"/>
  <c r="C32" i="75"/>
  <c r="B32" i="75"/>
  <c r="G31" i="75"/>
  <c r="D31" i="75"/>
  <c r="D153" i="80" s="1"/>
  <c r="F153" i="80" s="1"/>
  <c r="C31" i="75"/>
  <c r="B31" i="75"/>
  <c r="G30" i="75"/>
  <c r="D30" i="75"/>
  <c r="D152" i="80" s="1"/>
  <c r="F152" i="80" s="1"/>
  <c r="C30" i="75"/>
  <c r="B30" i="75"/>
  <c r="G29" i="75"/>
  <c r="D29" i="75"/>
  <c r="D151" i="80" s="1"/>
  <c r="F151" i="80" s="1"/>
  <c r="C29" i="75"/>
  <c r="B29" i="75"/>
  <c r="G28" i="75"/>
  <c r="D28" i="75"/>
  <c r="D150" i="80" s="1"/>
  <c r="F150" i="80" s="1"/>
  <c r="C28" i="75"/>
  <c r="B28" i="75"/>
  <c r="G27" i="75"/>
  <c r="D27" i="75"/>
  <c r="D149" i="80" s="1"/>
  <c r="C27" i="75"/>
  <c r="B27" i="75"/>
  <c r="G26" i="75"/>
  <c r="D26" i="75"/>
  <c r="D143" i="80" s="1"/>
  <c r="B26" i="75"/>
  <c r="G25" i="75"/>
  <c r="D25" i="75"/>
  <c r="D142" i="80" s="1"/>
  <c r="B25" i="75"/>
  <c r="G24" i="75"/>
  <c r="D24" i="75"/>
  <c r="D141" i="80" s="1"/>
  <c r="F141" i="80" s="1"/>
  <c r="B24" i="75"/>
  <c r="G23" i="75"/>
  <c r="D23" i="75"/>
  <c r="D140" i="80" s="1"/>
  <c r="B23" i="75"/>
  <c r="G22" i="75"/>
  <c r="D22" i="75"/>
  <c r="D139" i="80" s="1"/>
  <c r="B22" i="75"/>
  <c r="G21" i="75"/>
  <c r="D21" i="75"/>
  <c r="D138" i="80" s="1"/>
  <c r="B21" i="75"/>
  <c r="G20" i="75"/>
  <c r="D20" i="75"/>
  <c r="D137" i="80" s="1"/>
  <c r="B20" i="75"/>
  <c r="G19" i="75"/>
  <c r="D19" i="75"/>
  <c r="D136" i="80" s="1"/>
  <c r="B19" i="75"/>
  <c r="J18" i="75"/>
  <c r="G18" i="75"/>
  <c r="D18" i="75"/>
  <c r="D135" i="80" s="1"/>
  <c r="B18" i="75"/>
  <c r="G17" i="75"/>
  <c r="D17" i="75"/>
  <c r="D134" i="80" s="1"/>
  <c r="B17" i="75"/>
  <c r="A17" i="75"/>
  <c r="A18" i="75" s="1"/>
  <c r="A19" i="75" s="1"/>
  <c r="J16" i="75"/>
  <c r="G16" i="75"/>
  <c r="D16" i="75"/>
  <c r="D133" i="80" s="1"/>
  <c r="B16" i="75"/>
  <c r="A16" i="75"/>
  <c r="J15" i="75"/>
  <c r="G15" i="75"/>
  <c r="E15" i="75"/>
  <c r="D15" i="75"/>
  <c r="D132" i="80" s="1"/>
  <c r="B15" i="75"/>
  <c r="J14" i="75"/>
  <c r="K42" i="102"/>
  <c r="K41" i="102"/>
  <c r="K40" i="102"/>
  <c r="K39" i="102"/>
  <c r="K38" i="102"/>
  <c r="K37" i="102"/>
  <c r="K36" i="102"/>
  <c r="K35" i="102"/>
  <c r="K34" i="102"/>
  <c r="K33" i="102"/>
  <c r="K32" i="102"/>
  <c r="K31" i="102"/>
  <c r="K30" i="102"/>
  <c r="K29" i="102"/>
  <c r="K28" i="102"/>
  <c r="K27" i="102"/>
  <c r="K26" i="102"/>
  <c r="K25" i="102"/>
  <c r="K24" i="102"/>
  <c r="K23" i="102"/>
  <c r="K22" i="102"/>
  <c r="K21" i="102"/>
  <c r="K20" i="102"/>
  <c r="K19" i="102"/>
  <c r="K18" i="102"/>
  <c r="A18" i="102"/>
  <c r="K17" i="102"/>
  <c r="A17" i="102"/>
  <c r="Q17" i="102" s="1"/>
  <c r="Q14" i="102"/>
  <c r="A14" i="102"/>
  <c r="K13" i="102"/>
  <c r="J13" i="102"/>
  <c r="I13" i="102"/>
  <c r="E41" i="92" s="1"/>
  <c r="A13" i="102"/>
  <c r="Q13" i="102" s="1"/>
  <c r="Q12" i="102"/>
  <c r="K12" i="102"/>
  <c r="J12" i="102"/>
  <c r="I12" i="102"/>
  <c r="D41" i="92" s="1"/>
  <c r="Q11" i="102"/>
  <c r="A128" i="73"/>
  <c r="A129" i="73" s="1"/>
  <c r="R129" i="73" s="1"/>
  <c r="R127" i="73"/>
  <c r="R126" i="73"/>
  <c r="D116" i="73"/>
  <c r="A116" i="73"/>
  <c r="R116" i="73" s="1"/>
  <c r="A115" i="73"/>
  <c r="R115" i="73" s="1"/>
  <c r="R114" i="73"/>
  <c r="R113" i="73"/>
  <c r="R102" i="73"/>
  <c r="D102" i="73"/>
  <c r="A102" i="73"/>
  <c r="R101" i="73"/>
  <c r="A101" i="73"/>
  <c r="R100" i="73"/>
  <c r="R99" i="73"/>
  <c r="F88" i="73"/>
  <c r="E88" i="73"/>
  <c r="A88" i="73"/>
  <c r="R88" i="73" s="1"/>
  <c r="R87" i="73"/>
  <c r="D87" i="73"/>
  <c r="A87" i="73"/>
  <c r="R86" i="73"/>
  <c r="D86" i="73"/>
  <c r="R85" i="73"/>
  <c r="O75" i="73"/>
  <c r="N75" i="73"/>
  <c r="M75" i="73"/>
  <c r="L75" i="73"/>
  <c r="K75" i="73"/>
  <c r="J75" i="73"/>
  <c r="I75" i="73"/>
  <c r="H75" i="73"/>
  <c r="G75" i="73"/>
  <c r="F75" i="73"/>
  <c r="E75" i="73"/>
  <c r="D75" i="73"/>
  <c r="P74" i="73"/>
  <c r="P73" i="73"/>
  <c r="P72" i="73"/>
  <c r="P71" i="73"/>
  <c r="P70" i="73"/>
  <c r="P69" i="73"/>
  <c r="P68" i="73"/>
  <c r="P67" i="73"/>
  <c r="P66" i="73"/>
  <c r="P65" i="73"/>
  <c r="P64" i="73"/>
  <c r="A64" i="73"/>
  <c r="R63" i="73"/>
  <c r="P63" i="73"/>
  <c r="A63" i="73"/>
  <c r="R62" i="73"/>
  <c r="P62" i="73"/>
  <c r="R61" i="73"/>
  <c r="O50" i="73"/>
  <c r="N50" i="73"/>
  <c r="M50" i="73"/>
  <c r="L50" i="73"/>
  <c r="K50" i="73"/>
  <c r="J50" i="73"/>
  <c r="I50" i="73"/>
  <c r="H50" i="73"/>
  <c r="G50" i="73"/>
  <c r="F50" i="73"/>
  <c r="E50" i="73"/>
  <c r="D50" i="73"/>
  <c r="P49" i="73"/>
  <c r="P48" i="73"/>
  <c r="P47" i="73"/>
  <c r="P46" i="73"/>
  <c r="P45" i="73"/>
  <c r="P44" i="73"/>
  <c r="P43" i="73"/>
  <c r="P42" i="73"/>
  <c r="P41" i="73"/>
  <c r="P40" i="73"/>
  <c r="P39" i="73"/>
  <c r="A39" i="73"/>
  <c r="P38" i="73"/>
  <c r="A38" i="73"/>
  <c r="R37" i="73"/>
  <c r="P37" i="73"/>
  <c r="R36" i="73"/>
  <c r="O24" i="73"/>
  <c r="N24" i="73"/>
  <c r="M24" i="73"/>
  <c r="L24" i="73"/>
  <c r="K24" i="73"/>
  <c r="J24" i="73"/>
  <c r="I24" i="73"/>
  <c r="H24" i="73"/>
  <c r="G24" i="73"/>
  <c r="F24" i="73"/>
  <c r="E24" i="73"/>
  <c r="E87" i="77" s="1"/>
  <c r="D24" i="73"/>
  <c r="D87" i="77" s="1"/>
  <c r="O23" i="73"/>
  <c r="O86" i="77" s="1"/>
  <c r="N23" i="73"/>
  <c r="N86" i="77" s="1"/>
  <c r="M23" i="73"/>
  <c r="M86" i="77" s="1"/>
  <c r="L23" i="73"/>
  <c r="L86" i="77" s="1"/>
  <c r="K23" i="73"/>
  <c r="K86" i="77" s="1"/>
  <c r="J23" i="73"/>
  <c r="J86" i="77" s="1"/>
  <c r="I23" i="73"/>
  <c r="I86" i="77" s="1"/>
  <c r="H23" i="73"/>
  <c r="H86" i="77" s="1"/>
  <c r="G23" i="73"/>
  <c r="G86" i="77" s="1"/>
  <c r="F23" i="73"/>
  <c r="F86" i="77" s="1"/>
  <c r="E23" i="73"/>
  <c r="E86" i="77" s="1"/>
  <c r="D23" i="73"/>
  <c r="D86" i="77" s="1"/>
  <c r="O22" i="73"/>
  <c r="O85" i="77" s="1"/>
  <c r="N22" i="73"/>
  <c r="N85" i="77" s="1"/>
  <c r="M22" i="73"/>
  <c r="M85" i="77" s="1"/>
  <c r="L22" i="73"/>
  <c r="L85" i="77" s="1"/>
  <c r="K22" i="73"/>
  <c r="K85" i="77" s="1"/>
  <c r="J22" i="73"/>
  <c r="J85" i="77" s="1"/>
  <c r="I22" i="73"/>
  <c r="I85" i="77" s="1"/>
  <c r="H22" i="73"/>
  <c r="G22" i="73"/>
  <c r="G85" i="77" s="1"/>
  <c r="F22" i="73"/>
  <c r="F85" i="77" s="1"/>
  <c r="E22" i="73"/>
  <c r="E85" i="77" s="1"/>
  <c r="E119" i="77" s="1"/>
  <c r="D22" i="73"/>
  <c r="D85" i="77" s="1"/>
  <c r="O21" i="73"/>
  <c r="O84" i="77" s="1"/>
  <c r="N21" i="73"/>
  <c r="N84" i="77" s="1"/>
  <c r="M21" i="73"/>
  <c r="L21" i="73"/>
  <c r="L84" i="77" s="1"/>
  <c r="K21" i="73"/>
  <c r="K84" i="77" s="1"/>
  <c r="J21" i="73"/>
  <c r="J84" i="77" s="1"/>
  <c r="I21" i="73"/>
  <c r="I84" i="77" s="1"/>
  <c r="H21" i="73"/>
  <c r="H84" i="77" s="1"/>
  <c r="G21" i="73"/>
  <c r="G84" i="77" s="1"/>
  <c r="F21" i="73"/>
  <c r="F84" i="77" s="1"/>
  <c r="F118" i="77" s="1"/>
  <c r="E21" i="73"/>
  <c r="E84" i="77" s="1"/>
  <c r="E118" i="77" s="1"/>
  <c r="D21" i="73"/>
  <c r="D84" i="77" s="1"/>
  <c r="O20" i="73"/>
  <c r="O83" i="77" s="1"/>
  <c r="N20" i="73"/>
  <c r="N83" i="77" s="1"/>
  <c r="M20" i="73"/>
  <c r="M83" i="77" s="1"/>
  <c r="L20" i="73"/>
  <c r="L83" i="77" s="1"/>
  <c r="K20" i="73"/>
  <c r="K83" i="77" s="1"/>
  <c r="J20" i="73"/>
  <c r="J83" i="77" s="1"/>
  <c r="I20" i="73"/>
  <c r="I83" i="77" s="1"/>
  <c r="H20" i="73"/>
  <c r="H83" i="77" s="1"/>
  <c r="G20" i="73"/>
  <c r="G83" i="77" s="1"/>
  <c r="F20" i="73"/>
  <c r="F83" i="77" s="1"/>
  <c r="E20" i="73"/>
  <c r="E83" i="77" s="1"/>
  <c r="D20" i="73"/>
  <c r="D83" i="77" s="1"/>
  <c r="O19" i="73"/>
  <c r="O82" i="77" s="1"/>
  <c r="N19" i="73"/>
  <c r="N82" i="77" s="1"/>
  <c r="M19" i="73"/>
  <c r="M82" i="77" s="1"/>
  <c r="L19" i="73"/>
  <c r="L82" i="77" s="1"/>
  <c r="K19" i="73"/>
  <c r="K82" i="77" s="1"/>
  <c r="J19" i="73"/>
  <c r="J82" i="77" s="1"/>
  <c r="I19" i="73"/>
  <c r="I82" i="77" s="1"/>
  <c r="H19" i="73"/>
  <c r="H82" i="77" s="1"/>
  <c r="G19" i="73"/>
  <c r="G82" i="77" s="1"/>
  <c r="F19" i="73"/>
  <c r="F82" i="77" s="1"/>
  <c r="E19" i="73"/>
  <c r="E82" i="77" s="1"/>
  <c r="D19" i="73"/>
  <c r="D82" i="77" s="1"/>
  <c r="O18" i="73"/>
  <c r="O81" i="77" s="1"/>
  <c r="N18" i="73"/>
  <c r="N81" i="77" s="1"/>
  <c r="M18" i="73"/>
  <c r="M81" i="77" s="1"/>
  <c r="L18" i="73"/>
  <c r="L81" i="77" s="1"/>
  <c r="K18" i="73"/>
  <c r="K81" i="77" s="1"/>
  <c r="J18" i="73"/>
  <c r="J81" i="77" s="1"/>
  <c r="I18" i="73"/>
  <c r="I81" i="77" s="1"/>
  <c r="H18" i="73"/>
  <c r="H81" i="77" s="1"/>
  <c r="G18" i="73"/>
  <c r="G81" i="77" s="1"/>
  <c r="F18" i="73"/>
  <c r="F81" i="77" s="1"/>
  <c r="E18" i="73"/>
  <c r="E81" i="77" s="1"/>
  <c r="D18" i="73"/>
  <c r="D81" i="77" s="1"/>
  <c r="O17" i="73"/>
  <c r="O80" i="77" s="1"/>
  <c r="N17" i="73"/>
  <c r="N80" i="77" s="1"/>
  <c r="M17" i="73"/>
  <c r="M80" i="77" s="1"/>
  <c r="L17" i="73"/>
  <c r="L80" i="77" s="1"/>
  <c r="K17" i="73"/>
  <c r="K80" i="77" s="1"/>
  <c r="J17" i="73"/>
  <c r="J80" i="77" s="1"/>
  <c r="I17" i="73"/>
  <c r="I80" i="77" s="1"/>
  <c r="H17" i="73"/>
  <c r="H80" i="77" s="1"/>
  <c r="G17" i="73"/>
  <c r="G80" i="77" s="1"/>
  <c r="G114" i="77" s="1"/>
  <c r="F17" i="73"/>
  <c r="F80" i="77" s="1"/>
  <c r="E17" i="73"/>
  <c r="E80" i="77" s="1"/>
  <c r="D17" i="73"/>
  <c r="D80" i="77" s="1"/>
  <c r="O16" i="73"/>
  <c r="O79" i="77" s="1"/>
  <c r="N16" i="73"/>
  <c r="N79" i="77" s="1"/>
  <c r="M16" i="73"/>
  <c r="M79" i="77" s="1"/>
  <c r="L16" i="73"/>
  <c r="L79" i="77" s="1"/>
  <c r="K16" i="73"/>
  <c r="K79" i="77" s="1"/>
  <c r="J16" i="73"/>
  <c r="J79" i="77" s="1"/>
  <c r="I16" i="73"/>
  <c r="I79" i="77" s="1"/>
  <c r="H16" i="73"/>
  <c r="H79" i="77" s="1"/>
  <c r="G16" i="73"/>
  <c r="G79" i="77" s="1"/>
  <c r="G113" i="77" s="1"/>
  <c r="F16" i="73"/>
  <c r="F79" i="77" s="1"/>
  <c r="E16" i="73"/>
  <c r="E79" i="77" s="1"/>
  <c r="D16" i="73"/>
  <c r="D79" i="77" s="1"/>
  <c r="O15" i="73"/>
  <c r="O78" i="77" s="1"/>
  <c r="N15" i="73"/>
  <c r="N78" i="77" s="1"/>
  <c r="M15" i="73"/>
  <c r="M78" i="77" s="1"/>
  <c r="L15" i="73"/>
  <c r="L78" i="77" s="1"/>
  <c r="K15" i="73"/>
  <c r="K78" i="77" s="1"/>
  <c r="J15" i="73"/>
  <c r="J78" i="77" s="1"/>
  <c r="I15" i="73"/>
  <c r="I78" i="77" s="1"/>
  <c r="H15" i="73"/>
  <c r="H78" i="77" s="1"/>
  <c r="G15" i="73"/>
  <c r="G78" i="77" s="1"/>
  <c r="F15" i="73"/>
  <c r="F78" i="77" s="1"/>
  <c r="E15" i="73"/>
  <c r="E78" i="77" s="1"/>
  <c r="D15" i="73"/>
  <c r="D78" i="77" s="1"/>
  <c r="R14" i="73"/>
  <c r="O14" i="73"/>
  <c r="O77" i="77" s="1"/>
  <c r="N14" i="73"/>
  <c r="N77" i="77" s="1"/>
  <c r="M14" i="73"/>
  <c r="M77" i="77" s="1"/>
  <c r="L14" i="73"/>
  <c r="L77" i="77" s="1"/>
  <c r="K14" i="73"/>
  <c r="K77" i="77" s="1"/>
  <c r="J14" i="73"/>
  <c r="J77" i="77" s="1"/>
  <c r="I14" i="73"/>
  <c r="I77" i="77" s="1"/>
  <c r="H14" i="73"/>
  <c r="H77" i="77" s="1"/>
  <c r="G14" i="73"/>
  <c r="G77" i="77" s="1"/>
  <c r="F14" i="73"/>
  <c r="F77" i="77" s="1"/>
  <c r="F111" i="77" s="1"/>
  <c r="E14" i="73"/>
  <c r="E77" i="77" s="1"/>
  <c r="D14" i="73"/>
  <c r="D77" i="77" s="1"/>
  <c r="O13" i="73"/>
  <c r="O76" i="77" s="1"/>
  <c r="N13" i="73"/>
  <c r="N76" i="77" s="1"/>
  <c r="M13" i="73"/>
  <c r="M76" i="77" s="1"/>
  <c r="L13" i="73"/>
  <c r="L76" i="77" s="1"/>
  <c r="K13" i="73"/>
  <c r="K76" i="77" s="1"/>
  <c r="J13" i="73"/>
  <c r="J76" i="77" s="1"/>
  <c r="J110" i="77" s="1"/>
  <c r="I13" i="73"/>
  <c r="H13" i="73"/>
  <c r="H76" i="77" s="1"/>
  <c r="G13" i="73"/>
  <c r="G76" i="77" s="1"/>
  <c r="G110" i="77" s="1"/>
  <c r="F13" i="73"/>
  <c r="F76" i="77" s="1"/>
  <c r="E13" i="73"/>
  <c r="E76" i="77" s="1"/>
  <c r="D13" i="73"/>
  <c r="D76" i="77" s="1"/>
  <c r="A13" i="73"/>
  <c r="A14" i="73" s="1"/>
  <c r="A15" i="73" s="1"/>
  <c r="R12" i="73"/>
  <c r="Q12" i="73"/>
  <c r="O12" i="73"/>
  <c r="O25" i="73" s="1"/>
  <c r="N12" i="73"/>
  <c r="N25" i="73" s="1"/>
  <c r="M12" i="73"/>
  <c r="L12" i="73"/>
  <c r="L25" i="73" s="1"/>
  <c r="K12" i="73"/>
  <c r="J12" i="73"/>
  <c r="I12" i="73"/>
  <c r="H12" i="73"/>
  <c r="H25" i="73" s="1"/>
  <c r="G12" i="73"/>
  <c r="F12" i="73"/>
  <c r="E12" i="73"/>
  <c r="D12" i="73"/>
  <c r="R11" i="73"/>
  <c r="F24" i="72"/>
  <c r="D24" i="72"/>
  <c r="C36" i="90" s="1"/>
  <c r="I23" i="72"/>
  <c r="I22" i="72"/>
  <c r="G22" i="72"/>
  <c r="G21" i="72"/>
  <c r="I21" i="72" s="1"/>
  <c r="I20" i="72"/>
  <c r="G20" i="72"/>
  <c r="G19" i="72"/>
  <c r="I19" i="72" s="1"/>
  <c r="G18" i="72"/>
  <c r="I18" i="72" s="1"/>
  <c r="I17" i="72"/>
  <c r="G17" i="72"/>
  <c r="I16" i="72"/>
  <c r="G16" i="72"/>
  <c r="J15" i="72"/>
  <c r="G15" i="72"/>
  <c r="I15" i="72" s="1"/>
  <c r="A15" i="72"/>
  <c r="A16" i="72" s="1"/>
  <c r="J14" i="72"/>
  <c r="G14" i="72"/>
  <c r="J13" i="72"/>
  <c r="G42" i="71"/>
  <c r="E42" i="71"/>
  <c r="K38" i="71"/>
  <c r="A38" i="71"/>
  <c r="A39" i="71" s="1"/>
  <c r="A40" i="71" s="1"/>
  <c r="K37" i="71"/>
  <c r="K36" i="71"/>
  <c r="H30" i="71"/>
  <c r="G30" i="71"/>
  <c r="E11" i="71" s="1"/>
  <c r="F30" i="71"/>
  <c r="J29" i="71"/>
  <c r="I29" i="71"/>
  <c r="J28" i="71"/>
  <c r="I28" i="71"/>
  <c r="J27" i="71"/>
  <c r="I27" i="71"/>
  <c r="J26" i="71"/>
  <c r="I26" i="71"/>
  <c r="J25" i="71"/>
  <c r="I25" i="71"/>
  <c r="J24" i="71"/>
  <c r="I24" i="71"/>
  <c r="A24" i="71"/>
  <c r="A25" i="71" s="1"/>
  <c r="A26" i="71" s="1"/>
  <c r="J23" i="71"/>
  <c r="J30" i="71" s="1"/>
  <c r="E6" i="71" s="1"/>
  <c r="I23" i="71"/>
  <c r="A23" i="71"/>
  <c r="K23" i="71" s="1"/>
  <c r="K22" i="71"/>
  <c r="J22" i="71"/>
  <c r="I22" i="71"/>
  <c r="K21" i="71"/>
  <c r="E12" i="71"/>
  <c r="E10" i="71"/>
  <c r="F8" i="71"/>
  <c r="A8" i="71"/>
  <c r="K7" i="71"/>
  <c r="E7" i="71"/>
  <c r="A7" i="71"/>
  <c r="K6" i="71"/>
  <c r="K5" i="71"/>
  <c r="F24" i="70"/>
  <c r="F22" i="70"/>
  <c r="F14" i="70"/>
  <c r="A10" i="70"/>
  <c r="H10" i="70" s="1"/>
  <c r="A9" i="70"/>
  <c r="H8" i="70"/>
  <c r="A8" i="70"/>
  <c r="H7" i="70"/>
  <c r="C39" i="69"/>
  <c r="C37" i="69"/>
  <c r="C35" i="69"/>
  <c r="C33" i="69"/>
  <c r="C31" i="69"/>
  <c r="C29" i="69"/>
  <c r="C27" i="69"/>
  <c r="C25" i="69"/>
  <c r="C23" i="69"/>
  <c r="C21" i="69"/>
  <c r="C19" i="69"/>
  <c r="C17" i="69"/>
  <c r="A17" i="69"/>
  <c r="C15" i="69"/>
  <c r="A15" i="69"/>
  <c r="Q15" i="69" s="1"/>
  <c r="Q13" i="69"/>
  <c r="C13" i="69"/>
  <c r="Q12" i="69"/>
  <c r="O10" i="69"/>
  <c r="K10" i="69"/>
  <c r="D29" i="68"/>
  <c r="D28" i="68"/>
  <c r="D25" i="68"/>
  <c r="D21" i="68"/>
  <c r="D27" i="68" s="1"/>
  <c r="D20" i="68"/>
  <c r="D19" i="68"/>
  <c r="D13" i="68"/>
  <c r="D12" i="68"/>
  <c r="D11" i="68"/>
  <c r="D10" i="68"/>
  <c r="G9" i="68"/>
  <c r="D9" i="68"/>
  <c r="G8" i="68"/>
  <c r="D8" i="68"/>
  <c r="G7" i="68"/>
  <c r="D7" i="68"/>
  <c r="A7" i="68"/>
  <c r="A8" i="68" s="1"/>
  <c r="A9" i="68" s="1"/>
  <c r="A10" i="68" s="1"/>
  <c r="G6" i="68"/>
  <c r="D6" i="68"/>
  <c r="G4" i="68"/>
  <c r="O56" i="5"/>
  <c r="N56" i="5"/>
  <c r="E158" i="109"/>
  <c r="D158" i="109"/>
  <c r="E153" i="109"/>
  <c r="D153" i="109"/>
  <c r="B143" i="109"/>
  <c r="E120" i="109"/>
  <c r="D120" i="109"/>
  <c r="D119" i="109"/>
  <c r="D118" i="109"/>
  <c r="D117" i="109"/>
  <c r="D116" i="109"/>
  <c r="D115" i="109"/>
  <c r="D114" i="109"/>
  <c r="D113" i="109"/>
  <c r="D112" i="109"/>
  <c r="D111" i="109"/>
  <c r="D110" i="109"/>
  <c r="D109" i="109"/>
  <c r="A109" i="109"/>
  <c r="D108" i="109"/>
  <c r="A108" i="109"/>
  <c r="L108" i="109" s="1"/>
  <c r="L102" i="109"/>
  <c r="L101" i="109"/>
  <c r="B100" i="109"/>
  <c r="B99" i="109"/>
  <c r="L95" i="109"/>
  <c r="B95" i="109"/>
  <c r="L94" i="109"/>
  <c r="H90" i="109"/>
  <c r="E90" i="109"/>
  <c r="C90" i="109"/>
  <c r="E89" i="109"/>
  <c r="C89" i="109"/>
  <c r="E88" i="109"/>
  <c r="C88" i="109"/>
  <c r="E87" i="109"/>
  <c r="C87" i="109"/>
  <c r="E86" i="109"/>
  <c r="C86" i="109"/>
  <c r="E85" i="109"/>
  <c r="C85" i="109"/>
  <c r="H84" i="109"/>
  <c r="E84" i="109"/>
  <c r="C84" i="109"/>
  <c r="H83" i="109"/>
  <c r="E83" i="109"/>
  <c r="C83" i="109"/>
  <c r="H82" i="109"/>
  <c r="E82" i="109"/>
  <c r="C82" i="109"/>
  <c r="E81" i="109"/>
  <c r="C81" i="109"/>
  <c r="H80" i="109"/>
  <c r="E80" i="109"/>
  <c r="C80" i="109"/>
  <c r="A80" i="109"/>
  <c r="A81" i="109" s="1"/>
  <c r="L79" i="109"/>
  <c r="E79" i="109"/>
  <c r="C79" i="109"/>
  <c r="L78" i="109"/>
  <c r="I75" i="109"/>
  <c r="F75" i="109"/>
  <c r="H68" i="109"/>
  <c r="H67" i="109"/>
  <c r="H66" i="109"/>
  <c r="H65" i="109"/>
  <c r="H64" i="109"/>
  <c r="H63" i="109"/>
  <c r="H62" i="109"/>
  <c r="H61" i="109"/>
  <c r="H60" i="109"/>
  <c r="H59" i="109"/>
  <c r="H58" i="109"/>
  <c r="H57" i="109"/>
  <c r="H56" i="109"/>
  <c r="E56" i="109"/>
  <c r="H55" i="109"/>
  <c r="H54" i="109"/>
  <c r="E54" i="109"/>
  <c r="C54" i="109"/>
  <c r="C117" i="109" s="1"/>
  <c r="H53" i="109"/>
  <c r="H52" i="109"/>
  <c r="H51" i="109"/>
  <c r="H50" i="109"/>
  <c r="H49" i="109"/>
  <c r="H48" i="109"/>
  <c r="H47" i="109"/>
  <c r="A47" i="109"/>
  <c r="H46" i="109"/>
  <c r="E46" i="109"/>
  <c r="A46" i="109"/>
  <c r="L46" i="109" s="1"/>
  <c r="H45" i="109"/>
  <c r="E45" i="109"/>
  <c r="L44" i="109"/>
  <c r="K44" i="109"/>
  <c r="A44" i="109"/>
  <c r="A45" i="109" s="1"/>
  <c r="L45" i="109" s="1"/>
  <c r="K39" i="109"/>
  <c r="F39" i="109"/>
  <c r="L36" i="109"/>
  <c r="L35" i="109"/>
  <c r="B31" i="109"/>
  <c r="I25" i="109"/>
  <c r="H25" i="109"/>
  <c r="G25" i="109"/>
  <c r="F25" i="109"/>
  <c r="E25" i="109"/>
  <c r="D25" i="109"/>
  <c r="C24" i="109"/>
  <c r="J24" i="109" s="1"/>
  <c r="C23" i="109"/>
  <c r="C22" i="109"/>
  <c r="J22" i="109" s="1"/>
  <c r="C21" i="109"/>
  <c r="E53" i="109" s="1"/>
  <c r="L20" i="109"/>
  <c r="C20" i="109"/>
  <c r="J20" i="109" s="1"/>
  <c r="C19" i="109"/>
  <c r="A19" i="109"/>
  <c r="A20" i="109" s="1"/>
  <c r="A21" i="109" s="1"/>
  <c r="L21" i="109" s="1"/>
  <c r="C18" i="109"/>
  <c r="J18" i="109" s="1"/>
  <c r="L17" i="109"/>
  <c r="C17" i="109"/>
  <c r="E49" i="109" s="1"/>
  <c r="L16" i="109"/>
  <c r="C16" i="109"/>
  <c r="E48" i="109" s="1"/>
  <c r="A16" i="109"/>
  <c r="A17" i="109" s="1"/>
  <c r="A18" i="109" s="1"/>
  <c r="L18" i="109" s="1"/>
  <c r="C15" i="109"/>
  <c r="A15" i="109"/>
  <c r="L15" i="109" s="1"/>
  <c r="L14" i="109"/>
  <c r="J14" i="109"/>
  <c r="C14" i="109"/>
  <c r="A14" i="109"/>
  <c r="L13" i="109"/>
  <c r="J13" i="109"/>
  <c r="C13" i="109"/>
  <c r="L12" i="109"/>
  <c r="K1" i="109"/>
  <c r="F106" i="47"/>
  <c r="K101" i="47"/>
  <c r="E95" i="47"/>
  <c r="K95" i="47" s="1"/>
  <c r="A85" i="47"/>
  <c r="A84" i="47"/>
  <c r="H84" i="47" s="1"/>
  <c r="H83" i="47"/>
  <c r="A83" i="47"/>
  <c r="A82" i="47"/>
  <c r="H82" i="47" s="1"/>
  <c r="H81" i="47"/>
  <c r="A81" i="47"/>
  <c r="F15" i="47" s="1"/>
  <c r="H80" i="47"/>
  <c r="F80" i="47"/>
  <c r="H78" i="47"/>
  <c r="K69" i="47"/>
  <c r="K63" i="47"/>
  <c r="K58" i="47"/>
  <c r="E58" i="47"/>
  <c r="A58" i="47"/>
  <c r="H57" i="47"/>
  <c r="E57" i="47"/>
  <c r="H56" i="47"/>
  <c r="F43" i="47"/>
  <c r="K42" i="47"/>
  <c r="H42" i="47"/>
  <c r="E42" i="47"/>
  <c r="A42" i="47"/>
  <c r="A43" i="47" s="1"/>
  <c r="A41" i="47"/>
  <c r="H41" i="47" s="1"/>
  <c r="H40" i="47"/>
  <c r="E40" i="47"/>
  <c r="A40" i="47"/>
  <c r="K37" i="47"/>
  <c r="H37" i="47"/>
  <c r="H36" i="47"/>
  <c r="E28" i="47"/>
  <c r="K28" i="47" s="1"/>
  <c r="C27" i="47"/>
  <c r="E26" i="47"/>
  <c r="K26" i="47" s="1"/>
  <c r="H25" i="47"/>
  <c r="H24" i="47"/>
  <c r="K13" i="47"/>
  <c r="E13" i="47"/>
  <c r="A8" i="47"/>
  <c r="H8" i="47" s="1"/>
  <c r="H7" i="47"/>
  <c r="H5" i="47"/>
  <c r="D31" i="2"/>
  <c r="E26" i="2"/>
  <c r="A23" i="2"/>
  <c r="G22" i="2"/>
  <c r="G21" i="2"/>
  <c r="A11" i="2"/>
  <c r="A14" i="2" s="1"/>
  <c r="G10" i="2"/>
  <c r="D10" i="2"/>
  <c r="A10" i="2"/>
  <c r="E11" i="2" s="1"/>
  <c r="G9" i="2"/>
  <c r="A9" i="2"/>
  <c r="G6" i="2"/>
  <c r="G5" i="2"/>
  <c r="F2" i="2"/>
  <c r="F1" i="2"/>
  <c r="F160" i="1"/>
  <c r="H159" i="1"/>
  <c r="H158" i="1"/>
  <c r="H157" i="1"/>
  <c r="A157" i="1"/>
  <c r="A158" i="1" s="1"/>
  <c r="A159" i="1" s="1"/>
  <c r="A160" i="1" s="1"/>
  <c r="H160" i="1" s="1"/>
  <c r="H155" i="1"/>
  <c r="E155" i="1"/>
  <c r="E106" i="47" s="1"/>
  <c r="H154" i="1"/>
  <c r="F150" i="1"/>
  <c r="E150" i="1"/>
  <c r="A149" i="1"/>
  <c r="A150" i="1" s="1"/>
  <c r="F151" i="1" s="1"/>
  <c r="H148" i="1"/>
  <c r="H147" i="1"/>
  <c r="E141" i="1"/>
  <c r="E140" i="1"/>
  <c r="D30" i="2" s="1"/>
  <c r="E136" i="1"/>
  <c r="E90" i="47" s="1"/>
  <c r="K90" i="47" s="1"/>
  <c r="E134" i="1"/>
  <c r="E88" i="47" s="1"/>
  <c r="K88" i="47" s="1"/>
  <c r="E127" i="1"/>
  <c r="E82" i="47" s="1"/>
  <c r="K82" i="47" s="1"/>
  <c r="H126" i="1"/>
  <c r="A126" i="1"/>
  <c r="H125" i="1"/>
  <c r="H123" i="1"/>
  <c r="E118" i="1"/>
  <c r="E108" i="1"/>
  <c r="E69" i="47" s="1"/>
  <c r="E103" i="1"/>
  <c r="E98" i="1"/>
  <c r="A98" i="1"/>
  <c r="H97" i="1"/>
  <c r="E97" i="1"/>
  <c r="E99" i="1" s="1"/>
  <c r="H96" i="1"/>
  <c r="E88" i="1"/>
  <c r="A83" i="1"/>
  <c r="H83" i="1" s="1"/>
  <c r="F80" i="1"/>
  <c r="A80" i="1"/>
  <c r="H80" i="1" s="1"/>
  <c r="A79" i="1"/>
  <c r="H79" i="1" s="1"/>
  <c r="H78" i="1"/>
  <c r="H76" i="1"/>
  <c r="E69" i="1"/>
  <c r="E46" i="47" s="1"/>
  <c r="E65" i="1"/>
  <c r="E63" i="1"/>
  <c r="E58" i="1"/>
  <c r="F55" i="1"/>
  <c r="F37" i="1"/>
  <c r="A37" i="1"/>
  <c r="H37" i="1" s="1"/>
  <c r="H36" i="1"/>
  <c r="E36" i="1"/>
  <c r="E55" i="1" s="1"/>
  <c r="A36" i="1"/>
  <c r="H35" i="1"/>
  <c r="H33" i="1"/>
  <c r="E28" i="1"/>
  <c r="E26" i="1"/>
  <c r="H25" i="1"/>
  <c r="H24" i="1"/>
  <c r="E19" i="1"/>
  <c r="F15" i="1"/>
  <c r="E13" i="1"/>
  <c r="A9" i="1"/>
  <c r="A10" i="1" s="1"/>
  <c r="A13" i="1" s="1"/>
  <c r="H8" i="1"/>
  <c r="A8" i="1"/>
  <c r="H7" i="1"/>
  <c r="H5" i="1"/>
  <c r="G2" i="1"/>
  <c r="C47" i="109" s="1"/>
  <c r="C110" i="109" s="1"/>
  <c r="J14" i="102" l="1"/>
  <c r="F41" i="92"/>
  <c r="K14" i="102"/>
  <c r="C28" i="87"/>
  <c r="C30" i="87" s="1"/>
  <c r="L41" i="102"/>
  <c r="L39" i="102"/>
  <c r="L37" i="102"/>
  <c r="L35" i="102"/>
  <c r="L33" i="102"/>
  <c r="L31" i="102"/>
  <c r="L29" i="102"/>
  <c r="L27" i="102"/>
  <c r="L25" i="102"/>
  <c r="L23" i="102"/>
  <c r="L21" i="102"/>
  <c r="L19" i="102"/>
  <c r="L17" i="102"/>
  <c r="D14" i="68"/>
  <c r="E117" i="1"/>
  <c r="H128" i="80" s="1"/>
  <c r="H9" i="1"/>
  <c r="J17" i="109"/>
  <c r="C25" i="109"/>
  <c r="A48" i="109"/>
  <c r="L47" i="109"/>
  <c r="E50" i="109"/>
  <c r="L109" i="109"/>
  <c r="A110" i="109"/>
  <c r="R15" i="73"/>
  <c r="A16" i="73"/>
  <c r="E119" i="1"/>
  <c r="E70" i="47"/>
  <c r="K70" i="47" s="1"/>
  <c r="A9" i="47"/>
  <c r="H58" i="47"/>
  <c r="F59" i="47"/>
  <c r="A59" i="47"/>
  <c r="E8" i="71"/>
  <c r="H10" i="1"/>
  <c r="J16" i="72"/>
  <c r="A17" i="72"/>
  <c r="C55" i="89"/>
  <c r="C51" i="89"/>
  <c r="C47" i="89"/>
  <c r="E1" i="88"/>
  <c r="F1" i="87"/>
  <c r="J1" i="86"/>
  <c r="C56" i="89"/>
  <c r="C52" i="89"/>
  <c r="C48" i="89"/>
  <c r="E1" i="90"/>
  <c r="C58" i="89"/>
  <c r="C54" i="89"/>
  <c r="C50" i="89"/>
  <c r="F1" i="91"/>
  <c r="C57" i="89"/>
  <c r="BB1" i="103"/>
  <c r="C53" i="89"/>
  <c r="P1" i="84"/>
  <c r="J1" i="89"/>
  <c r="B65" i="83"/>
  <c r="B57" i="83"/>
  <c r="B60" i="83"/>
  <c r="B121" i="80"/>
  <c r="B117" i="80"/>
  <c r="B113" i="80"/>
  <c r="B122" i="80"/>
  <c r="C49" i="89"/>
  <c r="B66" i="83"/>
  <c r="B58" i="83"/>
  <c r="B61" i="83"/>
  <c r="J1" i="83"/>
  <c r="B64" i="83"/>
  <c r="B56" i="83"/>
  <c r="B119" i="80"/>
  <c r="B115" i="80"/>
  <c r="B111" i="80"/>
  <c r="F1" i="81"/>
  <c r="B63" i="83"/>
  <c r="C18" i="79"/>
  <c r="B114" i="80"/>
  <c r="C25" i="79"/>
  <c r="C13" i="79"/>
  <c r="B59" i="83"/>
  <c r="F1" i="82"/>
  <c r="C49" i="79"/>
  <c r="C46" i="79"/>
  <c r="C43" i="79"/>
  <c r="C40" i="79"/>
  <c r="C37" i="79"/>
  <c r="C20" i="79"/>
  <c r="C15" i="79"/>
  <c r="I1" i="79"/>
  <c r="B120" i="80"/>
  <c r="B112" i="80"/>
  <c r="C22" i="79"/>
  <c r="B118" i="80"/>
  <c r="C19" i="79"/>
  <c r="B67" i="83"/>
  <c r="C44" i="79"/>
  <c r="C38" i="79"/>
  <c r="C86" i="77"/>
  <c r="C83" i="77"/>
  <c r="C80" i="77"/>
  <c r="C77" i="77"/>
  <c r="B38" i="77"/>
  <c r="C87" i="76"/>
  <c r="B62" i="83"/>
  <c r="M1" i="80"/>
  <c r="C24" i="79"/>
  <c r="C118" i="77"/>
  <c r="C128" i="76"/>
  <c r="C14" i="79"/>
  <c r="C48" i="79"/>
  <c r="C42" i="79"/>
  <c r="C117" i="77"/>
  <c r="C113" i="77"/>
  <c r="C110" i="77"/>
  <c r="P1" i="77"/>
  <c r="C115" i="76"/>
  <c r="C74" i="76"/>
  <c r="C71" i="76"/>
  <c r="C68" i="76"/>
  <c r="C65" i="76"/>
  <c r="C85" i="77"/>
  <c r="C82" i="77"/>
  <c r="C79" i="77"/>
  <c r="C76" i="77"/>
  <c r="B25" i="77"/>
  <c r="C23" i="79"/>
  <c r="C121" i="77"/>
  <c r="B51" i="77"/>
  <c r="C15" i="76"/>
  <c r="C47" i="79"/>
  <c r="C41" i="79"/>
  <c r="C17" i="79"/>
  <c r="C116" i="77"/>
  <c r="C120" i="77"/>
  <c r="C112" i="77"/>
  <c r="C127" i="76"/>
  <c r="C76" i="76"/>
  <c r="C73" i="76"/>
  <c r="C70" i="76"/>
  <c r="C67" i="76"/>
  <c r="C64" i="76"/>
  <c r="B116" i="80"/>
  <c r="C45" i="79"/>
  <c r="C39" i="79"/>
  <c r="C21" i="79"/>
  <c r="C115" i="77"/>
  <c r="C87" i="77"/>
  <c r="C84" i="77"/>
  <c r="C81" i="77"/>
  <c r="C78" i="77"/>
  <c r="C45" i="76"/>
  <c r="C18" i="76"/>
  <c r="C54" i="75"/>
  <c r="I1" i="75"/>
  <c r="C101" i="73"/>
  <c r="C18" i="73"/>
  <c r="C75" i="76"/>
  <c r="C69" i="76"/>
  <c r="C26" i="76"/>
  <c r="C59" i="75"/>
  <c r="C23" i="75"/>
  <c r="C17" i="75"/>
  <c r="C48" i="76"/>
  <c r="C41" i="76"/>
  <c r="C23" i="76"/>
  <c r="C99" i="75"/>
  <c r="C96" i="75"/>
  <c r="C93" i="75"/>
  <c r="C90" i="75"/>
  <c r="C52" i="75"/>
  <c r="B61" i="77"/>
  <c r="C20" i="76"/>
  <c r="C57" i="75"/>
  <c r="C24" i="75"/>
  <c r="C18" i="75"/>
  <c r="C127" i="73"/>
  <c r="C74" i="73"/>
  <c r="C71" i="73"/>
  <c r="C68" i="73"/>
  <c r="C65" i="73"/>
  <c r="C62" i="73"/>
  <c r="C88" i="76"/>
  <c r="C51" i="76"/>
  <c r="C44" i="76"/>
  <c r="C17" i="76"/>
  <c r="C62" i="75"/>
  <c r="C115" i="73"/>
  <c r="C87" i="73"/>
  <c r="C102" i="76"/>
  <c r="C40" i="76"/>
  <c r="C55" i="75"/>
  <c r="C25" i="75"/>
  <c r="C19" i="75"/>
  <c r="C114" i="77"/>
  <c r="C47" i="76"/>
  <c r="C25" i="76"/>
  <c r="C22" i="76"/>
  <c r="C14" i="76"/>
  <c r="C97" i="75"/>
  <c r="C94" i="75"/>
  <c r="C91" i="75"/>
  <c r="C88" i="75"/>
  <c r="C60" i="75"/>
  <c r="C111" i="77"/>
  <c r="C72" i="76"/>
  <c r="C66" i="76"/>
  <c r="C43" i="76"/>
  <c r="C19" i="76"/>
  <c r="C53" i="75"/>
  <c r="C26" i="75"/>
  <c r="C20" i="75"/>
  <c r="C116" i="76"/>
  <c r="C50" i="76"/>
  <c r="P1" i="76"/>
  <c r="C58" i="75"/>
  <c r="C46" i="76"/>
  <c r="C39" i="76"/>
  <c r="C24" i="76"/>
  <c r="C16" i="76"/>
  <c r="C63" i="75"/>
  <c r="C21" i="75"/>
  <c r="C15" i="75"/>
  <c r="C16" i="79"/>
  <c r="C101" i="76"/>
  <c r="C42" i="76"/>
  <c r="C21" i="76"/>
  <c r="C98" i="75"/>
  <c r="C95" i="75"/>
  <c r="C92" i="75"/>
  <c r="C89" i="75"/>
  <c r="C56" i="75"/>
  <c r="C49" i="73"/>
  <c r="C46" i="73"/>
  <c r="C43" i="73"/>
  <c r="C119" i="77"/>
  <c r="C49" i="76"/>
  <c r="C61" i="75"/>
  <c r="C22" i="75"/>
  <c r="C16" i="75"/>
  <c r="P1" i="102"/>
  <c r="C114" i="73"/>
  <c r="C72" i="73"/>
  <c r="C69" i="73"/>
  <c r="C66" i="73"/>
  <c r="C63" i="73"/>
  <c r="C23" i="73"/>
  <c r="P10" i="69"/>
  <c r="D10" i="69"/>
  <c r="C45" i="73"/>
  <c r="C37" i="73"/>
  <c r="I10" i="69"/>
  <c r="C53" i="109"/>
  <c r="C116" i="109" s="1"/>
  <c r="C128" i="73"/>
  <c r="C24" i="73"/>
  <c r="C86" i="73"/>
  <c r="C70" i="73"/>
  <c r="C21" i="73"/>
  <c r="C15" i="73"/>
  <c r="C100" i="73"/>
  <c r="C44" i="73"/>
  <c r="C40" i="73"/>
  <c r="C48" i="73"/>
  <c r="C39" i="73"/>
  <c r="C20" i="73"/>
  <c r="P1" i="73"/>
  <c r="P1" i="69"/>
  <c r="C46" i="109"/>
  <c r="C109" i="109" s="1"/>
  <c r="C73" i="73"/>
  <c r="C47" i="73"/>
  <c r="C42" i="73"/>
  <c r="C38" i="73"/>
  <c r="M10" i="69"/>
  <c r="C49" i="109"/>
  <c r="C112" i="109" s="1"/>
  <c r="C67" i="73"/>
  <c r="C22" i="73"/>
  <c r="C19" i="73"/>
  <c r="C13" i="73"/>
  <c r="C41" i="73"/>
  <c r="C16" i="73"/>
  <c r="I1" i="72"/>
  <c r="K2" i="109"/>
  <c r="G1" i="47"/>
  <c r="C12" i="73"/>
  <c r="J1" i="71"/>
  <c r="F1" i="68"/>
  <c r="C52" i="109"/>
  <c r="C115" i="109" s="1"/>
  <c r="C45" i="109"/>
  <c r="N10" i="69"/>
  <c r="C56" i="109"/>
  <c r="C64" i="73"/>
  <c r="G1" i="70"/>
  <c r="L10" i="69"/>
  <c r="C17" i="73"/>
  <c r="J10" i="69"/>
  <c r="C50" i="109"/>
  <c r="C113" i="109" s="1"/>
  <c r="H10" i="69"/>
  <c r="F10" i="69"/>
  <c r="C14" i="73"/>
  <c r="E10" i="69"/>
  <c r="C51" i="109"/>
  <c r="C114" i="109" s="1"/>
  <c r="C55" i="109"/>
  <c r="C118" i="109" s="1"/>
  <c r="C48" i="109"/>
  <c r="C111" i="109" s="1"/>
  <c r="E94" i="47"/>
  <c r="E51" i="109"/>
  <c r="J19" i="109"/>
  <c r="A82" i="109"/>
  <c r="L81" i="109"/>
  <c r="A14" i="1"/>
  <c r="H13" i="1"/>
  <c r="A45" i="47"/>
  <c r="H43" i="47"/>
  <c r="E55" i="109"/>
  <c r="J23" i="109"/>
  <c r="F10" i="1"/>
  <c r="E31" i="89"/>
  <c r="D31" i="89"/>
  <c r="F23" i="82"/>
  <c r="K8" i="71"/>
  <c r="A10" i="71"/>
  <c r="A27" i="71"/>
  <c r="K26" i="71"/>
  <c r="H149" i="1"/>
  <c r="A19" i="69"/>
  <c r="Q17" i="69"/>
  <c r="I76" i="77"/>
  <c r="I25" i="73"/>
  <c r="E59" i="47"/>
  <c r="K57" i="47"/>
  <c r="H98" i="1"/>
  <c r="F99" i="1"/>
  <c r="K40" i="47"/>
  <c r="A25" i="2"/>
  <c r="E25" i="2"/>
  <c r="E33" i="89"/>
  <c r="D33" i="89"/>
  <c r="A99" i="1"/>
  <c r="A127" i="1"/>
  <c r="F81" i="47"/>
  <c r="H150" i="1"/>
  <c r="G11" i="2"/>
  <c r="G23" i="2"/>
  <c r="J21" i="109"/>
  <c r="K40" i="71"/>
  <c r="A41" i="71"/>
  <c r="A84" i="1"/>
  <c r="A15" i="2"/>
  <c r="H85" i="47"/>
  <c r="A86" i="47"/>
  <c r="J15" i="109"/>
  <c r="E47" i="109"/>
  <c r="A40" i="1"/>
  <c r="A151" i="1"/>
  <c r="G14" i="2"/>
  <c r="A11" i="68"/>
  <c r="G10" i="68"/>
  <c r="G10" i="69"/>
  <c r="E52" i="109"/>
  <c r="D16" i="68"/>
  <c r="E35" i="1" s="1"/>
  <c r="F16" i="78"/>
  <c r="L87" i="77"/>
  <c r="J16" i="109"/>
  <c r="J25" i="109" s="1"/>
  <c r="A11" i="70"/>
  <c r="G25" i="73"/>
  <c r="D118" i="77"/>
  <c r="P84" i="77"/>
  <c r="P21" i="73"/>
  <c r="P77" i="77"/>
  <c r="D111" i="77"/>
  <c r="P14" i="73"/>
  <c r="J25" i="73"/>
  <c r="D22" i="68"/>
  <c r="A22" i="109"/>
  <c r="K25" i="73"/>
  <c r="D112" i="77"/>
  <c r="P78" i="77"/>
  <c r="P15" i="73"/>
  <c r="L80" i="109"/>
  <c r="K24" i="71"/>
  <c r="P50" i="73"/>
  <c r="K106" i="47"/>
  <c r="K25" i="71"/>
  <c r="K39" i="71"/>
  <c r="P12" i="73"/>
  <c r="F45" i="47"/>
  <c r="L19" i="109"/>
  <c r="H89" i="109"/>
  <c r="H85" i="109"/>
  <c r="H81" i="109"/>
  <c r="H87" i="109"/>
  <c r="H88" i="109"/>
  <c r="H79" i="109"/>
  <c r="H86" i="109"/>
  <c r="H9" i="70"/>
  <c r="E25" i="73"/>
  <c r="D117" i="77"/>
  <c r="P83" i="77"/>
  <c r="P20" i="73"/>
  <c r="R39" i="73"/>
  <c r="A40" i="73"/>
  <c r="Q14" i="73"/>
  <c r="I30" i="71"/>
  <c r="M118" i="77"/>
  <c r="M115" i="77"/>
  <c r="M119" i="77"/>
  <c r="M111" i="77"/>
  <c r="M114" i="77"/>
  <c r="M113" i="77"/>
  <c r="M110" i="77"/>
  <c r="M117" i="77"/>
  <c r="M116" i="77"/>
  <c r="M112" i="77"/>
  <c r="M120" i="77"/>
  <c r="D113" i="77"/>
  <c r="P79" i="77"/>
  <c r="P16" i="73"/>
  <c r="F10" i="78"/>
  <c r="F87" i="77"/>
  <c r="D25" i="73"/>
  <c r="P75" i="73"/>
  <c r="L20" i="102"/>
  <c r="L28" i="102"/>
  <c r="L36" i="102"/>
  <c r="D144" i="80"/>
  <c r="F132" i="80"/>
  <c r="F144" i="80" s="1"/>
  <c r="F163" i="80" s="1"/>
  <c r="F149" i="80"/>
  <c r="F161" i="80" s="1"/>
  <c r="D161" i="80"/>
  <c r="G24" i="72"/>
  <c r="R13" i="73"/>
  <c r="P82" i="77"/>
  <c r="D116" i="77"/>
  <c r="P19" i="73"/>
  <c r="G87" i="77"/>
  <c r="F11" i="78"/>
  <c r="R38" i="73"/>
  <c r="Q13" i="73"/>
  <c r="D15" i="68"/>
  <c r="I14" i="72"/>
  <c r="I24" i="72" s="1"/>
  <c r="P85" i="77"/>
  <c r="D119" i="77"/>
  <c r="P22" i="73"/>
  <c r="H87" i="77"/>
  <c r="F12" i="78"/>
  <c r="F138" i="80"/>
  <c r="L22" i="102"/>
  <c r="L30" i="102"/>
  <c r="L38" i="102"/>
  <c r="A91" i="75"/>
  <c r="J90" i="75"/>
  <c r="M25" i="73"/>
  <c r="P80" i="77"/>
  <c r="D114" i="77"/>
  <c r="P17" i="73"/>
  <c r="D120" i="77"/>
  <c r="P86" i="77"/>
  <c r="P23" i="73"/>
  <c r="K87" i="77"/>
  <c r="F15" i="78"/>
  <c r="A65" i="73"/>
  <c r="R64" i="73"/>
  <c r="C42" i="90"/>
  <c r="E11" i="92"/>
  <c r="E16" i="75"/>
  <c r="E54" i="75"/>
  <c r="E91" i="75"/>
  <c r="L24" i="102"/>
  <c r="L32" i="102"/>
  <c r="L40" i="102"/>
  <c r="R45" i="76"/>
  <c r="A46" i="76"/>
  <c r="F17" i="78"/>
  <c r="M87" i="77"/>
  <c r="M121" i="77" s="1"/>
  <c r="C41" i="90"/>
  <c r="D11" i="92"/>
  <c r="A55" i="75"/>
  <c r="J54" i="75"/>
  <c r="A17" i="76"/>
  <c r="R16" i="76"/>
  <c r="N87" i="77"/>
  <c r="F18" i="78"/>
  <c r="A19" i="102"/>
  <c r="Q18" i="102"/>
  <c r="F19" i="78"/>
  <c r="O87" i="77"/>
  <c r="D88" i="73"/>
  <c r="L18" i="102"/>
  <c r="L26" i="102"/>
  <c r="L34" i="102"/>
  <c r="L42" i="102"/>
  <c r="F25" i="73"/>
  <c r="A20" i="75"/>
  <c r="J19" i="75"/>
  <c r="J113" i="77"/>
  <c r="P81" i="77"/>
  <c r="P18" i="73"/>
  <c r="J87" i="77"/>
  <c r="F14" i="78"/>
  <c r="R15" i="76"/>
  <c r="R42" i="76"/>
  <c r="P77" i="76"/>
  <c r="A35" i="78"/>
  <c r="Q34" i="78"/>
  <c r="J16" i="79"/>
  <c r="A17" i="79"/>
  <c r="F133" i="80"/>
  <c r="F139" i="80"/>
  <c r="A12" i="78"/>
  <c r="Q11" i="78"/>
  <c r="E86" i="80"/>
  <c r="A82" i="80"/>
  <c r="N81" i="80"/>
  <c r="I83" i="80"/>
  <c r="I14" i="102"/>
  <c r="A66" i="76"/>
  <c r="R65" i="76"/>
  <c r="N27" i="76"/>
  <c r="E112" i="77"/>
  <c r="J17" i="75"/>
  <c r="F137" i="80"/>
  <c r="F143" i="80"/>
  <c r="F113" i="77"/>
  <c r="A131" i="77"/>
  <c r="Q131" i="77" s="1"/>
  <c r="I98" i="77"/>
  <c r="H98" i="77"/>
  <c r="O98" i="77"/>
  <c r="N98" i="77"/>
  <c r="L98" i="77"/>
  <c r="D121" i="77"/>
  <c r="P87" i="77"/>
  <c r="P24" i="73"/>
  <c r="R128" i="73"/>
  <c r="J89" i="75"/>
  <c r="D27" i="76"/>
  <c r="P14" i="76"/>
  <c r="P22" i="76"/>
  <c r="R43" i="76"/>
  <c r="G117" i="77"/>
  <c r="F136" i="80"/>
  <c r="F142" i="80"/>
  <c r="J116" i="77"/>
  <c r="J112" i="77"/>
  <c r="J120" i="77"/>
  <c r="J115" i="77"/>
  <c r="J119" i="77"/>
  <c r="J111" i="77"/>
  <c r="J122" i="77" s="1"/>
  <c r="J114" i="77"/>
  <c r="J118" i="77"/>
  <c r="J117" i="77"/>
  <c r="F23" i="92"/>
  <c r="K98" i="77"/>
  <c r="AT47" i="103"/>
  <c r="AZ47" i="103" s="1"/>
  <c r="AL47" i="103"/>
  <c r="AT62" i="103"/>
  <c r="AZ62" i="103" s="1"/>
  <c r="AL62" i="103"/>
  <c r="F135" i="80"/>
  <c r="J53" i="75"/>
  <c r="R44" i="76"/>
  <c r="J121" i="77"/>
  <c r="A80" i="77"/>
  <c r="Q79" i="77"/>
  <c r="A113" i="77"/>
  <c r="Q112" i="77"/>
  <c r="D115" i="77"/>
  <c r="I21" i="78"/>
  <c r="A150" i="80"/>
  <c r="N149" i="80"/>
  <c r="D110" i="77"/>
  <c r="P76" i="77"/>
  <c r="P13" i="73"/>
  <c r="F13" i="78"/>
  <c r="I87" i="77"/>
  <c r="F134" i="80"/>
  <c r="F140" i="80"/>
  <c r="Q15" i="76"/>
  <c r="E111" i="77"/>
  <c r="F114" i="77"/>
  <c r="G118" i="77"/>
  <c r="A11" i="80"/>
  <c r="N10" i="80"/>
  <c r="E81" i="80"/>
  <c r="D76" i="80"/>
  <c r="D81" i="80" s="1"/>
  <c r="G117" i="80"/>
  <c r="T15" i="103"/>
  <c r="A9" i="85"/>
  <c r="O8" i="85"/>
  <c r="A12" i="81"/>
  <c r="F8" i="81"/>
  <c r="A15" i="103"/>
  <c r="BC14" i="103"/>
  <c r="G111" i="77"/>
  <c r="G122" i="77" s="1"/>
  <c r="E115" i="77"/>
  <c r="F119" i="77"/>
  <c r="D62" i="80"/>
  <c r="A95" i="80"/>
  <c r="AX34" i="103"/>
  <c r="AX13" i="103" s="1"/>
  <c r="AX55" i="103"/>
  <c r="AZ55" i="103" s="1"/>
  <c r="AL55" i="103"/>
  <c r="R88" i="76"/>
  <c r="Q78" i="77"/>
  <c r="F115" i="77"/>
  <c r="G119" i="77"/>
  <c r="N56" i="80"/>
  <c r="D7" i="81"/>
  <c r="AR17" i="103"/>
  <c r="AR23" i="103" s="1"/>
  <c r="AV29" i="103"/>
  <c r="AV26" i="103" s="1"/>
  <c r="AV12" i="103" s="1"/>
  <c r="AH26" i="103"/>
  <c r="AH12" i="103" s="1"/>
  <c r="AT58" i="103"/>
  <c r="AZ58" i="103" s="1"/>
  <c r="AL58" i="103"/>
  <c r="AT70" i="103"/>
  <c r="AZ70" i="103" s="1"/>
  <c r="AL70" i="103"/>
  <c r="G115" i="77"/>
  <c r="F120" i="77"/>
  <c r="A114" i="80"/>
  <c r="N113" i="80"/>
  <c r="F7" i="81"/>
  <c r="AZ44" i="103"/>
  <c r="E120" i="77"/>
  <c r="E117" i="77"/>
  <c r="E114" i="77"/>
  <c r="F112" i="77"/>
  <c r="E116" i="77"/>
  <c r="G120" i="77"/>
  <c r="A37" i="80"/>
  <c r="N36" i="80"/>
  <c r="A58" i="80"/>
  <c r="G112" i="77"/>
  <c r="F116" i="77"/>
  <c r="E121" i="77"/>
  <c r="Q32" i="78"/>
  <c r="F56" i="79"/>
  <c r="D43" i="80"/>
  <c r="AT126" i="103"/>
  <c r="AZ126" i="103" s="1"/>
  <c r="AL126" i="103"/>
  <c r="AF124" i="103"/>
  <c r="AF20" i="103" s="1"/>
  <c r="G116" i="77"/>
  <c r="F121" i="77"/>
  <c r="Q33" i="78"/>
  <c r="N34" i="80"/>
  <c r="F13" i="82"/>
  <c r="A13" i="82"/>
  <c r="A30" i="103"/>
  <c r="BC29" i="103"/>
  <c r="E110" i="77"/>
  <c r="E113" i="77"/>
  <c r="F117" i="77"/>
  <c r="G121" i="77"/>
  <c r="A40" i="79"/>
  <c r="J39" i="79"/>
  <c r="G12" i="82"/>
  <c r="F110" i="77"/>
  <c r="J14" i="79"/>
  <c r="N35" i="80"/>
  <c r="A52" i="82"/>
  <c r="G52" i="82" s="1"/>
  <c r="F52" i="82"/>
  <c r="G50" i="82"/>
  <c r="AP17" i="103"/>
  <c r="AP23" i="103" s="1"/>
  <c r="A48" i="83"/>
  <c r="K47" i="83"/>
  <c r="AN17" i="103"/>
  <c r="AN23" i="103" s="1"/>
  <c r="AB17" i="103"/>
  <c r="AB23" i="103" s="1"/>
  <c r="AZ36" i="103"/>
  <c r="AT111" i="103"/>
  <c r="AZ111" i="103" s="1"/>
  <c r="AL111" i="103"/>
  <c r="A27" i="83"/>
  <c r="AZ51" i="103"/>
  <c r="AT60" i="103"/>
  <c r="AZ60" i="103" s="1"/>
  <c r="AL60" i="103"/>
  <c r="AT72" i="103"/>
  <c r="AZ72" i="103" s="1"/>
  <c r="AL72" i="103"/>
  <c r="AX44" i="103"/>
  <c r="AL44" i="103"/>
  <c r="AT46" i="103"/>
  <c r="AZ46" i="103" s="1"/>
  <c r="AL46" i="103"/>
  <c r="AZ96" i="103"/>
  <c r="N137" i="80"/>
  <c r="G63" i="83"/>
  <c r="H17" i="103"/>
  <c r="H23" i="103" s="1"/>
  <c r="AF42" i="103"/>
  <c r="AF14" i="103" s="1"/>
  <c r="AL43" i="103"/>
  <c r="AT56" i="103"/>
  <c r="AZ56" i="103" s="1"/>
  <c r="AL56" i="103"/>
  <c r="AT68" i="103"/>
  <c r="AZ68" i="103" s="1"/>
  <c r="AL68" i="103"/>
  <c r="AT94" i="103"/>
  <c r="AZ94" i="103" s="1"/>
  <c r="AL94" i="103"/>
  <c r="L29" i="84"/>
  <c r="N140" i="80"/>
  <c r="N143" i="80"/>
  <c r="N26" i="103"/>
  <c r="N12" i="103" s="1"/>
  <c r="AT37" i="103"/>
  <c r="AZ37" i="103" s="1"/>
  <c r="AL37" i="103"/>
  <c r="AT66" i="103"/>
  <c r="AZ66" i="103" s="1"/>
  <c r="AL66" i="103"/>
  <c r="AT73" i="103"/>
  <c r="AZ73" i="103" s="1"/>
  <c r="AL73" i="103"/>
  <c r="N136" i="80"/>
  <c r="I161" i="80"/>
  <c r="AH34" i="103"/>
  <c r="AH13" i="103" s="1"/>
  <c r="AV37" i="103"/>
  <c r="AV34" i="103" s="1"/>
  <c r="AV13" i="103" s="1"/>
  <c r="AZ48" i="103"/>
  <c r="AZ103" i="103"/>
  <c r="A110" i="103"/>
  <c r="BC109" i="103"/>
  <c r="A127" i="103"/>
  <c r="BC126" i="103"/>
  <c r="X23" i="103"/>
  <c r="T26" i="103"/>
  <c r="AT29" i="103"/>
  <c r="AL29" i="103"/>
  <c r="AL34" i="103"/>
  <c r="AT64" i="103"/>
  <c r="AZ64" i="103" s="1"/>
  <c r="AL64" i="103"/>
  <c r="A27" i="82"/>
  <c r="G27" i="82" s="1"/>
  <c r="G25" i="82"/>
  <c r="AT28" i="103"/>
  <c r="AZ28" i="103" s="1"/>
  <c r="AL28" i="103"/>
  <c r="T36" i="103"/>
  <c r="T34" i="103" s="1"/>
  <c r="T39" i="103"/>
  <c r="AH81" i="103"/>
  <c r="AV81" i="103" s="1"/>
  <c r="T81" i="103"/>
  <c r="AT85" i="103"/>
  <c r="AZ92" i="103"/>
  <c r="AZ98" i="103"/>
  <c r="AH128" i="103"/>
  <c r="AV128" i="103" s="1"/>
  <c r="T128" i="103"/>
  <c r="A38" i="86"/>
  <c r="K37" i="86"/>
  <c r="P17" i="103"/>
  <c r="A49" i="103"/>
  <c r="BC48" i="103"/>
  <c r="AH76" i="103"/>
  <c r="T76" i="103"/>
  <c r="AZ81" i="103"/>
  <c r="AF117" i="103"/>
  <c r="T117" i="103"/>
  <c r="N116" i="103"/>
  <c r="N16" i="103" s="1"/>
  <c r="T16" i="103" s="1"/>
  <c r="J10" i="84"/>
  <c r="L30" i="84"/>
  <c r="A32" i="86"/>
  <c r="K31" i="86"/>
  <c r="AL50" i="103"/>
  <c r="AL53" i="103"/>
  <c r="AZ87" i="103"/>
  <c r="AT91" i="103"/>
  <c r="AZ91" i="103" s="1"/>
  <c r="AL91" i="103"/>
  <c r="A12" i="84"/>
  <c r="Q11" i="84"/>
  <c r="L19" i="84"/>
  <c r="A52" i="85"/>
  <c r="O51" i="85"/>
  <c r="G40" i="82"/>
  <c r="AT27" i="103"/>
  <c r="AL27" i="103"/>
  <c r="AL26" i="103" s="1"/>
  <c r="BC47" i="103"/>
  <c r="AT57" i="103"/>
  <c r="AZ57" i="103" s="1"/>
  <c r="AL57" i="103"/>
  <c r="AT59" i="103"/>
  <c r="AZ59" i="103" s="1"/>
  <c r="AL59" i="103"/>
  <c r="AT61" i="103"/>
  <c r="AZ61" i="103" s="1"/>
  <c r="AL61" i="103"/>
  <c r="AT63" i="103"/>
  <c r="AZ63" i="103" s="1"/>
  <c r="AL63" i="103"/>
  <c r="AT65" i="103"/>
  <c r="AZ65" i="103" s="1"/>
  <c r="AL65" i="103"/>
  <c r="AT67" i="103"/>
  <c r="AZ67" i="103" s="1"/>
  <c r="AL67" i="103"/>
  <c r="AT69" i="103"/>
  <c r="AZ69" i="103" s="1"/>
  <c r="AL69" i="103"/>
  <c r="AT71" i="103"/>
  <c r="AZ71" i="103" s="1"/>
  <c r="AL71" i="103"/>
  <c r="AT78" i="103"/>
  <c r="AZ78" i="103" s="1"/>
  <c r="AL78" i="103"/>
  <c r="AV102" i="103"/>
  <c r="AV15" i="103" s="1"/>
  <c r="AZ105" i="103"/>
  <c r="AT35" i="103"/>
  <c r="AF34" i="103"/>
  <c r="AF13" i="103" s="1"/>
  <c r="AZ38" i="103"/>
  <c r="AH82" i="103"/>
  <c r="AV82" i="103" s="1"/>
  <c r="T82" i="103"/>
  <c r="AZ93" i="103"/>
  <c r="AT97" i="103"/>
  <c r="AZ97" i="103" s="1"/>
  <c r="AL97" i="103"/>
  <c r="AF118" i="103"/>
  <c r="T118" i="103"/>
  <c r="F37" i="85"/>
  <c r="K37" i="85" s="1"/>
  <c r="K28" i="85"/>
  <c r="BC28" i="103"/>
  <c r="AJ34" i="103"/>
  <c r="AJ13" i="103" s="1"/>
  <c r="AX43" i="103"/>
  <c r="AJ42" i="103"/>
  <c r="AJ14" i="103" s="1"/>
  <c r="AL49" i="103"/>
  <c r="AL52" i="103"/>
  <c r="AZ80" i="103"/>
  <c r="AT82" i="103"/>
  <c r="AZ82" i="103" s="1"/>
  <c r="AT110" i="103"/>
  <c r="AZ110" i="103" s="1"/>
  <c r="AL110" i="103"/>
  <c r="AJ113" i="103"/>
  <c r="AX113" i="103" s="1"/>
  <c r="T113" i="103"/>
  <c r="F15" i="89"/>
  <c r="A15" i="89"/>
  <c r="K14" i="89"/>
  <c r="BC45" i="103"/>
  <c r="AT88" i="103"/>
  <c r="AZ88" i="103" s="1"/>
  <c r="AL88" i="103"/>
  <c r="AZ95" i="103"/>
  <c r="A36" i="103"/>
  <c r="AT77" i="103"/>
  <c r="AZ77" i="103" s="1"/>
  <c r="AJ116" i="103"/>
  <c r="AJ16" i="103" s="1"/>
  <c r="AX116" i="103"/>
  <c r="AX16" i="103" s="1"/>
  <c r="AL119" i="103"/>
  <c r="F10" i="84"/>
  <c r="L15" i="84"/>
  <c r="L26" i="84"/>
  <c r="A40" i="92"/>
  <c r="I39" i="92"/>
  <c r="F12" i="94"/>
  <c r="D6" i="93"/>
  <c r="D11" i="93"/>
  <c r="AT112" i="103"/>
  <c r="AZ112" i="103" s="1"/>
  <c r="AL112" i="103"/>
  <c r="A9" i="89"/>
  <c r="K8" i="89"/>
  <c r="AT107" i="103"/>
  <c r="AZ107" i="103" s="1"/>
  <c r="AL107" i="103"/>
  <c r="AT128" i="103"/>
  <c r="AZ128" i="103" s="1"/>
  <c r="A29" i="87"/>
  <c r="G28" i="87"/>
  <c r="D36" i="87"/>
  <c r="A14" i="90"/>
  <c r="F13" i="90"/>
  <c r="T80" i="103"/>
  <c r="AH86" i="103"/>
  <c r="T86" i="103"/>
  <c r="AJ104" i="103"/>
  <c r="AJ102" i="103" s="1"/>
  <c r="AJ15" i="103" s="1"/>
  <c r="T104" i="103"/>
  <c r="T109" i="103"/>
  <c r="P124" i="103"/>
  <c r="P20" i="103" s="1"/>
  <c r="T20" i="103" s="1"/>
  <c r="AH125" i="103"/>
  <c r="F18" i="87"/>
  <c r="F17" i="87" s="1"/>
  <c r="C27" i="87" s="1"/>
  <c r="E17" i="87"/>
  <c r="AL81" i="103"/>
  <c r="AL87" i="103"/>
  <c r="AL93" i="103"/>
  <c r="AT109" i="103"/>
  <c r="AZ109" i="103" s="1"/>
  <c r="AL109" i="103"/>
  <c r="AL120" i="103"/>
  <c r="T125" i="103"/>
  <c r="K10" i="84"/>
  <c r="L14" i="84"/>
  <c r="L10" i="84" s="1"/>
  <c r="L25" i="84"/>
  <c r="L32" i="84"/>
  <c r="K40" i="85"/>
  <c r="A17" i="92"/>
  <c r="I14" i="92"/>
  <c r="T78" i="103"/>
  <c r="AH85" i="103"/>
  <c r="AV85" i="103" s="1"/>
  <c r="T85" i="103"/>
  <c r="T111" i="103"/>
  <c r="A119" i="103"/>
  <c r="BC118" i="103"/>
  <c r="AT125" i="103"/>
  <c r="AL125" i="103"/>
  <c r="L16" i="84"/>
  <c r="L27" i="84"/>
  <c r="A33" i="89"/>
  <c r="F23" i="89" s="1"/>
  <c r="K32" i="89"/>
  <c r="K49" i="89"/>
  <c r="A50" i="89"/>
  <c r="AH84" i="103"/>
  <c r="T84" i="103"/>
  <c r="R102" i="103"/>
  <c r="R15" i="103" s="1"/>
  <c r="R17" i="103" s="1"/>
  <c r="R23" i="103" s="1"/>
  <c r="AT106" i="103"/>
  <c r="AZ106" i="103" s="1"/>
  <c r="AL106" i="103"/>
  <c r="AT127" i="103"/>
  <c r="AZ127" i="103" s="1"/>
  <c r="AL127" i="103"/>
  <c r="T75" i="103"/>
  <c r="AT102" i="103"/>
  <c r="AT15" i="103" s="1"/>
  <c r="T108" i="103"/>
  <c r="AT113" i="103"/>
  <c r="BC125" i="103"/>
  <c r="T129" i="103"/>
  <c r="I10" i="84"/>
  <c r="K20" i="86"/>
  <c r="A21" i="86"/>
  <c r="T74" i="103"/>
  <c r="AH83" i="103"/>
  <c r="T83" i="103"/>
  <c r="AF102" i="103"/>
  <c r="AF15" i="103" s="1"/>
  <c r="AT108" i="103"/>
  <c r="AZ108" i="103" s="1"/>
  <c r="AL108" i="103"/>
  <c r="AH116" i="103"/>
  <c r="AH16" i="103" s="1"/>
  <c r="AV116" i="103"/>
  <c r="AV16" i="103" s="1"/>
  <c r="AT129" i="103"/>
  <c r="AZ129" i="103" s="1"/>
  <c r="AL129" i="103"/>
  <c r="L31" i="84"/>
  <c r="J46" i="89"/>
  <c r="E47" i="89"/>
  <c r="E48" i="89" s="1"/>
  <c r="E49" i="89" s="1"/>
  <c r="E50" i="89" s="1"/>
  <c r="E51" i="89" s="1"/>
  <c r="E52" i="89" s="1"/>
  <c r="E53" i="89" s="1"/>
  <c r="E54" i="89" s="1"/>
  <c r="E55" i="89" s="1"/>
  <c r="E56" i="89" s="1"/>
  <c r="E57" i="89" s="1"/>
  <c r="E58" i="89" s="1"/>
  <c r="I51" i="99"/>
  <c r="A21" i="87"/>
  <c r="A20" i="99"/>
  <c r="N18" i="99"/>
  <c r="T103" i="103"/>
  <c r="O50" i="85"/>
  <c r="A10" i="87"/>
  <c r="G10" i="87" s="1"/>
  <c r="K23" i="85"/>
  <c r="F27" i="85" s="1"/>
  <c r="A28" i="85"/>
  <c r="I24" i="99"/>
  <c r="I42" i="99" s="1"/>
  <c r="T87" i="103"/>
  <c r="T88" i="103"/>
  <c r="T89" i="103"/>
  <c r="T90" i="103"/>
  <c r="T91" i="103"/>
  <c r="T92" i="103"/>
  <c r="T93" i="103"/>
  <c r="T94" i="103"/>
  <c r="T95" i="103"/>
  <c r="T96" i="103"/>
  <c r="T97" i="103"/>
  <c r="T98" i="103"/>
  <c r="T99" i="103"/>
  <c r="A47" i="86"/>
  <c r="K46" i="86"/>
  <c r="G42" i="99"/>
  <c r="G54" i="99" s="1"/>
  <c r="AL103" i="103"/>
  <c r="BC117" i="103"/>
  <c r="L36" i="84"/>
  <c r="A15" i="86"/>
  <c r="K14" i="86"/>
  <c r="A16" i="88"/>
  <c r="F16" i="88" s="1"/>
  <c r="G14" i="92"/>
  <c r="A15" i="98"/>
  <c r="G55" i="89"/>
  <c r="D54" i="99"/>
  <c r="E54" i="99"/>
  <c r="H31" i="98"/>
  <c r="F6" i="93"/>
  <c r="I13" i="92"/>
  <c r="I38" i="92"/>
  <c r="O26" i="85"/>
  <c r="N16" i="99"/>
  <c r="AJ17" i="103" l="1"/>
  <c r="AJ23" i="103" s="1"/>
  <c r="L12" i="99"/>
  <c r="K12" i="99"/>
  <c r="I54" i="99"/>
  <c r="L26" i="99"/>
  <c r="K14" i="99"/>
  <c r="K26" i="99"/>
  <c r="L14" i="99"/>
  <c r="K40" i="99"/>
  <c r="L40" i="99"/>
  <c r="K32" i="99"/>
  <c r="L32" i="99"/>
  <c r="A39" i="86"/>
  <c r="K38" i="86"/>
  <c r="H40" i="1"/>
  <c r="F42" i="1"/>
  <c r="A41" i="1"/>
  <c r="A111" i="109"/>
  <c r="L110" i="109"/>
  <c r="N21" i="102"/>
  <c r="E12" i="102" s="1"/>
  <c r="M21" i="102"/>
  <c r="Q19" i="102"/>
  <c r="A20" i="102"/>
  <c r="N23" i="102"/>
  <c r="M23" i="102"/>
  <c r="M18" i="78"/>
  <c r="H18" i="78"/>
  <c r="J18" i="78" s="1"/>
  <c r="C44" i="90"/>
  <c r="E23" i="82"/>
  <c r="D23" i="82"/>
  <c r="E14" i="71"/>
  <c r="E41" i="1" s="1"/>
  <c r="E56" i="1" s="1"/>
  <c r="E64" i="1" s="1"/>
  <c r="N25" i="102"/>
  <c r="M25" i="102"/>
  <c r="K27" i="83"/>
  <c r="A34" i="83"/>
  <c r="Q12" i="84"/>
  <c r="A13" i="84"/>
  <c r="A13" i="81"/>
  <c r="F12" i="81"/>
  <c r="D20" i="81"/>
  <c r="D122" i="77"/>
  <c r="J20" i="75"/>
  <c r="A21" i="75"/>
  <c r="D26" i="68"/>
  <c r="D30" i="68" s="1"/>
  <c r="E45" i="1" s="1"/>
  <c r="E47" i="1" s="1"/>
  <c r="E40" i="1"/>
  <c r="E42" i="1" s="1"/>
  <c r="Q19" i="69"/>
  <c r="A21" i="69"/>
  <c r="A83" i="109"/>
  <c r="L82" i="109"/>
  <c r="T42" i="103"/>
  <c r="AV86" i="103"/>
  <c r="AZ86" i="103" s="1"/>
  <c r="AL86" i="103"/>
  <c r="I40" i="92"/>
  <c r="A41" i="92"/>
  <c r="AX42" i="103"/>
  <c r="AX14" i="103" s="1"/>
  <c r="AZ43" i="103"/>
  <c r="A113" i="103"/>
  <c r="BC113" i="103" s="1"/>
  <c r="A111" i="103"/>
  <c r="BC110" i="103"/>
  <c r="E122" i="77"/>
  <c r="A59" i="80"/>
  <c r="N58" i="80"/>
  <c r="A83" i="80"/>
  <c r="N82" i="80"/>
  <c r="A36" i="78"/>
  <c r="Q35" i="78"/>
  <c r="T116" i="103"/>
  <c r="A97" i="80"/>
  <c r="N95" i="80"/>
  <c r="O9" i="85"/>
  <c r="A10" i="85"/>
  <c r="A151" i="80"/>
  <c r="N150" i="80"/>
  <c r="L115" i="77"/>
  <c r="L119" i="77"/>
  <c r="L111" i="77"/>
  <c r="L114" i="77"/>
  <c r="L118" i="77"/>
  <c r="L113" i="77"/>
  <c r="L110" i="77"/>
  <c r="L117" i="77"/>
  <c r="L121" i="77"/>
  <c r="L120" i="77"/>
  <c r="L116" i="77"/>
  <c r="L112" i="77"/>
  <c r="N42" i="102"/>
  <c r="M42" i="102"/>
  <c r="N40" i="102"/>
  <c r="M40" i="102"/>
  <c r="A92" i="75"/>
  <c r="J91" i="75"/>
  <c r="H16" i="78"/>
  <c r="M16" i="78"/>
  <c r="J16" i="78"/>
  <c r="A87" i="47"/>
  <c r="H86" i="47"/>
  <c r="F82" i="47"/>
  <c r="A128" i="1"/>
  <c r="H127" i="1"/>
  <c r="F68" i="47"/>
  <c r="A61" i="47"/>
  <c r="H59" i="47"/>
  <c r="N27" i="102"/>
  <c r="M27" i="102"/>
  <c r="AL12" i="103"/>
  <c r="N11" i="80"/>
  <c r="A12" i="80"/>
  <c r="F21" i="78"/>
  <c r="J10" i="78"/>
  <c r="H10" i="78"/>
  <c r="M10" i="78"/>
  <c r="BC36" i="103"/>
  <c r="A37" i="103"/>
  <c r="O114" i="77"/>
  <c r="O118" i="77"/>
  <c r="O113" i="77"/>
  <c r="O110" i="77"/>
  <c r="O122" i="77" s="1"/>
  <c r="O117" i="77"/>
  <c r="O121" i="77"/>
  <c r="O116" i="77"/>
  <c r="O112" i="77"/>
  <c r="O120" i="77"/>
  <c r="O111" i="77"/>
  <c r="O119" i="77"/>
  <c r="O115" i="77"/>
  <c r="A13" i="78"/>
  <c r="Q12" i="78"/>
  <c r="A18" i="76"/>
  <c r="R17" i="76"/>
  <c r="AL13" i="103"/>
  <c r="AT26" i="103"/>
  <c r="AT12" i="103" s="1"/>
  <c r="AZ27" i="103"/>
  <c r="AZ85" i="103"/>
  <c r="T12" i="103"/>
  <c r="T17" i="103" s="1"/>
  <c r="T23" i="103" s="1"/>
  <c r="N17" i="103"/>
  <c r="N23" i="103" s="1"/>
  <c r="F122" i="77"/>
  <c r="A14" i="82"/>
  <c r="G13" i="82"/>
  <c r="F15" i="82"/>
  <c r="H121" i="77"/>
  <c r="P121" i="77" s="1"/>
  <c r="H116" i="77"/>
  <c r="H112" i="77"/>
  <c r="H120" i="77"/>
  <c r="H115" i="77"/>
  <c r="H119" i="77"/>
  <c r="P119" i="77" s="1"/>
  <c r="H111" i="77"/>
  <c r="H114" i="77"/>
  <c r="H118" i="77"/>
  <c r="H117" i="77"/>
  <c r="H113" i="77"/>
  <c r="P113" i="77" s="1"/>
  <c r="H110" i="77"/>
  <c r="N18" i="102"/>
  <c r="M18" i="102"/>
  <c r="D13" i="102" s="1"/>
  <c r="N22" i="102"/>
  <c r="M22" i="102"/>
  <c r="M11" i="78"/>
  <c r="J11" i="78"/>
  <c r="H11" i="78"/>
  <c r="N36" i="102"/>
  <c r="M36" i="102"/>
  <c r="A41" i="73"/>
  <c r="Q15" i="73"/>
  <c r="R40" i="73"/>
  <c r="G15" i="2"/>
  <c r="A16" i="2"/>
  <c r="A28" i="71"/>
  <c r="K27" i="71"/>
  <c r="H45" i="47"/>
  <c r="F67" i="47"/>
  <c r="A46" i="47"/>
  <c r="A48" i="47" s="1"/>
  <c r="H9" i="47"/>
  <c r="F10" i="47"/>
  <c r="A10" i="47"/>
  <c r="N33" i="102"/>
  <c r="M33" i="102"/>
  <c r="C40" i="90"/>
  <c r="C35" i="90"/>
  <c r="C37" i="90" s="1"/>
  <c r="E7" i="1"/>
  <c r="D9" i="2"/>
  <c r="D11" i="2" s="1"/>
  <c r="AV83" i="103"/>
  <c r="AZ83" i="103" s="1"/>
  <c r="AL83" i="103"/>
  <c r="A120" i="103"/>
  <c r="BC119" i="103"/>
  <c r="A17" i="89"/>
  <c r="K15" i="89"/>
  <c r="F24" i="89"/>
  <c r="AH42" i="103"/>
  <c r="AH14" i="103" s="1"/>
  <c r="AH17" i="103" s="1"/>
  <c r="AH23" i="103" s="1"/>
  <c r="N34" i="102"/>
  <c r="M34" i="102"/>
  <c r="A66" i="73"/>
  <c r="R65" i="73"/>
  <c r="N30" i="102"/>
  <c r="M30" i="102"/>
  <c r="L12" i="102"/>
  <c r="N31" i="102"/>
  <c r="M31" i="102"/>
  <c r="A18" i="92"/>
  <c r="I17" i="92"/>
  <c r="A15" i="90"/>
  <c r="F14" i="90"/>
  <c r="AZ35" i="103"/>
  <c r="AZ34" i="103" s="1"/>
  <c r="AT34" i="103"/>
  <c r="AT13" i="103" s="1"/>
  <c r="AZ13" i="103" s="1"/>
  <c r="AL76" i="103"/>
  <c r="AV76" i="103"/>
  <c r="I119" i="77"/>
  <c r="I116" i="77"/>
  <c r="I112" i="77"/>
  <c r="I120" i="77"/>
  <c r="P120" i="77" s="1"/>
  <c r="I115" i="77"/>
  <c r="I111" i="77"/>
  <c r="I114" i="77"/>
  <c r="I118" i="77"/>
  <c r="I113" i="77"/>
  <c r="I110" i="77"/>
  <c r="I121" i="77"/>
  <c r="I117" i="77"/>
  <c r="M14" i="78"/>
  <c r="H14" i="78"/>
  <c r="J14" i="78" s="1"/>
  <c r="J55" i="75"/>
  <c r="A56" i="75"/>
  <c r="E92" i="75"/>
  <c r="N28" i="102"/>
  <c r="M28" i="102"/>
  <c r="A85" i="1"/>
  <c r="H84" i="1"/>
  <c r="N35" i="102"/>
  <c r="M35" i="102"/>
  <c r="A23" i="109"/>
  <c r="L22" i="109"/>
  <c r="A22" i="86"/>
  <c r="K21" i="86"/>
  <c r="AF116" i="103"/>
  <c r="AF16" i="103" s="1"/>
  <c r="AL16" i="103" s="1"/>
  <c r="AT117" i="103"/>
  <c r="AL117" i="103"/>
  <c r="N114" i="80"/>
  <c r="A115" i="80"/>
  <c r="N32" i="102"/>
  <c r="M32" i="102"/>
  <c r="K94" i="47"/>
  <c r="N29" i="102"/>
  <c r="M29" i="102"/>
  <c r="M15" i="78"/>
  <c r="H15" i="78"/>
  <c r="J15" i="78" s="1"/>
  <c r="A22" i="99"/>
  <c r="N20" i="99"/>
  <c r="L24" i="99"/>
  <c r="K24" i="99"/>
  <c r="A22" i="87"/>
  <c r="G22" i="87" s="1"/>
  <c r="G21" i="87"/>
  <c r="T124" i="103"/>
  <c r="AL42" i="103"/>
  <c r="G116" i="80"/>
  <c r="A114" i="77"/>
  <c r="Q113" i="77"/>
  <c r="D15" i="90"/>
  <c r="O28" i="85"/>
  <c r="A29" i="85"/>
  <c r="AV125" i="103"/>
  <c r="AV124" i="103" s="1"/>
  <c r="AV20" i="103" s="1"/>
  <c r="AH124" i="103"/>
  <c r="AH20" i="103" s="1"/>
  <c r="AL20" i="103" s="1"/>
  <c r="AL82" i="103"/>
  <c r="AZ29" i="103"/>
  <c r="AL14" i="103"/>
  <c r="P27" i="76"/>
  <c r="E19" i="47" s="1"/>
  <c r="F11" i="92"/>
  <c r="N20" i="102"/>
  <c r="M20" i="102"/>
  <c r="M122" i="77"/>
  <c r="A12" i="68"/>
  <c r="G11" i="68"/>
  <c r="K41" i="71"/>
  <c r="A42" i="71"/>
  <c r="E68" i="47"/>
  <c r="K68" i="47" s="1"/>
  <c r="K59" i="47"/>
  <c r="A11" i="71"/>
  <c r="F12" i="71" s="1"/>
  <c r="K10" i="71"/>
  <c r="N37" i="102"/>
  <c r="M37" i="102"/>
  <c r="T102" i="103"/>
  <c r="N119" i="77"/>
  <c r="N111" i="77"/>
  <c r="N114" i="77"/>
  <c r="N118" i="77"/>
  <c r="N113" i="77"/>
  <c r="N110" i="77"/>
  <c r="N122" i="77" s="1"/>
  <c r="N117" i="77"/>
  <c r="N121" i="77"/>
  <c r="N120" i="77"/>
  <c r="N115" i="77"/>
  <c r="N116" i="77"/>
  <c r="N112" i="77"/>
  <c r="A49" i="109"/>
  <c r="L48" i="109"/>
  <c r="F30" i="85"/>
  <c r="K27" i="85"/>
  <c r="A53" i="85"/>
  <c r="O52" i="85"/>
  <c r="A50" i="103"/>
  <c r="BC49" i="103"/>
  <c r="AF17" i="103"/>
  <c r="AF23" i="103" s="1"/>
  <c r="A81" i="77"/>
  <c r="Q80" i="77"/>
  <c r="R66" i="76"/>
  <c r="A67" i="76"/>
  <c r="Q16" i="76"/>
  <c r="C43" i="90"/>
  <c r="E55" i="75"/>
  <c r="E17" i="75"/>
  <c r="M12" i="78"/>
  <c r="J12" i="78"/>
  <c r="H12" i="78"/>
  <c r="P116" i="77"/>
  <c r="A15" i="1"/>
  <c r="H14" i="1"/>
  <c r="C57" i="109"/>
  <c r="C119" i="109"/>
  <c r="N39" i="102"/>
  <c r="M39" i="102"/>
  <c r="G54" i="89"/>
  <c r="A51" i="89"/>
  <c r="K50" i="89"/>
  <c r="AX104" i="103"/>
  <c r="AL104" i="103"/>
  <c r="AL102" i="103" s="1"/>
  <c r="BC127" i="103"/>
  <c r="A128" i="103"/>
  <c r="A47" i="76"/>
  <c r="R46" i="76"/>
  <c r="A17" i="98"/>
  <c r="N15" i="98"/>
  <c r="K33" i="89"/>
  <c r="A34" i="89"/>
  <c r="F36" i="89" s="1"/>
  <c r="F34" i="89"/>
  <c r="K9" i="89"/>
  <c r="F22" i="89"/>
  <c r="A38" i="80"/>
  <c r="N37" i="80"/>
  <c r="E37" i="1"/>
  <c r="D28" i="87"/>
  <c r="H99" i="1"/>
  <c r="F117" i="1"/>
  <c r="A102" i="1"/>
  <c r="A48" i="86"/>
  <c r="K47" i="86"/>
  <c r="AL85" i="103"/>
  <c r="N24" i="102"/>
  <c r="M24" i="102"/>
  <c r="D163" i="80"/>
  <c r="G154" i="80"/>
  <c r="G153" i="80"/>
  <c r="G150" i="80"/>
  <c r="G149" i="80"/>
  <c r="G161" i="80" s="1"/>
  <c r="G163" i="80" s="1"/>
  <c r="G160" i="80"/>
  <c r="G159" i="80"/>
  <c r="G151" i="80"/>
  <c r="G157" i="80"/>
  <c r="G152" i="80"/>
  <c r="G158" i="80"/>
  <c r="G155" i="80"/>
  <c r="G156" i="80"/>
  <c r="A16" i="86"/>
  <c r="K15" i="86"/>
  <c r="A30" i="87"/>
  <c r="G29" i="87"/>
  <c r="D30" i="87"/>
  <c r="AT118" i="103"/>
  <c r="AZ118" i="103" s="1"/>
  <c r="AL118" i="103"/>
  <c r="A33" i="86"/>
  <c r="K33" i="86" s="1"/>
  <c r="K32" i="86"/>
  <c r="P23" i="103"/>
  <c r="A55" i="83"/>
  <c r="K48" i="83"/>
  <c r="A41" i="79"/>
  <c r="J40" i="79"/>
  <c r="H13" i="78"/>
  <c r="M13" i="78"/>
  <c r="J13" i="78"/>
  <c r="K120" i="77"/>
  <c r="K115" i="77"/>
  <c r="P115" i="77" s="1"/>
  <c r="K119" i="77"/>
  <c r="K111" i="77"/>
  <c r="K114" i="77"/>
  <c r="K118" i="77"/>
  <c r="K113" i="77"/>
  <c r="K110" i="77"/>
  <c r="K122" i="77" s="1"/>
  <c r="K121" i="77"/>
  <c r="K112" i="77"/>
  <c r="K117" i="77"/>
  <c r="K116" i="77"/>
  <c r="E84" i="47"/>
  <c r="K84" i="47" s="1"/>
  <c r="E130" i="1"/>
  <c r="M19" i="78"/>
  <c r="H19" i="78"/>
  <c r="J19" i="78"/>
  <c r="P117" i="77"/>
  <c r="P112" i="77"/>
  <c r="P118" i="77"/>
  <c r="F159" i="1"/>
  <c r="H151" i="1"/>
  <c r="F157" i="1"/>
  <c r="A26" i="2"/>
  <c r="G25" i="2"/>
  <c r="J17" i="72"/>
  <c r="A18" i="72"/>
  <c r="A17" i="73"/>
  <c r="R16" i="73"/>
  <c r="L13" i="102"/>
  <c r="N17" i="102"/>
  <c r="M17" i="102"/>
  <c r="H12" i="102"/>
  <c r="H14" i="102" s="1"/>
  <c r="H13" i="102"/>
  <c r="N41" i="102"/>
  <c r="M41" i="102"/>
  <c r="A12" i="70"/>
  <c r="H11" i="70"/>
  <c r="N38" i="102"/>
  <c r="M38" i="102"/>
  <c r="A31" i="103"/>
  <c r="BC31" i="103" s="1"/>
  <c r="BC30" i="103"/>
  <c r="N26" i="102"/>
  <c r="M26" i="102"/>
  <c r="P111" i="77"/>
  <c r="AL113" i="103"/>
  <c r="AL15" i="103"/>
  <c r="AZ113" i="103"/>
  <c r="AL84" i="103"/>
  <c r="AV84" i="103"/>
  <c r="AZ84" i="103" s="1"/>
  <c r="AZ125" i="103"/>
  <c r="AZ124" i="103" s="1"/>
  <c r="AT124" i="103"/>
  <c r="AT20" i="103" s="1"/>
  <c r="AZ20" i="103" s="1"/>
  <c r="AL128" i="103"/>
  <c r="AL124" i="103" s="1"/>
  <c r="G62" i="83"/>
  <c r="A16" i="103"/>
  <c r="BC15" i="103"/>
  <c r="AT42" i="103"/>
  <c r="AT14" i="103" s="1"/>
  <c r="A18" i="79"/>
  <c r="J17" i="79"/>
  <c r="H17" i="78"/>
  <c r="M17" i="78"/>
  <c r="J17" i="78"/>
  <c r="P114" i="77"/>
  <c r="P25" i="73"/>
  <c r="E7" i="47" s="1"/>
  <c r="C44" i="109"/>
  <c r="C108" i="109"/>
  <c r="N19" i="102"/>
  <c r="M19" i="102"/>
  <c r="C35" i="87"/>
  <c r="C31" i="87"/>
  <c r="C38" i="87" s="1"/>
  <c r="E135" i="1" s="1"/>
  <c r="E89" i="47" s="1"/>
  <c r="K89" i="47" s="1"/>
  <c r="A54" i="85" l="1"/>
  <c r="O53" i="85"/>
  <c r="A17" i="2"/>
  <c r="G16" i="2"/>
  <c r="E17" i="2"/>
  <c r="A88" i="47"/>
  <c r="H87" i="47"/>
  <c r="A19" i="79"/>
  <c r="J18" i="79"/>
  <c r="A24" i="109"/>
  <c r="L23" i="109"/>
  <c r="AL17" i="103"/>
  <c r="AL23" i="103" s="1"/>
  <c r="C46" i="83" s="1"/>
  <c r="A13" i="70"/>
  <c r="H12" i="70"/>
  <c r="A39" i="80"/>
  <c r="N38" i="80"/>
  <c r="A48" i="76"/>
  <c r="R47" i="76"/>
  <c r="C67" i="109"/>
  <c r="C68" i="109"/>
  <c r="C66" i="109"/>
  <c r="C64" i="109"/>
  <c r="C62" i="109"/>
  <c r="C60" i="109"/>
  <c r="C58" i="109"/>
  <c r="C63" i="109"/>
  <c r="C59" i="109"/>
  <c r="C65" i="109"/>
  <c r="C61" i="109"/>
  <c r="F25" i="79"/>
  <c r="D17" i="92" s="1"/>
  <c r="F13" i="79"/>
  <c r="F20" i="79"/>
  <c r="F15" i="79"/>
  <c r="F22" i="79"/>
  <c r="F17" i="79"/>
  <c r="F14" i="79"/>
  <c r="F24" i="79"/>
  <c r="F19" i="79"/>
  <c r="F23" i="79"/>
  <c r="F18" i="79"/>
  <c r="F21" i="79"/>
  <c r="F16" i="79"/>
  <c r="F32" i="85"/>
  <c r="K30" i="85"/>
  <c r="K42" i="71"/>
  <c r="F7" i="71"/>
  <c r="N12" i="102"/>
  <c r="H122" i="77"/>
  <c r="L111" i="109"/>
  <c r="A112" i="109"/>
  <c r="E18" i="75"/>
  <c r="E56" i="75"/>
  <c r="M12" i="102"/>
  <c r="A22" i="89"/>
  <c r="K17" i="89"/>
  <c r="A19" i="76"/>
  <c r="R18" i="76"/>
  <c r="A60" i="80"/>
  <c r="N59" i="80"/>
  <c r="A56" i="83"/>
  <c r="K55" i="83"/>
  <c r="A18" i="73"/>
  <c r="R17" i="73"/>
  <c r="BC128" i="103"/>
  <c r="A129" i="103"/>
  <c r="BC129" i="103" s="1"/>
  <c r="L14" i="102"/>
  <c r="BC120" i="103"/>
  <c r="A121" i="103"/>
  <c r="BC121" i="103" s="1"/>
  <c r="H10" i="47"/>
  <c r="A13" i="47"/>
  <c r="A14" i="78"/>
  <c r="Q13" i="78"/>
  <c r="A84" i="109"/>
  <c r="L83" i="109"/>
  <c r="A14" i="81"/>
  <c r="F13" i="81"/>
  <c r="A152" i="80"/>
  <c r="N151" i="80"/>
  <c r="A11" i="85"/>
  <c r="O10" i="85"/>
  <c r="G20" i="79"/>
  <c r="G15" i="79"/>
  <c r="G22" i="79"/>
  <c r="G17" i="79"/>
  <c r="G24" i="79"/>
  <c r="G21" i="79"/>
  <c r="G19" i="79"/>
  <c r="G14" i="79"/>
  <c r="G23" i="79"/>
  <c r="G18" i="79"/>
  <c r="G13" i="79"/>
  <c r="G16" i="79"/>
  <c r="G25" i="79"/>
  <c r="E17" i="92" s="1"/>
  <c r="C36" i="87"/>
  <c r="C37" i="87"/>
  <c r="BC16" i="103"/>
  <c r="A17" i="103"/>
  <c r="J18" i="72"/>
  <c r="A19" i="72"/>
  <c r="H15" i="1"/>
  <c r="A16" i="1"/>
  <c r="F16" i="1"/>
  <c r="R67" i="76"/>
  <c r="A68" i="76"/>
  <c r="Q17" i="76"/>
  <c r="AV42" i="103"/>
  <c r="AV14" i="103" s="1"/>
  <c r="AV17" i="103" s="1"/>
  <c r="AV23" i="103" s="1"/>
  <c r="AZ76" i="103"/>
  <c r="F49" i="47"/>
  <c r="R41" i="73"/>
  <c r="A42" i="73"/>
  <c r="Q16" i="73"/>
  <c r="G14" i="82"/>
  <c r="A15" i="82"/>
  <c r="BC37" i="103"/>
  <c r="A38" i="103"/>
  <c r="L122" i="77"/>
  <c r="A98" i="80"/>
  <c r="I99" i="80" s="1"/>
  <c r="N97" i="80"/>
  <c r="E102" i="80"/>
  <c r="A14" i="84"/>
  <c r="Q13" i="84"/>
  <c r="F56" i="1"/>
  <c r="H41" i="1"/>
  <c r="A42" i="1"/>
  <c r="A17" i="86"/>
  <c r="K17" i="86" s="1"/>
  <c r="K16" i="86"/>
  <c r="G12" i="68"/>
  <c r="A13" i="68"/>
  <c r="A30" i="85"/>
  <c r="O29" i="85"/>
  <c r="A116" i="80"/>
  <c r="N115" i="80"/>
  <c r="A86" i="1"/>
  <c r="H85" i="1"/>
  <c r="BC111" i="103"/>
  <c r="A112" i="103"/>
  <c r="BC112" i="103" s="1"/>
  <c r="A23" i="69"/>
  <c r="Q21" i="69"/>
  <c r="E13" i="102"/>
  <c r="E14" i="102" s="1"/>
  <c r="L49" i="109"/>
  <c r="A50" i="109"/>
  <c r="K48" i="86"/>
  <c r="A49" i="86"/>
  <c r="AX102" i="103"/>
  <c r="AX15" i="103" s="1"/>
  <c r="AZ15" i="103" s="1"/>
  <c r="AZ104" i="103"/>
  <c r="AZ102" i="103" s="1"/>
  <c r="I122" i="77"/>
  <c r="M21" i="78"/>
  <c r="N21" i="78" s="1"/>
  <c r="F92" i="75" s="1"/>
  <c r="A63" i="47"/>
  <c r="F87" i="47"/>
  <c r="H61" i="47"/>
  <c r="A93" i="75"/>
  <c r="J92" i="75"/>
  <c r="A36" i="83"/>
  <c r="K34" i="83"/>
  <c r="K7" i="47"/>
  <c r="D12" i="102"/>
  <c r="F103" i="1"/>
  <c r="H102" i="1"/>
  <c r="A103" i="1"/>
  <c r="A36" i="89"/>
  <c r="K34" i="89"/>
  <c r="A82" i="77"/>
  <c r="Q81" i="77"/>
  <c r="N22" i="99"/>
  <c r="A24" i="99"/>
  <c r="AL116" i="103"/>
  <c r="A67" i="73"/>
  <c r="R66" i="73"/>
  <c r="A49" i="47"/>
  <c r="F50" i="47" s="1"/>
  <c r="H48" i="47"/>
  <c r="H21" i="78"/>
  <c r="AZ42" i="103"/>
  <c r="G26" i="2"/>
  <c r="A27" i="2"/>
  <c r="K51" i="89"/>
  <c r="A52" i="89"/>
  <c r="AT116" i="103"/>
  <c r="AT16" i="103" s="1"/>
  <c r="AZ16" i="103" s="1"/>
  <c r="AZ117" i="103"/>
  <c r="AZ116" i="103" s="1"/>
  <c r="E93" i="75"/>
  <c r="J21" i="78"/>
  <c r="Q36" i="78"/>
  <c r="A37" i="78"/>
  <c r="M13" i="102"/>
  <c r="E13" i="92" s="1"/>
  <c r="G53" i="89"/>
  <c r="Q114" i="77"/>
  <c r="A115" i="77"/>
  <c r="D20" i="90"/>
  <c r="A17" i="90"/>
  <c r="F15" i="90"/>
  <c r="D17" i="90"/>
  <c r="M36" i="84"/>
  <c r="M22" i="84"/>
  <c r="M23" i="84"/>
  <c r="M11" i="84"/>
  <c r="M13" i="84"/>
  <c r="M25" i="84"/>
  <c r="M14" i="84"/>
  <c r="M26" i="84"/>
  <c r="M15" i="84"/>
  <c r="M27" i="84"/>
  <c r="M16" i="84"/>
  <c r="M37" i="84"/>
  <c r="M34" i="84"/>
  <c r="M29" i="84"/>
  <c r="M18" i="84"/>
  <c r="M32" i="84"/>
  <c r="M30" i="84"/>
  <c r="M12" i="84"/>
  <c r="M35" i="84"/>
  <c r="M19" i="84"/>
  <c r="M31" i="84"/>
  <c r="M20" i="84"/>
  <c r="M33" i="84"/>
  <c r="M28" i="84"/>
  <c r="M17" i="84"/>
  <c r="M21" i="84"/>
  <c r="F63" i="80"/>
  <c r="F64" i="80" s="1"/>
  <c r="F98" i="80"/>
  <c r="F99" i="80" s="1"/>
  <c r="AZ26" i="103"/>
  <c r="H128" i="1"/>
  <c r="F83" i="47"/>
  <c r="A129" i="1"/>
  <c r="E15" i="2" s="1"/>
  <c r="A42" i="92"/>
  <c r="I41" i="92"/>
  <c r="A22" i="75"/>
  <c r="J21" i="75"/>
  <c r="A21" i="102"/>
  <c r="Q20" i="102"/>
  <c r="A42" i="79"/>
  <c r="J41" i="79"/>
  <c r="AT17" i="103"/>
  <c r="AT23" i="103" s="1"/>
  <c r="AZ12" i="103"/>
  <c r="E11" i="80"/>
  <c r="A86" i="80"/>
  <c r="N86" i="80" s="1"/>
  <c r="N83" i="80"/>
  <c r="D32" i="89"/>
  <c r="E32" i="89"/>
  <c r="E34" i="89" s="1"/>
  <c r="E41" i="47"/>
  <c r="E68" i="1"/>
  <c r="E116" i="1" s="1"/>
  <c r="E66" i="1"/>
  <c r="A40" i="86"/>
  <c r="K39" i="86"/>
  <c r="K42" i="99"/>
  <c r="G61" i="83"/>
  <c r="D35" i="87"/>
  <c r="A31" i="87"/>
  <c r="G30" i="87"/>
  <c r="D31" i="87"/>
  <c r="A51" i="103"/>
  <c r="BC50" i="103"/>
  <c r="N13" i="102"/>
  <c r="A19" i="98"/>
  <c r="N17" i="98"/>
  <c r="A12" i="71"/>
  <c r="K11" i="71"/>
  <c r="K19" i="47"/>
  <c r="G115" i="80"/>
  <c r="A23" i="86"/>
  <c r="K22" i="86"/>
  <c r="A57" i="75"/>
  <c r="J56" i="75"/>
  <c r="I18" i="92"/>
  <c r="A19" i="92"/>
  <c r="K28" i="71"/>
  <c r="A29" i="71"/>
  <c r="E13" i="80"/>
  <c r="N12" i="80"/>
  <c r="A13" i="80"/>
  <c r="P110" i="77"/>
  <c r="P122" i="77" s="1"/>
  <c r="F129" i="77" s="1"/>
  <c r="F131" i="77" s="1"/>
  <c r="E129" i="1" s="1"/>
  <c r="G14" i="70"/>
  <c r="A153" i="80" l="1"/>
  <c r="N152" i="80"/>
  <c r="A68" i="73"/>
  <c r="R67" i="73"/>
  <c r="L24" i="109"/>
  <c r="A25" i="109"/>
  <c r="B135" i="109"/>
  <c r="N19" i="98"/>
  <c r="A21" i="98"/>
  <c r="O30" i="84"/>
  <c r="N30" i="84"/>
  <c r="P30" i="84" s="1"/>
  <c r="N13" i="84"/>
  <c r="P13" i="84" s="1"/>
  <c r="O13" i="84"/>
  <c r="K52" i="89"/>
  <c r="A53" i="89"/>
  <c r="K49" i="86"/>
  <c r="A50" i="86"/>
  <c r="R42" i="73"/>
  <c r="A43" i="73"/>
  <c r="Q17" i="73"/>
  <c r="A23" i="89"/>
  <c r="K22" i="89"/>
  <c r="A87" i="1"/>
  <c r="H86" i="1"/>
  <c r="A41" i="86"/>
  <c r="K41" i="86" s="1"/>
  <c r="K40" i="86"/>
  <c r="A43" i="79"/>
  <c r="J42" i="79"/>
  <c r="N32" i="84"/>
  <c r="O32" i="84"/>
  <c r="O11" i="84"/>
  <c r="N11" i="84"/>
  <c r="G52" i="89"/>
  <c r="A26" i="99"/>
  <c r="N24" i="99"/>
  <c r="A117" i="80"/>
  <c r="N116" i="80"/>
  <c r="Q14" i="84"/>
  <c r="A15" i="84"/>
  <c r="A19" i="103"/>
  <c r="BC17" i="103"/>
  <c r="D13" i="81"/>
  <c r="A16" i="81"/>
  <c r="F14" i="81"/>
  <c r="D13" i="92"/>
  <c r="F13" i="92" s="1"/>
  <c r="M14" i="102"/>
  <c r="E9" i="1" s="1"/>
  <c r="E72" i="1" s="1"/>
  <c r="E120" i="1" s="1"/>
  <c r="K32" i="85"/>
  <c r="F26" i="79"/>
  <c r="A20" i="79"/>
  <c r="J19" i="79"/>
  <c r="A20" i="76"/>
  <c r="R19" i="76"/>
  <c r="A58" i="75"/>
  <c r="J57" i="75"/>
  <c r="N18" i="84"/>
  <c r="P18" i="84" s="1"/>
  <c r="O18" i="84"/>
  <c r="A28" i="2"/>
  <c r="G27" i="2"/>
  <c r="E28" i="2"/>
  <c r="A37" i="83"/>
  <c r="K36" i="83"/>
  <c r="L50" i="109"/>
  <c r="A51" i="109"/>
  <c r="E57" i="75"/>
  <c r="E19" i="75"/>
  <c r="F56" i="75"/>
  <c r="F19" i="75" s="1"/>
  <c r="F17" i="92"/>
  <c r="N31" i="84"/>
  <c r="O31" i="84"/>
  <c r="O35" i="84"/>
  <c r="N35" i="84"/>
  <c r="P35" i="84" s="1"/>
  <c r="I19" i="92"/>
  <c r="A20" i="92"/>
  <c r="G20" i="92"/>
  <c r="O12" i="84"/>
  <c r="N12" i="84"/>
  <c r="P12" i="84" s="1"/>
  <c r="O25" i="84"/>
  <c r="N25" i="84"/>
  <c r="P25" i="84" s="1"/>
  <c r="A20" i="72"/>
  <c r="J19" i="72"/>
  <c r="N23" i="84"/>
  <c r="P23" i="84" s="1"/>
  <c r="O23" i="84"/>
  <c r="A52" i="103"/>
  <c r="BC51" i="103"/>
  <c r="Q21" i="102"/>
  <c r="A22" i="102"/>
  <c r="O21" i="84"/>
  <c r="N21" i="84"/>
  <c r="P21" i="84" s="1"/>
  <c r="O29" i="84"/>
  <c r="N29" i="84"/>
  <c r="P29" i="84" s="1"/>
  <c r="N22" i="84"/>
  <c r="O22" i="84"/>
  <c r="AX17" i="103"/>
  <c r="AX23" i="103" s="1"/>
  <c r="A85" i="109"/>
  <c r="L84" i="109"/>
  <c r="R18" i="73"/>
  <c r="A19" i="73"/>
  <c r="F55" i="75"/>
  <c r="H88" i="47"/>
  <c r="A89" i="47"/>
  <c r="K41" i="47"/>
  <c r="E45" i="47"/>
  <c r="E43" i="47"/>
  <c r="N17" i="84"/>
  <c r="O17" i="84"/>
  <c r="O34" i="84"/>
  <c r="N34" i="84"/>
  <c r="P34" i="84" s="1"/>
  <c r="O36" i="84"/>
  <c r="N36" i="84"/>
  <c r="A38" i="78"/>
  <c r="Q37" i="78"/>
  <c r="A83" i="77"/>
  <c r="Q82" i="77"/>
  <c r="A94" i="75"/>
  <c r="J93" i="75"/>
  <c r="A31" i="85"/>
  <c r="G32" i="85" s="1"/>
  <c r="O30" i="85"/>
  <c r="R48" i="76"/>
  <c r="A49" i="76"/>
  <c r="H129" i="1"/>
  <c r="A130" i="1"/>
  <c r="K12" i="71"/>
  <c r="A14" i="71"/>
  <c r="K14" i="71" s="1"/>
  <c r="F14" i="71"/>
  <c r="O14" i="84"/>
  <c r="N14" i="84"/>
  <c r="P14" i="84" s="1"/>
  <c r="A17" i="80"/>
  <c r="N13" i="80"/>
  <c r="D38" i="87"/>
  <c r="G31" i="87"/>
  <c r="O33" i="84"/>
  <c r="N33" i="84"/>
  <c r="P33" i="84" s="1"/>
  <c r="N16" i="84"/>
  <c r="O16" i="84"/>
  <c r="A38" i="89"/>
  <c r="K38" i="89" s="1"/>
  <c r="K36" i="89"/>
  <c r="F38" i="89"/>
  <c r="A69" i="76"/>
  <c r="R68" i="76"/>
  <c r="Q18" i="76"/>
  <c r="H13" i="47"/>
  <c r="A14" i="47"/>
  <c r="AZ14" i="103"/>
  <c r="AZ17" i="103" s="1"/>
  <c r="AZ23" i="103" s="1"/>
  <c r="C47" i="83" s="1"/>
  <c r="L112" i="109"/>
  <c r="A113" i="109"/>
  <c r="A40" i="80"/>
  <c r="N39" i="80"/>
  <c r="G17" i="2"/>
  <c r="E18" i="2"/>
  <c r="A18" i="2"/>
  <c r="N15" i="84"/>
  <c r="O15" i="84"/>
  <c r="K29" i="71"/>
  <c r="A30" i="71"/>
  <c r="K23" i="86"/>
  <c r="A24" i="86"/>
  <c r="A23" i="75"/>
  <c r="J22" i="75"/>
  <c r="O28" i="84"/>
  <c r="N28" i="84"/>
  <c r="P28" i="84" s="1"/>
  <c r="O37" i="84"/>
  <c r="N37" i="84"/>
  <c r="G13" i="68"/>
  <c r="A14" i="68"/>
  <c r="A99" i="80"/>
  <c r="N98" i="80"/>
  <c r="A15" i="78"/>
  <c r="Q14" i="78"/>
  <c r="A57" i="83"/>
  <c r="K56" i="83"/>
  <c r="G114" i="80"/>
  <c r="D23" i="89"/>
  <c r="D17" i="89" s="1"/>
  <c r="D38" i="89" s="1"/>
  <c r="E158" i="1" s="1"/>
  <c r="E23" i="89"/>
  <c r="D34" i="89"/>
  <c r="D36" i="89" s="1"/>
  <c r="A43" i="92"/>
  <c r="I42" i="92"/>
  <c r="O20" i="84"/>
  <c r="N20" i="84"/>
  <c r="P20" i="84" s="1"/>
  <c r="N27" i="84"/>
  <c r="P27" i="84" s="1"/>
  <c r="O27" i="84"/>
  <c r="F17" i="90"/>
  <c r="A20" i="90"/>
  <c r="F119" i="1"/>
  <c r="H103" i="1"/>
  <c r="F70" i="47"/>
  <c r="A106" i="1"/>
  <c r="H63" i="47"/>
  <c r="A66" i="47"/>
  <c r="F61" i="47"/>
  <c r="A25" i="69"/>
  <c r="Q23" i="69"/>
  <c r="BC38" i="103"/>
  <c r="A39" i="103"/>
  <c r="BC39" i="103" s="1"/>
  <c r="P21" i="78"/>
  <c r="F52" i="75"/>
  <c r="F88" i="75"/>
  <c r="H88" i="75" s="1"/>
  <c r="F89" i="75"/>
  <c r="F53" i="75"/>
  <c r="F16" i="75" s="1"/>
  <c r="E143" i="80"/>
  <c r="H143" i="80" s="1"/>
  <c r="J143" i="80" s="1"/>
  <c r="E133" i="80"/>
  <c r="H133" i="80" s="1"/>
  <c r="J133" i="80" s="1"/>
  <c r="F90" i="75"/>
  <c r="E134" i="80"/>
  <c r="H134" i="80" s="1"/>
  <c r="J134" i="80" s="1"/>
  <c r="E135" i="80"/>
  <c r="H135" i="80" s="1"/>
  <c r="J135" i="80" s="1"/>
  <c r="E138" i="80"/>
  <c r="H138" i="80" s="1"/>
  <c r="J138" i="80" s="1"/>
  <c r="E139" i="80"/>
  <c r="H139" i="80" s="1"/>
  <c r="J139" i="80" s="1"/>
  <c r="E140" i="80"/>
  <c r="H140" i="80" s="1"/>
  <c r="J140" i="80" s="1"/>
  <c r="E132" i="80"/>
  <c r="E136" i="80"/>
  <c r="H136" i="80" s="1"/>
  <c r="J136" i="80" s="1"/>
  <c r="E141" i="80"/>
  <c r="H141" i="80" s="1"/>
  <c r="J141" i="80" s="1"/>
  <c r="E137" i="80"/>
  <c r="H137" i="80" s="1"/>
  <c r="J137" i="80" s="1"/>
  <c r="E142" i="80"/>
  <c r="H142" i="80" s="1"/>
  <c r="J142" i="80" s="1"/>
  <c r="F54" i="75"/>
  <c r="E155" i="80"/>
  <c r="H155" i="80" s="1"/>
  <c r="J155" i="80" s="1"/>
  <c r="E152" i="80"/>
  <c r="H152" i="80" s="1"/>
  <c r="J152" i="80" s="1"/>
  <c r="F91" i="75"/>
  <c r="E160" i="80"/>
  <c r="H160" i="80" s="1"/>
  <c r="J160" i="80" s="1"/>
  <c r="E157" i="80"/>
  <c r="H157" i="80" s="1"/>
  <c r="J157" i="80" s="1"/>
  <c r="E151" i="80"/>
  <c r="H151" i="80" s="1"/>
  <c r="J151" i="80" s="1"/>
  <c r="E156" i="80"/>
  <c r="H156" i="80" s="1"/>
  <c r="J156" i="80" s="1"/>
  <c r="E153" i="80"/>
  <c r="H153" i="80" s="1"/>
  <c r="J153" i="80" s="1"/>
  <c r="E154" i="80"/>
  <c r="H154" i="80" s="1"/>
  <c r="J154" i="80" s="1"/>
  <c r="E150" i="80"/>
  <c r="H150" i="80" s="1"/>
  <c r="J150" i="80" s="1"/>
  <c r="E158" i="80"/>
  <c r="H158" i="80" s="1"/>
  <c r="J158" i="80" s="1"/>
  <c r="E159" i="80"/>
  <c r="H159" i="80" s="1"/>
  <c r="J159" i="80" s="1"/>
  <c r="E149" i="80"/>
  <c r="G26" i="79"/>
  <c r="A12" i="85"/>
  <c r="O11" i="85"/>
  <c r="N60" i="80"/>
  <c r="A62" i="80"/>
  <c r="H13" i="70"/>
  <c r="A14" i="70"/>
  <c r="A55" i="85"/>
  <c r="O54" i="85"/>
  <c r="G60" i="83"/>
  <c r="N19" i="84"/>
  <c r="O19" i="84"/>
  <c r="O26" i="84"/>
  <c r="N26" i="84"/>
  <c r="A116" i="77"/>
  <c r="Q115" i="77"/>
  <c r="F93" i="75"/>
  <c r="E94" i="75"/>
  <c r="A50" i="47"/>
  <c r="F71" i="47"/>
  <c r="H49" i="47"/>
  <c r="A45" i="1"/>
  <c r="H42" i="1"/>
  <c r="F18" i="82"/>
  <c r="A18" i="82"/>
  <c r="G18" i="82" s="1"/>
  <c r="G15" i="82"/>
  <c r="A19" i="1"/>
  <c r="H16" i="1"/>
  <c r="N14" i="102"/>
  <c r="E9" i="47" s="1"/>
  <c r="E55" i="83"/>
  <c r="E68" i="83" l="1"/>
  <c r="E24" i="1"/>
  <c r="D58" i="83"/>
  <c r="D61" i="83"/>
  <c r="D64" i="83"/>
  <c r="D56" i="83"/>
  <c r="D57" i="83"/>
  <c r="D65" i="83"/>
  <c r="D63" i="83"/>
  <c r="D62" i="83"/>
  <c r="D67" i="83"/>
  <c r="D66" i="83"/>
  <c r="D59" i="83"/>
  <c r="D60" i="83"/>
  <c r="K24" i="86"/>
  <c r="A25" i="86"/>
  <c r="O12" i="85"/>
  <c r="A13" i="85"/>
  <c r="A131" i="1"/>
  <c r="H130" i="1"/>
  <c r="A88" i="1"/>
  <c r="H87" i="1"/>
  <c r="F88" i="1"/>
  <c r="H45" i="1"/>
  <c r="A47" i="1"/>
  <c r="F47" i="1"/>
  <c r="P19" i="84"/>
  <c r="K30" i="71"/>
  <c r="F11" i="71"/>
  <c r="F10" i="71"/>
  <c r="F6" i="71"/>
  <c r="F18" i="75"/>
  <c r="A23" i="102"/>
  <c r="Q22" i="102"/>
  <c r="G51" i="89"/>
  <c r="A28" i="99"/>
  <c r="N26" i="99"/>
  <c r="H149" i="80"/>
  <c r="E161" i="80"/>
  <c r="A15" i="47"/>
  <c r="H14" i="47"/>
  <c r="A39" i="78"/>
  <c r="Q38" i="78"/>
  <c r="G59" i="83"/>
  <c r="F17" i="75"/>
  <c r="A67" i="47"/>
  <c r="H66" i="47"/>
  <c r="N99" i="80"/>
  <c r="E12" i="80"/>
  <c r="A102" i="80"/>
  <c r="N102" i="80" s="1"/>
  <c r="P36" i="84"/>
  <c r="R19" i="73"/>
  <c r="A20" i="73"/>
  <c r="I20" i="92"/>
  <c r="A23" i="92"/>
  <c r="F57" i="75"/>
  <c r="F20" i="75" s="1"/>
  <c r="E20" i="75"/>
  <c r="E58" i="75"/>
  <c r="A17" i="81"/>
  <c r="F16" i="81"/>
  <c r="N10" i="84"/>
  <c r="C21" i="90" s="1"/>
  <c r="P11" i="84"/>
  <c r="K23" i="89"/>
  <c r="A24" i="89"/>
  <c r="A23" i="98"/>
  <c r="N21" i="98"/>
  <c r="F85" i="47"/>
  <c r="H50" i="47"/>
  <c r="H106" i="1"/>
  <c r="F108" i="1"/>
  <c r="A107" i="1"/>
  <c r="P15" i="84"/>
  <c r="A53" i="103"/>
  <c r="BC52" i="103"/>
  <c r="R43" i="73"/>
  <c r="Q18" i="73"/>
  <c r="A44" i="73"/>
  <c r="H89" i="47"/>
  <c r="A90" i="47"/>
  <c r="A16" i="78"/>
  <c r="Q15" i="78"/>
  <c r="P16" i="84"/>
  <c r="A50" i="76"/>
  <c r="R49" i="76"/>
  <c r="K9" i="47"/>
  <c r="E49" i="47"/>
  <c r="A56" i="85"/>
  <c r="O55" i="85"/>
  <c r="P37" i="84"/>
  <c r="G18" i="2"/>
  <c r="E23" i="2"/>
  <c r="L85" i="109"/>
  <c r="A86" i="109"/>
  <c r="R20" i="76"/>
  <c r="A21" i="76"/>
  <c r="A20" i="103"/>
  <c r="BC19" i="103"/>
  <c r="P32" i="84"/>
  <c r="A27" i="109"/>
  <c r="L25" i="109"/>
  <c r="A15" i="68"/>
  <c r="G14" i="68"/>
  <c r="F94" i="75"/>
  <c r="E95" i="75"/>
  <c r="H14" i="70"/>
  <c r="A17" i="70"/>
  <c r="I88" i="75"/>
  <c r="H89" i="75"/>
  <c r="A21" i="80"/>
  <c r="N17" i="80"/>
  <c r="A38" i="83"/>
  <c r="K37" i="83"/>
  <c r="A16" i="84"/>
  <c r="Q15" i="84"/>
  <c r="A51" i="86"/>
  <c r="K50" i="86"/>
  <c r="A44" i="92"/>
  <c r="I43" i="92"/>
  <c r="R69" i="76"/>
  <c r="A70" i="76"/>
  <c r="Q19" i="76"/>
  <c r="O31" i="85"/>
  <c r="A32" i="85"/>
  <c r="P17" i="84"/>
  <c r="A21" i="79"/>
  <c r="J20" i="79"/>
  <c r="A59" i="75"/>
  <c r="J58" i="75"/>
  <c r="F15" i="75"/>
  <c r="H52" i="75"/>
  <c r="A21" i="90"/>
  <c r="F20" i="90"/>
  <c r="G113" i="80"/>
  <c r="K43" i="47"/>
  <c r="P22" i="84"/>
  <c r="A21" i="72"/>
  <c r="J20" i="72"/>
  <c r="P31" i="84"/>
  <c r="A44" i="79"/>
  <c r="J43" i="79"/>
  <c r="K53" i="89"/>
  <c r="A54" i="89"/>
  <c r="A69" i="73"/>
  <c r="R68" i="73"/>
  <c r="E56" i="83"/>
  <c r="E57" i="83" s="1"/>
  <c r="E58" i="83" s="1"/>
  <c r="E59" i="83" s="1"/>
  <c r="E60" i="83" s="1"/>
  <c r="E61" i="83" s="1"/>
  <c r="E62" i="83" s="1"/>
  <c r="E63" i="83" s="1"/>
  <c r="E64" i="83" s="1"/>
  <c r="E65" i="83" s="1"/>
  <c r="J55" i="83"/>
  <c r="Q25" i="69"/>
  <c r="A27" i="69"/>
  <c r="A52" i="109"/>
  <c r="L51" i="109"/>
  <c r="O10" i="84"/>
  <c r="E144" i="80"/>
  <c r="E163" i="80" s="1"/>
  <c r="H132" i="80"/>
  <c r="H19" i="1"/>
  <c r="A20" i="1"/>
  <c r="E69" i="80"/>
  <c r="A63" i="80"/>
  <c r="N62" i="80"/>
  <c r="I64" i="80"/>
  <c r="A95" i="75"/>
  <c r="J94" i="75"/>
  <c r="K45" i="47"/>
  <c r="E67" i="47"/>
  <c r="K67" i="47" s="1"/>
  <c r="G28" i="2"/>
  <c r="A30" i="2"/>
  <c r="A118" i="80"/>
  <c r="N117" i="80"/>
  <c r="A84" i="77"/>
  <c r="Q83" i="77"/>
  <c r="A117" i="77"/>
  <c r="Q116" i="77"/>
  <c r="A41" i="80"/>
  <c r="N40" i="80"/>
  <c r="P26" i="84"/>
  <c r="A58" i="83"/>
  <c r="K57" i="83"/>
  <c r="A24" i="75"/>
  <c r="J23" i="75"/>
  <c r="L113" i="109"/>
  <c r="A114" i="109"/>
  <c r="A154" i="80"/>
  <c r="N153" i="80"/>
  <c r="A51" i="76" l="1"/>
  <c r="R50" i="76"/>
  <c r="A108" i="1"/>
  <c r="H107" i="1"/>
  <c r="C23" i="90"/>
  <c r="C24" i="90"/>
  <c r="A40" i="78"/>
  <c r="Q39" i="78"/>
  <c r="A90" i="1"/>
  <c r="H88" i="1"/>
  <c r="R20" i="73"/>
  <c r="A21" i="73"/>
  <c r="A21" i="1"/>
  <c r="H20" i="1"/>
  <c r="A33" i="85"/>
  <c r="G34" i="85" s="1"/>
  <c r="O32" i="85"/>
  <c r="A16" i="68"/>
  <c r="G15" i="68"/>
  <c r="F17" i="81"/>
  <c r="A18" i="81"/>
  <c r="A16" i="47"/>
  <c r="H15" i="47"/>
  <c r="F16" i="47"/>
  <c r="H131" i="1"/>
  <c r="A132" i="1"/>
  <c r="A43" i="80"/>
  <c r="N41" i="80"/>
  <c r="A22" i="79"/>
  <c r="J21" i="79"/>
  <c r="Q23" i="102"/>
  <c r="A24" i="102"/>
  <c r="G112" i="80"/>
  <c r="A14" i="85"/>
  <c r="O13" i="85"/>
  <c r="A91" i="47"/>
  <c r="F91" i="47"/>
  <c r="H90" i="47"/>
  <c r="E59" i="75"/>
  <c r="F58" i="75"/>
  <c r="F21" i="75" s="1"/>
  <c r="E21" i="75"/>
  <c r="H161" i="80"/>
  <c r="J149" i="80"/>
  <c r="A45" i="79"/>
  <c r="J44" i="79"/>
  <c r="H53" i="75"/>
  <c r="H15" i="75"/>
  <c r="I52" i="75"/>
  <c r="I15" i="75" s="1"/>
  <c r="L27" i="109"/>
  <c r="B7" i="109"/>
  <c r="H67" i="47"/>
  <c r="A68" i="47"/>
  <c r="E96" i="75"/>
  <c r="F95" i="75"/>
  <c r="E66" i="83"/>
  <c r="E67" i="83" s="1"/>
  <c r="A87" i="109"/>
  <c r="L86" i="109"/>
  <c r="F21" i="1"/>
  <c r="A55" i="89"/>
  <c r="K54" i="89"/>
  <c r="R44" i="73"/>
  <c r="A45" i="73"/>
  <c r="Q19" i="73"/>
  <c r="A26" i="86"/>
  <c r="K25" i="86"/>
  <c r="L114" i="109"/>
  <c r="A115" i="109"/>
  <c r="A22" i="80"/>
  <c r="N21" i="80"/>
  <c r="Q16" i="78"/>
  <c r="A17" i="78"/>
  <c r="H90" i="75"/>
  <c r="I89" i="75"/>
  <c r="A96" i="75"/>
  <c r="J95" i="75"/>
  <c r="A85" i="77"/>
  <c r="Q84" i="77"/>
  <c r="A57" i="85"/>
  <c r="O56" i="85"/>
  <c r="A30" i="99"/>
  <c r="N28" i="99"/>
  <c r="A155" i="80"/>
  <c r="N154" i="80"/>
  <c r="A17" i="84"/>
  <c r="Q16" i="84"/>
  <c r="P10" i="84"/>
  <c r="Q117" i="77"/>
  <c r="A118" i="77"/>
  <c r="A70" i="73"/>
  <c r="R69" i="73"/>
  <c r="K38" i="83"/>
  <c r="A39" i="83"/>
  <c r="K39" i="83" s="1"/>
  <c r="A25" i="75"/>
  <c r="J24" i="75"/>
  <c r="R70" i="76"/>
  <c r="A71" i="76"/>
  <c r="Q20" i="76"/>
  <c r="A59" i="83"/>
  <c r="K58" i="83"/>
  <c r="Q27" i="69"/>
  <c r="A29" i="69"/>
  <c r="A22" i="72"/>
  <c r="J21" i="72"/>
  <c r="A60" i="75"/>
  <c r="J59" i="75"/>
  <c r="A18" i="70"/>
  <c r="H17" i="70"/>
  <c r="A21" i="103"/>
  <c r="BC20" i="103"/>
  <c r="K49" i="47"/>
  <c r="E71" i="47"/>
  <c r="K71" i="47" s="1"/>
  <c r="A25" i="98"/>
  <c r="N23" i="98"/>
  <c r="A24" i="92"/>
  <c r="I23" i="92"/>
  <c r="G25" i="92"/>
  <c r="G50" i="89"/>
  <c r="A50" i="1"/>
  <c r="H47" i="1"/>
  <c r="A54" i="103"/>
  <c r="BC53" i="103"/>
  <c r="J132" i="80"/>
  <c r="H144" i="80"/>
  <c r="D24" i="90"/>
  <c r="A23" i="90"/>
  <c r="F21" i="90"/>
  <c r="D23" i="90"/>
  <c r="A45" i="92"/>
  <c r="I44" i="92"/>
  <c r="L52" i="109"/>
  <c r="A53" i="109"/>
  <c r="A119" i="80"/>
  <c r="N118" i="80"/>
  <c r="A31" i="2"/>
  <c r="G30" i="2"/>
  <c r="A64" i="80"/>
  <c r="N63" i="80"/>
  <c r="A52" i="86"/>
  <c r="K51" i="86"/>
  <c r="A22" i="76"/>
  <c r="R21" i="76"/>
  <c r="A25" i="89"/>
  <c r="K24" i="89"/>
  <c r="G58" i="83"/>
  <c r="N155" i="80" l="1"/>
  <c r="A156" i="80"/>
  <c r="A18" i="78"/>
  <c r="Q17" i="78"/>
  <c r="H68" i="47"/>
  <c r="A69" i="47"/>
  <c r="A20" i="81"/>
  <c r="F20" i="81" s="1"/>
  <c r="F18" i="81"/>
  <c r="D17" i="81"/>
  <c r="A25" i="102"/>
  <c r="Q24" i="102"/>
  <c r="A24" i="90"/>
  <c r="F23" i="90"/>
  <c r="A61" i="75"/>
  <c r="J60" i="75"/>
  <c r="K55" i="89"/>
  <c r="A56" i="89"/>
  <c r="A26" i="75"/>
  <c r="J25" i="75"/>
  <c r="A67" i="80"/>
  <c r="N64" i="80"/>
  <c r="E10" i="80"/>
  <c r="A25" i="92"/>
  <c r="I24" i="92"/>
  <c r="H90" i="1"/>
  <c r="F91" i="1"/>
  <c r="A91" i="1"/>
  <c r="E60" i="75"/>
  <c r="E22" i="75"/>
  <c r="F59" i="75"/>
  <c r="F22" i="75" s="1"/>
  <c r="A71" i="73"/>
  <c r="R70" i="73"/>
  <c r="L115" i="109"/>
  <c r="A116" i="109"/>
  <c r="A88" i="109"/>
  <c r="L87" i="109"/>
  <c r="A41" i="78"/>
  <c r="Q40" i="78"/>
  <c r="H146" i="80"/>
  <c r="H163" i="80"/>
  <c r="A32" i="99"/>
  <c r="N30" i="99"/>
  <c r="A23" i="79"/>
  <c r="J22" i="79"/>
  <c r="A32" i="2"/>
  <c r="G31" i="2"/>
  <c r="E32" i="2"/>
  <c r="G57" i="83"/>
  <c r="Q118" i="77"/>
  <c r="A119" i="77"/>
  <c r="A44" i="80"/>
  <c r="E48" i="80"/>
  <c r="I45" i="80"/>
  <c r="N43" i="80"/>
  <c r="E49" i="82"/>
  <c r="E50" i="82" s="1"/>
  <c r="D49" i="82"/>
  <c r="D50" i="82" s="1"/>
  <c r="E52" i="82" s="1"/>
  <c r="E14" i="82"/>
  <c r="E15" i="82" s="1"/>
  <c r="D14" i="82"/>
  <c r="D15" i="82" s="1"/>
  <c r="E102" i="76"/>
  <c r="F102" i="76" s="1"/>
  <c r="H82" i="80"/>
  <c r="H83" i="80" s="1"/>
  <c r="H63" i="80"/>
  <c r="H64" i="80" s="1"/>
  <c r="H98" i="80"/>
  <c r="H99" i="80" s="1"/>
  <c r="I54" i="79"/>
  <c r="E101" i="76"/>
  <c r="F101" i="76" s="1"/>
  <c r="D38" i="77"/>
  <c r="E38" i="77" s="1"/>
  <c r="E101" i="73"/>
  <c r="F101" i="73" s="1"/>
  <c r="E100" i="73"/>
  <c r="F100" i="73" s="1"/>
  <c r="H16" i="75"/>
  <c r="H54" i="75"/>
  <c r="I53" i="75"/>
  <c r="I16" i="75" s="1"/>
  <c r="H91" i="47"/>
  <c r="A94" i="47"/>
  <c r="A34" i="85"/>
  <c r="O33" i="85"/>
  <c r="F33" i="85"/>
  <c r="H44" i="80"/>
  <c r="H45" i="80" s="1"/>
  <c r="E115" i="76"/>
  <c r="F115" i="76" s="1"/>
  <c r="D51" i="77"/>
  <c r="E51" i="77" s="1"/>
  <c r="E116" i="76"/>
  <c r="F116" i="76" s="1"/>
  <c r="E115" i="73"/>
  <c r="F115" i="73" s="1"/>
  <c r="E114" i="73"/>
  <c r="F114" i="73" s="1"/>
  <c r="E90" i="1"/>
  <c r="E91" i="1" s="1"/>
  <c r="G16" i="68"/>
  <c r="A19" i="68"/>
  <c r="A27" i="98"/>
  <c r="N25" i="98"/>
  <c r="A58" i="85"/>
  <c r="O57" i="85"/>
  <c r="F86" i="47"/>
  <c r="A133" i="1"/>
  <c r="H132" i="1"/>
  <c r="K52" i="86"/>
  <c r="A53" i="86"/>
  <c r="J22" i="72"/>
  <c r="A23" i="72"/>
  <c r="A23" i="80"/>
  <c r="N23" i="80" s="1"/>
  <c r="N22" i="80"/>
  <c r="Q29" i="69"/>
  <c r="A31" i="69"/>
  <c r="BC21" i="103"/>
  <c r="A22" i="103"/>
  <c r="F4" i="84"/>
  <c r="E125" i="1"/>
  <c r="A27" i="86"/>
  <c r="K27" i="86" s="1"/>
  <c r="K26" i="86"/>
  <c r="A46" i="79"/>
  <c r="J45" i="79"/>
  <c r="A23" i="1"/>
  <c r="H21" i="1"/>
  <c r="F69" i="47"/>
  <c r="A110" i="1"/>
  <c r="F118" i="1"/>
  <c r="H108" i="1"/>
  <c r="A55" i="103"/>
  <c r="BC54" i="103"/>
  <c r="A51" i="1"/>
  <c r="H50" i="1"/>
  <c r="A72" i="76"/>
  <c r="R71" i="76"/>
  <c r="Q21" i="76"/>
  <c r="A97" i="75"/>
  <c r="J96" i="75"/>
  <c r="F96" i="75"/>
  <c r="E97" i="75"/>
  <c r="A15" i="85"/>
  <c r="O14" i="85"/>
  <c r="A22" i="73"/>
  <c r="R21" i="73"/>
  <c r="R45" i="73"/>
  <c r="Q20" i="73"/>
  <c r="A46" i="73"/>
  <c r="J161" i="80"/>
  <c r="R51" i="76"/>
  <c r="A52" i="76"/>
  <c r="R52" i="76" s="1"/>
  <c r="J144" i="80"/>
  <c r="J146" i="80" s="1"/>
  <c r="L146" i="80" s="1"/>
  <c r="M146" i="80" s="1"/>
  <c r="A120" i="80"/>
  <c r="N119" i="80"/>
  <c r="A54" i="109"/>
  <c r="L53" i="109"/>
  <c r="A60" i="83"/>
  <c r="K59" i="83"/>
  <c r="A86" i="77"/>
  <c r="Q85" i="77"/>
  <c r="A26" i="89"/>
  <c r="K26" i="89" s="1"/>
  <c r="K25" i="89"/>
  <c r="A23" i="76"/>
  <c r="R22" i="76"/>
  <c r="A46" i="92"/>
  <c r="I45" i="92"/>
  <c r="G49" i="89"/>
  <c r="Q17" i="84"/>
  <c r="A18" i="84"/>
  <c r="A19" i="70"/>
  <c r="H18" i="70"/>
  <c r="H91" i="75"/>
  <c r="I90" i="75"/>
  <c r="G111" i="80"/>
  <c r="H16" i="47"/>
  <c r="A19" i="47"/>
  <c r="A117" i="109" l="1"/>
  <c r="L116" i="109"/>
  <c r="H100" i="73"/>
  <c r="F102" i="73"/>
  <c r="G100" i="73"/>
  <c r="D127" i="73"/>
  <c r="A34" i="2"/>
  <c r="G32" i="2"/>
  <c r="E34" i="2"/>
  <c r="A19" i="84"/>
  <c r="Q18" i="84"/>
  <c r="A98" i="75"/>
  <c r="J97" i="75"/>
  <c r="Q31" i="69"/>
  <c r="A33" i="69"/>
  <c r="O58" i="85"/>
  <c r="A59" i="85"/>
  <c r="D128" i="73"/>
  <c r="H101" i="73"/>
  <c r="G101" i="73"/>
  <c r="Q25" i="102"/>
  <c r="A26" i="102"/>
  <c r="H19" i="70"/>
  <c r="A20" i="70"/>
  <c r="K33" i="85"/>
  <c r="F34" i="85"/>
  <c r="K34" i="85" s="1"/>
  <c r="F38" i="77"/>
  <c r="G38" i="77"/>
  <c r="C61" i="77"/>
  <c r="E128" i="1" s="1"/>
  <c r="A24" i="79"/>
  <c r="J23" i="79"/>
  <c r="A72" i="73"/>
  <c r="R71" i="73"/>
  <c r="A68" i="80"/>
  <c r="N67" i="80"/>
  <c r="F117" i="76"/>
  <c r="G115" i="76"/>
  <c r="H115" i="76"/>
  <c r="A27" i="90"/>
  <c r="F24" i="90"/>
  <c r="F14" i="82"/>
  <c r="F49" i="82"/>
  <c r="A112" i="1"/>
  <c r="F133" i="1"/>
  <c r="H110" i="1"/>
  <c r="A29" i="98"/>
  <c r="N27" i="98"/>
  <c r="H101" i="76"/>
  <c r="F103" i="76"/>
  <c r="G101" i="76"/>
  <c r="D127" i="76"/>
  <c r="Q21" i="73"/>
  <c r="A47" i="73"/>
  <c r="R46" i="73"/>
  <c r="G48" i="89"/>
  <c r="A55" i="109"/>
  <c r="L54" i="109"/>
  <c r="R72" i="76"/>
  <c r="A73" i="76"/>
  <c r="Q22" i="76"/>
  <c r="A26" i="1"/>
  <c r="F25" i="1"/>
  <c r="H23" i="1"/>
  <c r="G19" i="68"/>
  <c r="A20" i="68"/>
  <c r="O34" i="85"/>
  <c r="A35" i="85"/>
  <c r="I60" i="79"/>
  <c r="I57" i="79"/>
  <c r="A34" i="99"/>
  <c r="N32" i="99"/>
  <c r="J26" i="75"/>
  <c r="A27" i="75"/>
  <c r="A61" i="83"/>
  <c r="K60" i="83"/>
  <c r="F21" i="47"/>
  <c r="H19" i="47"/>
  <c r="A20" i="47"/>
  <c r="A24" i="72"/>
  <c r="J24" i="72" s="1"/>
  <c r="J23" i="72"/>
  <c r="A95" i="47"/>
  <c r="H94" i="47"/>
  <c r="A45" i="80"/>
  <c r="N44" i="80"/>
  <c r="K56" i="89"/>
  <c r="A57" i="89"/>
  <c r="A70" i="47"/>
  <c r="H69" i="47"/>
  <c r="Q119" i="77"/>
  <c r="A120" i="77"/>
  <c r="F60" i="75"/>
  <c r="F23" i="75" s="1"/>
  <c r="E61" i="75"/>
  <c r="E23" i="75"/>
  <c r="A87" i="77"/>
  <c r="Q87" i="77" s="1"/>
  <c r="Q98" i="77" s="1"/>
  <c r="Q86" i="77"/>
  <c r="I46" i="92"/>
  <c r="A47" i="92"/>
  <c r="A121" i="80"/>
  <c r="N120" i="80"/>
  <c r="A23" i="73"/>
  <c r="R22" i="73"/>
  <c r="A47" i="79"/>
  <c r="J46" i="79"/>
  <c r="G110" i="80"/>
  <c r="H111" i="80" s="1"/>
  <c r="K132" i="80" s="1"/>
  <c r="H51" i="1"/>
  <c r="A52" i="1"/>
  <c r="K53" i="86"/>
  <c r="A54" i="86"/>
  <c r="H114" i="73"/>
  <c r="H116" i="73" s="1"/>
  <c r="G114" i="73"/>
  <c r="F116" i="73"/>
  <c r="A93" i="1"/>
  <c r="H91" i="1"/>
  <c r="F93" i="1"/>
  <c r="H102" i="76"/>
  <c r="G102" i="76"/>
  <c r="D128" i="76"/>
  <c r="G56" i="83"/>
  <c r="A42" i="78"/>
  <c r="Q41" i="78"/>
  <c r="A62" i="75"/>
  <c r="J61" i="75"/>
  <c r="Q18" i="78"/>
  <c r="A19" i="78"/>
  <c r="O15" i="85"/>
  <c r="A16" i="85"/>
  <c r="A56" i="103"/>
  <c r="BC55" i="103"/>
  <c r="E80" i="47"/>
  <c r="H116" i="76"/>
  <c r="G116" i="76"/>
  <c r="E18" i="82"/>
  <c r="A157" i="80"/>
  <c r="N156" i="80"/>
  <c r="A23" i="103"/>
  <c r="BC23" i="103" s="1"/>
  <c r="BC22" i="103"/>
  <c r="A27" i="92"/>
  <c r="I25" i="92"/>
  <c r="A24" i="76"/>
  <c r="R23" i="76"/>
  <c r="H115" i="73"/>
  <c r="G115" i="73"/>
  <c r="H92" i="75"/>
  <c r="I91" i="75"/>
  <c r="F97" i="75"/>
  <c r="E98" i="75"/>
  <c r="A134" i="1"/>
  <c r="H133" i="1"/>
  <c r="G51" i="77"/>
  <c r="F51" i="77"/>
  <c r="H55" i="75"/>
  <c r="H17" i="75"/>
  <c r="I54" i="75"/>
  <c r="I17" i="75" s="1"/>
  <c r="A89" i="109"/>
  <c r="L88" i="109"/>
  <c r="K149" i="80" l="1"/>
  <c r="L149" i="80" s="1"/>
  <c r="M149" i="80" s="1"/>
  <c r="L132" i="80"/>
  <c r="M132" i="80" s="1"/>
  <c r="E24" i="75"/>
  <c r="E62" i="75"/>
  <c r="F61" i="75"/>
  <c r="F24" i="75" s="1"/>
  <c r="A48" i="79"/>
  <c r="J47" i="79"/>
  <c r="A36" i="85"/>
  <c r="O35" i="85"/>
  <c r="A27" i="102"/>
  <c r="Q26" i="102"/>
  <c r="A20" i="84"/>
  <c r="Q19" i="84"/>
  <c r="A31" i="98"/>
  <c r="N29" i="98"/>
  <c r="A63" i="75"/>
  <c r="J62" i="75"/>
  <c r="G116" i="73"/>
  <c r="Q120" i="77"/>
  <c r="A121" i="77"/>
  <c r="H20" i="47"/>
  <c r="A21" i="47"/>
  <c r="G47" i="89"/>
  <c r="H112" i="1"/>
  <c r="F110" i="1"/>
  <c r="A115" i="1"/>
  <c r="A73" i="73"/>
  <c r="R72" i="73"/>
  <c r="E128" i="73"/>
  <c r="D12" i="92" s="1"/>
  <c r="A21" i="70"/>
  <c r="H20" i="70"/>
  <c r="A24" i="73"/>
  <c r="R23" i="73"/>
  <c r="Q42" i="78"/>
  <c r="A43" i="78"/>
  <c r="A55" i="86"/>
  <c r="K54" i="86"/>
  <c r="A48" i="73"/>
  <c r="R47" i="73"/>
  <c r="Q22" i="73"/>
  <c r="A25" i="79"/>
  <c r="J24" i="79"/>
  <c r="F128" i="73"/>
  <c r="E12" i="92" s="1"/>
  <c r="E14" i="92" s="1"/>
  <c r="G34" i="2"/>
  <c r="F149" i="1"/>
  <c r="F132" i="1"/>
  <c r="H93" i="1"/>
  <c r="L55" i="109"/>
  <c r="A56" i="109"/>
  <c r="K80" i="47"/>
  <c r="A122" i="80"/>
  <c r="N121" i="80"/>
  <c r="H70" i="47"/>
  <c r="A71" i="47"/>
  <c r="E83" i="47"/>
  <c r="K83" i="47" s="1"/>
  <c r="D15" i="2"/>
  <c r="E8" i="1"/>
  <c r="E10" i="1" s="1"/>
  <c r="C31" i="90"/>
  <c r="C27" i="90"/>
  <c r="C29" i="90" s="1"/>
  <c r="D129" i="73"/>
  <c r="E8" i="47" s="1"/>
  <c r="A21" i="78"/>
  <c r="Q21" i="78" s="1"/>
  <c r="Q19" i="78"/>
  <c r="H95" i="47"/>
  <c r="A96" i="47"/>
  <c r="F96" i="47"/>
  <c r="A99" i="75"/>
  <c r="J98" i="75"/>
  <c r="A158" i="80"/>
  <c r="N157" i="80"/>
  <c r="A69" i="80"/>
  <c r="N69" i="80" s="1"/>
  <c r="N68" i="80"/>
  <c r="H56" i="83"/>
  <c r="I56" i="83" s="1"/>
  <c r="J56" i="83" s="1"/>
  <c r="G55" i="83"/>
  <c r="F42" i="47"/>
  <c r="A55" i="1"/>
  <c r="H52" i="1"/>
  <c r="G48" i="92"/>
  <c r="A48" i="92"/>
  <c r="I47" i="92"/>
  <c r="K57" i="89"/>
  <c r="A58" i="89"/>
  <c r="A62" i="83"/>
  <c r="K61" i="83"/>
  <c r="D129" i="76"/>
  <c r="E20" i="47" s="1"/>
  <c r="F27" i="90"/>
  <c r="A28" i="90"/>
  <c r="D29" i="90"/>
  <c r="E61" i="77"/>
  <c r="E39" i="92" s="1"/>
  <c r="A60" i="85"/>
  <c r="O59" i="85"/>
  <c r="G102" i="73"/>
  <c r="E127" i="73"/>
  <c r="E129" i="73" s="1"/>
  <c r="H93" i="75"/>
  <c r="I92" i="75"/>
  <c r="D61" i="77"/>
  <c r="D39" i="92" s="1"/>
  <c r="R24" i="76"/>
  <c r="A25" i="76"/>
  <c r="A28" i="75"/>
  <c r="J27" i="75"/>
  <c r="A27" i="1"/>
  <c r="H26" i="1"/>
  <c r="F88" i="47"/>
  <c r="A135" i="1"/>
  <c r="H134" i="1"/>
  <c r="A28" i="92"/>
  <c r="I27" i="92"/>
  <c r="E128" i="76"/>
  <c r="D24" i="92" s="1"/>
  <c r="H117" i="76"/>
  <c r="A35" i="69"/>
  <c r="Q33" i="69"/>
  <c r="F127" i="73"/>
  <c r="F129" i="73" s="1"/>
  <c r="H102" i="73"/>
  <c r="E20" i="1"/>
  <c r="E21" i="1" s="1"/>
  <c r="C60" i="90"/>
  <c r="E127" i="76"/>
  <c r="G103" i="76"/>
  <c r="A57" i="103"/>
  <c r="BC56" i="103"/>
  <c r="E99" i="75"/>
  <c r="F98" i="75"/>
  <c r="A17" i="85"/>
  <c r="O16" i="85"/>
  <c r="F128" i="76"/>
  <c r="E24" i="92" s="1"/>
  <c r="E25" i="92" s="1"/>
  <c r="N45" i="80"/>
  <c r="E9" i="80"/>
  <c r="A48" i="80"/>
  <c r="N48" i="80" s="1"/>
  <c r="R73" i="76"/>
  <c r="A74" i="76"/>
  <c r="Q23" i="76"/>
  <c r="F127" i="76"/>
  <c r="H103" i="76"/>
  <c r="G117" i="76"/>
  <c r="L89" i="109"/>
  <c r="A90" i="109"/>
  <c r="G20" i="68"/>
  <c r="A21" i="68"/>
  <c r="H56" i="75"/>
  <c r="H18" i="75"/>
  <c r="I55" i="75"/>
  <c r="I18" i="75" s="1"/>
  <c r="H122" i="80"/>
  <c r="K143" i="80" s="1"/>
  <c r="H119" i="80"/>
  <c r="K140" i="80" s="1"/>
  <c r="H120" i="80"/>
  <c r="K141" i="80" s="1"/>
  <c r="H121" i="80"/>
  <c r="K142" i="80" s="1"/>
  <c r="H118" i="80"/>
  <c r="K139" i="80" s="1"/>
  <c r="H117" i="80"/>
  <c r="K138" i="80" s="1"/>
  <c r="H116" i="80"/>
  <c r="K137" i="80" s="1"/>
  <c r="H115" i="80"/>
  <c r="K136" i="80" s="1"/>
  <c r="H114" i="80"/>
  <c r="K135" i="80" s="1"/>
  <c r="H113" i="80"/>
  <c r="K134" i="80" s="1"/>
  <c r="H112" i="80"/>
  <c r="K133" i="80" s="1"/>
  <c r="A36" i="99"/>
  <c r="N34" i="99"/>
  <c r="G22" i="70"/>
  <c r="L117" i="109"/>
  <c r="A118" i="109"/>
  <c r="Q27" i="102" l="1"/>
  <c r="A28" i="102"/>
  <c r="A75" i="76"/>
  <c r="R74" i="76"/>
  <c r="Q24" i="76"/>
  <c r="A50" i="92"/>
  <c r="I48" i="92"/>
  <c r="K153" i="80"/>
  <c r="L153" i="80" s="1"/>
  <c r="L136" i="80"/>
  <c r="H27" i="1"/>
  <c r="A28" i="1"/>
  <c r="A100" i="75"/>
  <c r="J99" i="75"/>
  <c r="R24" i="73"/>
  <c r="A25" i="73"/>
  <c r="R25" i="73" s="1"/>
  <c r="A91" i="109"/>
  <c r="L90" i="109"/>
  <c r="K155" i="80"/>
  <c r="L155" i="80" s="1"/>
  <c r="L138" i="80"/>
  <c r="A56" i="1"/>
  <c r="H55" i="1"/>
  <c r="F63" i="1"/>
  <c r="A122" i="77"/>
  <c r="Q122" i="77" s="1"/>
  <c r="Q121" i="77"/>
  <c r="A37" i="85"/>
  <c r="O36" i="85"/>
  <c r="A61" i="85"/>
  <c r="O60" i="85"/>
  <c r="Q35" i="69"/>
  <c r="A37" i="69"/>
  <c r="A29" i="75"/>
  <c r="J28" i="75"/>
  <c r="A29" i="90"/>
  <c r="F28" i="90"/>
  <c r="H96" i="47"/>
  <c r="A98" i="47"/>
  <c r="F98" i="47"/>
  <c r="A22" i="70"/>
  <c r="H21" i="70"/>
  <c r="K160" i="80"/>
  <c r="L160" i="80" s="1"/>
  <c r="L143" i="80"/>
  <c r="K151" i="80"/>
  <c r="L151" i="80" s="1"/>
  <c r="L134" i="80"/>
  <c r="A22" i="68"/>
  <c r="G21" i="68"/>
  <c r="A159" i="80"/>
  <c r="N158" i="80"/>
  <c r="H21" i="47"/>
  <c r="A23" i="47"/>
  <c r="A18" i="85"/>
  <c r="O17" i="85"/>
  <c r="K156" i="80"/>
  <c r="L156" i="80" s="1"/>
  <c r="L139" i="80"/>
  <c r="L118" i="109"/>
  <c r="A119" i="109"/>
  <c r="K159" i="80"/>
  <c r="L159" i="80" s="1"/>
  <c r="L142" i="80"/>
  <c r="A26" i="76"/>
  <c r="R25" i="76"/>
  <c r="A123" i="80"/>
  <c r="N122" i="80"/>
  <c r="A26" i="79"/>
  <c r="J26" i="79" s="1"/>
  <c r="J25" i="79"/>
  <c r="F12" i="92"/>
  <c r="F14" i="92" s="1"/>
  <c r="D14" i="92"/>
  <c r="A49" i="79"/>
  <c r="J48" i="79"/>
  <c r="H57" i="75"/>
  <c r="H19" i="75"/>
  <c r="I56" i="75"/>
  <c r="I19" i="75" s="1"/>
  <c r="H135" i="1"/>
  <c r="A136" i="1"/>
  <c r="F89" i="47"/>
  <c r="K152" i="80"/>
  <c r="L152" i="80" s="1"/>
  <c r="L135" i="80"/>
  <c r="K154" i="80"/>
  <c r="L154" i="80" s="1"/>
  <c r="L137" i="80"/>
  <c r="K158" i="80"/>
  <c r="L158" i="80" s="1"/>
  <c r="L141" i="80"/>
  <c r="F129" i="76"/>
  <c r="F99" i="75"/>
  <c r="E100" i="75"/>
  <c r="K20" i="47"/>
  <c r="E21" i="47"/>
  <c r="K21" i="47" s="1"/>
  <c r="K157" i="80"/>
  <c r="L157" i="80" s="1"/>
  <c r="L140" i="80"/>
  <c r="F24" i="92"/>
  <c r="F25" i="92" s="1"/>
  <c r="D25" i="92"/>
  <c r="F39" i="92"/>
  <c r="H67" i="83"/>
  <c r="I67" i="83" s="1"/>
  <c r="H65" i="83"/>
  <c r="I65" i="83" s="1"/>
  <c r="H64" i="83"/>
  <c r="I64" i="83" s="1"/>
  <c r="H66" i="83"/>
  <c r="I66" i="83" s="1"/>
  <c r="H63" i="83"/>
  <c r="I63" i="83" s="1"/>
  <c r="H62" i="83"/>
  <c r="I62" i="83" s="1"/>
  <c r="H61" i="83"/>
  <c r="I61" i="83" s="1"/>
  <c r="H60" i="83"/>
  <c r="I60" i="83" s="1"/>
  <c r="H59" i="83"/>
  <c r="I59" i="83" s="1"/>
  <c r="H58" i="83"/>
  <c r="I58" i="83" s="1"/>
  <c r="H57" i="83"/>
  <c r="I57" i="83" s="1"/>
  <c r="A74" i="73"/>
  <c r="R73" i="73"/>
  <c r="A64" i="75"/>
  <c r="J63" i="75"/>
  <c r="A116" i="1"/>
  <c r="H115" i="1"/>
  <c r="K62" i="83"/>
  <c r="A63" i="83"/>
  <c r="N36" i="99"/>
  <c r="A38" i="99"/>
  <c r="A29" i="92"/>
  <c r="I28" i="92"/>
  <c r="H94" i="75"/>
  <c r="I93" i="75"/>
  <c r="A59" i="89"/>
  <c r="K58" i="89"/>
  <c r="G82" i="80"/>
  <c r="G83" i="80" s="1"/>
  <c r="D83" i="80" s="1"/>
  <c r="D11" i="80" s="1"/>
  <c r="G63" i="80"/>
  <c r="G64" i="80" s="1"/>
  <c r="D64" i="80" s="1"/>
  <c r="D10" i="80" s="1"/>
  <c r="E24" i="82"/>
  <c r="G54" i="79"/>
  <c r="G98" i="80"/>
  <c r="G99" i="80" s="1"/>
  <c r="D99" i="80" s="1"/>
  <c r="D12" i="80" s="1"/>
  <c r="C56" i="90"/>
  <c r="L56" i="109"/>
  <c r="A57" i="109"/>
  <c r="A33" i="98"/>
  <c r="N31" i="98"/>
  <c r="F62" i="75"/>
  <c r="F25" i="75" s="1"/>
  <c r="E25" i="75"/>
  <c r="E63" i="75"/>
  <c r="A58" i="103"/>
  <c r="BC57" i="103"/>
  <c r="J57" i="83"/>
  <c r="K8" i="47"/>
  <c r="E10" i="47"/>
  <c r="R48" i="73"/>
  <c r="A49" i="73"/>
  <c r="Q23" i="73"/>
  <c r="K150" i="80"/>
  <c r="L150" i="80" s="1"/>
  <c r="M150" i="80" s="1"/>
  <c r="L133" i="80"/>
  <c r="M133" i="80" s="1"/>
  <c r="E129" i="76"/>
  <c r="C62" i="90"/>
  <c r="C64" i="90" s="1"/>
  <c r="E79" i="1" s="1"/>
  <c r="E80" i="1" s="1"/>
  <c r="E93" i="1" s="1"/>
  <c r="E132" i="1" s="1"/>
  <c r="E86" i="47" s="1"/>
  <c r="K86" i="47" s="1"/>
  <c r="C33" i="90"/>
  <c r="A56" i="86"/>
  <c r="K55" i="86"/>
  <c r="A44" i="78"/>
  <c r="Q43" i="78"/>
  <c r="G46" i="89"/>
  <c r="H47" i="89"/>
  <c r="I47" i="89" s="1"/>
  <c r="J47" i="89" s="1"/>
  <c r="A21" i="84"/>
  <c r="Q20" i="84"/>
  <c r="F29" i="90" l="1"/>
  <c r="A31" i="90"/>
  <c r="F24" i="82"/>
  <c r="D56" i="90"/>
  <c r="A30" i="1"/>
  <c r="H28" i="1"/>
  <c r="F30" i="1"/>
  <c r="A22" i="84"/>
  <c r="Q21" i="84"/>
  <c r="Q24" i="73"/>
  <c r="A50" i="73"/>
  <c r="R50" i="73" s="1"/>
  <c r="R49" i="73"/>
  <c r="A35" i="98"/>
  <c r="N33" i="98"/>
  <c r="H95" i="75"/>
  <c r="I94" i="75"/>
  <c r="A75" i="73"/>
  <c r="R75" i="73" s="1"/>
  <c r="R74" i="73"/>
  <c r="A120" i="109"/>
  <c r="L120" i="109" s="1"/>
  <c r="L119" i="109"/>
  <c r="B134" i="109"/>
  <c r="G22" i="68"/>
  <c r="A25" i="68"/>
  <c r="L57" i="109"/>
  <c r="A58" i="109"/>
  <c r="A54" i="79"/>
  <c r="J49" i="79"/>
  <c r="C59" i="79"/>
  <c r="C56" i="79"/>
  <c r="M134" i="80"/>
  <c r="M135" i="80" s="1"/>
  <c r="M136" i="80" s="1"/>
  <c r="M137" i="80" s="1"/>
  <c r="M138" i="80" s="1"/>
  <c r="M139" i="80" s="1"/>
  <c r="M140" i="80" s="1"/>
  <c r="M141" i="80" s="1"/>
  <c r="M142" i="80" s="1"/>
  <c r="M143" i="80" s="1"/>
  <c r="A30" i="75"/>
  <c r="J29" i="75"/>
  <c r="K10" i="47"/>
  <c r="M151" i="80"/>
  <c r="M152" i="80" s="1"/>
  <c r="M153" i="80" s="1"/>
  <c r="M154" i="80" s="1"/>
  <c r="M155" i="80" s="1"/>
  <c r="M156" i="80" s="1"/>
  <c r="M157" i="80" s="1"/>
  <c r="M158" i="80" s="1"/>
  <c r="M159" i="80" s="1"/>
  <c r="M160" i="80" s="1"/>
  <c r="M163" i="80" s="1"/>
  <c r="M164" i="80" s="1"/>
  <c r="D27" i="2" s="1"/>
  <c r="A39" i="69"/>
  <c r="Q39" i="69" s="1"/>
  <c r="Q37" i="69"/>
  <c r="A58" i="1"/>
  <c r="H56" i="1"/>
  <c r="F64" i="1"/>
  <c r="A60" i="89"/>
  <c r="K59" i="89"/>
  <c r="A65" i="75"/>
  <c r="J64" i="75"/>
  <c r="H57" i="89"/>
  <c r="I57" i="89" s="1"/>
  <c r="H58" i="89"/>
  <c r="I58" i="89" s="1"/>
  <c r="H56" i="89"/>
  <c r="I56" i="89" s="1"/>
  <c r="H55" i="89"/>
  <c r="I55" i="89" s="1"/>
  <c r="H54" i="89"/>
  <c r="I54" i="89" s="1"/>
  <c r="H53" i="89"/>
  <c r="I53" i="89" s="1"/>
  <c r="H52" i="89"/>
  <c r="I52" i="89" s="1"/>
  <c r="H51" i="89"/>
  <c r="I51" i="89" s="1"/>
  <c r="H50" i="89"/>
  <c r="I50" i="89" s="1"/>
  <c r="H49" i="89"/>
  <c r="I49" i="89" s="1"/>
  <c r="H48" i="89"/>
  <c r="I48" i="89" s="1"/>
  <c r="A45" i="78"/>
  <c r="Q44" i="78"/>
  <c r="E40" i="82"/>
  <c r="E41" i="82" s="1"/>
  <c r="D40" i="82"/>
  <c r="D41" i="82" s="1"/>
  <c r="H54" i="79"/>
  <c r="A40" i="99"/>
  <c r="N38" i="99"/>
  <c r="A30" i="92"/>
  <c r="I29" i="92"/>
  <c r="J58" i="83"/>
  <c r="J59" i="83" s="1"/>
  <c r="J60" i="83" s="1"/>
  <c r="J61" i="83" s="1"/>
  <c r="J62" i="83" s="1"/>
  <c r="J63" i="83" s="1"/>
  <c r="J64" i="83" s="1"/>
  <c r="J65" i="83" s="1"/>
  <c r="J66" i="83" s="1"/>
  <c r="J67" i="83" s="1"/>
  <c r="J69" i="83" s="1"/>
  <c r="C48" i="83" s="1"/>
  <c r="E24" i="47" s="1"/>
  <c r="K24" i="47" s="1"/>
  <c r="H20" i="75"/>
  <c r="H58" i="75"/>
  <c r="I57" i="75"/>
  <c r="I20" i="75" s="1"/>
  <c r="J48" i="89"/>
  <c r="J49" i="89" s="1"/>
  <c r="A62" i="85"/>
  <c r="O61" i="85"/>
  <c r="A52" i="92"/>
  <c r="I50" i="92"/>
  <c r="K56" i="86"/>
  <c r="A57" i="86"/>
  <c r="G57" i="79"/>
  <c r="G60" i="79"/>
  <c r="A64" i="83"/>
  <c r="K63" i="83"/>
  <c r="A19" i="85"/>
  <c r="O18" i="85"/>
  <c r="F36" i="85"/>
  <c r="G44" i="80"/>
  <c r="G45" i="80" s="1"/>
  <c r="D45" i="80" s="1"/>
  <c r="D9" i="80" s="1"/>
  <c r="D13" i="80" s="1"/>
  <c r="C57" i="90"/>
  <c r="F41" i="85" s="1"/>
  <c r="A59" i="103"/>
  <c r="BC58" i="103"/>
  <c r="D24" i="82"/>
  <c r="D25" i="82" s="1"/>
  <c r="E27" i="82" s="1"/>
  <c r="E25" i="82"/>
  <c r="E6" i="82" s="1"/>
  <c r="E27" i="1" s="1"/>
  <c r="A24" i="70"/>
  <c r="H24" i="70" s="1"/>
  <c r="G24" i="70"/>
  <c r="H22" i="70"/>
  <c r="L91" i="109"/>
  <c r="C95" i="109"/>
  <c r="B72" i="109"/>
  <c r="E64" i="75"/>
  <c r="E26" i="75"/>
  <c r="F63" i="75"/>
  <c r="F26" i="75" s="1"/>
  <c r="F90" i="47"/>
  <c r="H136" i="1"/>
  <c r="F137" i="1"/>
  <c r="A137" i="1"/>
  <c r="N123" i="80"/>
  <c r="A124" i="80"/>
  <c r="H23" i="47"/>
  <c r="A26" i="47"/>
  <c r="F25" i="47"/>
  <c r="A117" i="1"/>
  <c r="H116" i="1"/>
  <c r="H98" i="47"/>
  <c r="F103" i="47"/>
  <c r="A101" i="47"/>
  <c r="A38" i="85"/>
  <c r="O37" i="85"/>
  <c r="R75" i="76"/>
  <c r="A76" i="76"/>
  <c r="Q25" i="76"/>
  <c r="F100" i="75"/>
  <c r="E101" i="75"/>
  <c r="R26" i="76"/>
  <c r="A27" i="76"/>
  <c r="R27" i="76" s="1"/>
  <c r="A29" i="102"/>
  <c r="Q28" i="102"/>
  <c r="N159" i="80"/>
  <c r="A160" i="80"/>
  <c r="A101" i="75"/>
  <c r="J100" i="75"/>
  <c r="E102" i="75" l="1"/>
  <c r="F101" i="75"/>
  <c r="R76" i="76"/>
  <c r="A77" i="76"/>
  <c r="R77" i="76" s="1"/>
  <c r="Q26" i="76"/>
  <c r="Q29" i="102"/>
  <c r="A30" i="102"/>
  <c r="A65" i="83"/>
  <c r="K64" i="83"/>
  <c r="F9" i="89"/>
  <c r="K60" i="89"/>
  <c r="A31" i="75"/>
  <c r="J30" i="75"/>
  <c r="A23" i="84"/>
  <c r="Q22" i="84"/>
  <c r="K41" i="85"/>
  <c r="F42" i="85"/>
  <c r="E43" i="82"/>
  <c r="E5" i="82" s="1"/>
  <c r="E27" i="47" s="1"/>
  <c r="K27" i="47" s="1"/>
  <c r="M27" i="47" s="1"/>
  <c r="M30" i="47" s="1"/>
  <c r="A42" i="99"/>
  <c r="N40" i="99"/>
  <c r="H57" i="79"/>
  <c r="F57" i="79" s="1"/>
  <c r="E14" i="47" s="1"/>
  <c r="H60" i="79"/>
  <c r="F60" i="79" s="1"/>
  <c r="A59" i="1"/>
  <c r="H58" i="1"/>
  <c r="F65" i="1"/>
  <c r="A27" i="47"/>
  <c r="H26" i="47"/>
  <c r="F64" i="75"/>
  <c r="F27" i="75" s="1"/>
  <c r="E65" i="75"/>
  <c r="E27" i="75"/>
  <c r="D119" i="80"/>
  <c r="I119" i="80" s="1"/>
  <c r="D111" i="80"/>
  <c r="D114" i="80"/>
  <c r="I114" i="80" s="1"/>
  <c r="D122" i="80"/>
  <c r="I122" i="80" s="1"/>
  <c r="D117" i="80"/>
  <c r="I117" i="80" s="1"/>
  <c r="D120" i="80"/>
  <c r="I120" i="80" s="1"/>
  <c r="D112" i="80"/>
  <c r="I112" i="80" s="1"/>
  <c r="E123" i="80"/>
  <c r="D118" i="80"/>
  <c r="I118" i="80" s="1"/>
  <c r="D121" i="80"/>
  <c r="I121" i="80" s="1"/>
  <c r="D113" i="80"/>
  <c r="I113" i="80" s="1"/>
  <c r="D116" i="80"/>
  <c r="I116" i="80" s="1"/>
  <c r="D115" i="80"/>
  <c r="I115" i="80" s="1"/>
  <c r="E23" i="1"/>
  <c r="E25" i="1" s="1"/>
  <c r="A53" i="92"/>
  <c r="I52" i="92"/>
  <c r="F115" i="1"/>
  <c r="H30" i="1"/>
  <c r="K36" i="85"/>
  <c r="F38" i="85"/>
  <c r="K38" i="85" s="1"/>
  <c r="I30" i="92"/>
  <c r="A32" i="92"/>
  <c r="I32" i="92" s="1"/>
  <c r="G32" i="92"/>
  <c r="J54" i="79"/>
  <c r="C57" i="79"/>
  <c r="A56" i="79"/>
  <c r="H96" i="75"/>
  <c r="I95" i="75"/>
  <c r="A102" i="75"/>
  <c r="J101" i="75"/>
  <c r="O62" i="85"/>
  <c r="A63" i="85"/>
  <c r="L58" i="109"/>
  <c r="A59" i="109"/>
  <c r="A32" i="90"/>
  <c r="F31" i="90"/>
  <c r="D33" i="90"/>
  <c r="K57" i="86"/>
  <c r="A58" i="86"/>
  <c r="A161" i="80"/>
  <c r="N160" i="80"/>
  <c r="A46" i="78"/>
  <c r="Q45" i="78"/>
  <c r="A20" i="85"/>
  <c r="O19" i="85"/>
  <c r="J50" i="89"/>
  <c r="J51" i="89" s="1"/>
  <c r="J52" i="89" s="1"/>
  <c r="J53" i="89" s="1"/>
  <c r="J54" i="89" s="1"/>
  <c r="J55" i="89" s="1"/>
  <c r="J56" i="89" s="1"/>
  <c r="J57" i="89" s="1"/>
  <c r="J58" i="89" s="1"/>
  <c r="J60" i="89" s="1"/>
  <c r="E9" i="89" s="1"/>
  <c r="A39" i="85"/>
  <c r="O38" i="85"/>
  <c r="E14" i="2"/>
  <c r="A140" i="1"/>
  <c r="H137" i="1"/>
  <c r="A66" i="75"/>
  <c r="J65" i="75"/>
  <c r="A37" i="98"/>
  <c r="N35" i="98"/>
  <c r="H117" i="1"/>
  <c r="A118" i="1"/>
  <c r="A60" i="103"/>
  <c r="BC59" i="103"/>
  <c r="N124" i="80"/>
  <c r="E21" i="80"/>
  <c r="C75" i="47"/>
  <c r="H101" i="47"/>
  <c r="A103" i="47"/>
  <c r="H21" i="75"/>
  <c r="H59" i="75"/>
  <c r="I58" i="75"/>
  <c r="I21" i="75" s="1"/>
  <c r="G25" i="68"/>
  <c r="A26" i="68"/>
  <c r="E14" i="1" l="1"/>
  <c r="K14" i="47"/>
  <c r="M66" i="47"/>
  <c r="M61" i="47" s="1"/>
  <c r="M87" i="47" s="1"/>
  <c r="M48" i="47"/>
  <c r="M50" i="47" s="1"/>
  <c r="M85" i="47" s="1"/>
  <c r="M91" i="47" s="1"/>
  <c r="A21" i="85"/>
  <c r="O20" i="85"/>
  <c r="F65" i="75"/>
  <c r="F28" i="75" s="1"/>
  <c r="E28" i="75"/>
  <c r="E66" i="75"/>
  <c r="K42" i="85"/>
  <c r="L81" i="47" s="1"/>
  <c r="F44" i="85"/>
  <c r="A64" i="85"/>
  <c r="O63" i="85"/>
  <c r="A66" i="83"/>
  <c r="K65" i="83"/>
  <c r="A31" i="102"/>
  <c r="Q30" i="102"/>
  <c r="H60" i="75"/>
  <c r="H22" i="75"/>
  <c r="I59" i="75"/>
  <c r="I22" i="75" s="1"/>
  <c r="A28" i="47"/>
  <c r="H27" i="47"/>
  <c r="A67" i="75"/>
  <c r="J66" i="75"/>
  <c r="A163" i="80"/>
  <c r="N161" i="80"/>
  <c r="A103" i="75"/>
  <c r="J102" i="75"/>
  <c r="A24" i="84"/>
  <c r="Q23" i="84"/>
  <c r="A39" i="98"/>
  <c r="N37" i="98"/>
  <c r="A106" i="47"/>
  <c r="H103" i="47"/>
  <c r="A47" i="78"/>
  <c r="Q46" i="78"/>
  <c r="E30" i="2"/>
  <c r="A141" i="1"/>
  <c r="H140" i="1"/>
  <c r="F94" i="47"/>
  <c r="A59" i="86"/>
  <c r="K58" i="86"/>
  <c r="A32" i="75"/>
  <c r="J31" i="75"/>
  <c r="A60" i="1"/>
  <c r="H59" i="1"/>
  <c r="A57" i="79"/>
  <c r="J56" i="79"/>
  <c r="A55" i="92"/>
  <c r="I53" i="92"/>
  <c r="G55" i="92"/>
  <c r="H97" i="75"/>
  <c r="I96" i="75"/>
  <c r="I111" i="80"/>
  <c r="J111" i="80" s="1"/>
  <c r="J112" i="80" s="1"/>
  <c r="J113" i="80" s="1"/>
  <c r="J114" i="80" s="1"/>
  <c r="J115" i="80" s="1"/>
  <c r="J116" i="80" s="1"/>
  <c r="J117" i="80" s="1"/>
  <c r="J118" i="80" s="1"/>
  <c r="J119" i="80" s="1"/>
  <c r="J120" i="80" s="1"/>
  <c r="J121" i="80" s="1"/>
  <c r="J122" i="80" s="1"/>
  <c r="J124" i="80" s="1"/>
  <c r="D21" i="80" s="1"/>
  <c r="D23" i="80" s="1"/>
  <c r="E23" i="47" s="1"/>
  <c r="E111" i="80"/>
  <c r="E112" i="80" s="1"/>
  <c r="E113" i="80" s="1"/>
  <c r="E114" i="80" s="1"/>
  <c r="E115" i="80" s="1"/>
  <c r="E116" i="80" s="1"/>
  <c r="E117" i="80" s="1"/>
  <c r="E118" i="80" s="1"/>
  <c r="E119" i="80" s="1"/>
  <c r="E120" i="80" s="1"/>
  <c r="E121" i="80" s="1"/>
  <c r="E122" i="80" s="1"/>
  <c r="G26" i="68"/>
  <c r="A27" i="68"/>
  <c r="A119" i="1"/>
  <c r="H118" i="1"/>
  <c r="A40" i="85"/>
  <c r="O39" i="85"/>
  <c r="F102" i="75"/>
  <c r="E103" i="75"/>
  <c r="A61" i="103"/>
  <c r="BC60" i="103"/>
  <c r="D16" i="2"/>
  <c r="E36" i="89"/>
  <c r="E22" i="89"/>
  <c r="E17" i="89" s="1"/>
  <c r="E38" i="89" s="1"/>
  <c r="E108" i="47" s="1"/>
  <c r="K108" i="47" s="1"/>
  <c r="A33" i="90"/>
  <c r="F32" i="90"/>
  <c r="A45" i="99"/>
  <c r="N42" i="99"/>
  <c r="L59" i="109"/>
  <c r="A60" i="109"/>
  <c r="N39" i="98" l="1"/>
  <c r="A41" i="98"/>
  <c r="H98" i="75"/>
  <c r="I97" i="75"/>
  <c r="H61" i="75"/>
  <c r="H23" i="75"/>
  <c r="I60" i="75"/>
  <c r="I23" i="75" s="1"/>
  <c r="L60" i="109"/>
  <c r="A61" i="109"/>
  <c r="F103" i="75"/>
  <c r="E104" i="75"/>
  <c r="A25" i="84"/>
  <c r="Q24" i="84"/>
  <c r="A47" i="99"/>
  <c r="N45" i="99"/>
  <c r="Q31" i="102"/>
  <c r="A32" i="102"/>
  <c r="F95" i="47"/>
  <c r="E31" i="2"/>
  <c r="A142" i="1"/>
  <c r="H141" i="1"/>
  <c r="F142" i="1"/>
  <c r="A22" i="85"/>
  <c r="O21" i="85"/>
  <c r="A62" i="103"/>
  <c r="BC61" i="103"/>
  <c r="A67" i="83"/>
  <c r="K66" i="83"/>
  <c r="M96" i="47"/>
  <c r="M98" i="47" s="1"/>
  <c r="M103" i="47" s="1"/>
  <c r="A59" i="79"/>
  <c r="J57" i="79"/>
  <c r="A48" i="78"/>
  <c r="Q47" i="78"/>
  <c r="A164" i="80"/>
  <c r="N163" i="80"/>
  <c r="A104" i="75"/>
  <c r="J103" i="75"/>
  <c r="F33" i="90"/>
  <c r="A35" i="90"/>
  <c r="D57" i="90"/>
  <c r="A56" i="92"/>
  <c r="I55" i="92"/>
  <c r="J67" i="75"/>
  <c r="A68" i="75"/>
  <c r="A63" i="1"/>
  <c r="H60" i="1"/>
  <c r="F69" i="1"/>
  <c r="F46" i="85"/>
  <c r="K44" i="85"/>
  <c r="A60" i="86"/>
  <c r="K59" i="86"/>
  <c r="H106" i="47"/>
  <c r="A107" i="47"/>
  <c r="A65" i="85"/>
  <c r="O65" i="85" s="1"/>
  <c r="O64" i="85"/>
  <c r="O40" i="85"/>
  <c r="A41" i="85"/>
  <c r="H119" i="1"/>
  <c r="A120" i="1"/>
  <c r="H120" i="1" s="1"/>
  <c r="G27" i="68"/>
  <c r="A28" i="68"/>
  <c r="F107" i="47"/>
  <c r="J32" i="75"/>
  <c r="A33" i="75"/>
  <c r="H28" i="47"/>
  <c r="A30" i="47"/>
  <c r="F30" i="47"/>
  <c r="E25" i="47"/>
  <c r="K25" i="47" s="1"/>
  <c r="K23" i="47"/>
  <c r="E67" i="75"/>
  <c r="F66" i="75"/>
  <c r="F29" i="75" s="1"/>
  <c r="E29" i="75"/>
  <c r="M107" i="47" l="1"/>
  <c r="M110" i="47" s="1"/>
  <c r="H142" i="1"/>
  <c r="A144" i="1"/>
  <c r="F144" i="1"/>
  <c r="H107" i="47"/>
  <c r="A108" i="47"/>
  <c r="F110" i="47" s="1"/>
  <c r="A57" i="92"/>
  <c r="I56" i="92"/>
  <c r="A60" i="79"/>
  <c r="J60" i="79" s="1"/>
  <c r="J59" i="79"/>
  <c r="C60" i="79"/>
  <c r="L61" i="109"/>
  <c r="A62" i="109"/>
  <c r="A33" i="102"/>
  <c r="Q32" i="102"/>
  <c r="G28" i="68"/>
  <c r="A29" i="68"/>
  <c r="K60" i="86"/>
  <c r="A61" i="86"/>
  <c r="D37" i="90"/>
  <c r="F35" i="90"/>
  <c r="A36" i="90"/>
  <c r="K67" i="83"/>
  <c r="A68" i="83"/>
  <c r="H62" i="75"/>
  <c r="H24" i="75"/>
  <c r="I61" i="75"/>
  <c r="I24" i="75" s="1"/>
  <c r="A34" i="75"/>
  <c r="J33" i="75"/>
  <c r="K46" i="85"/>
  <c r="E126" i="1"/>
  <c r="A49" i="99"/>
  <c r="N47" i="99"/>
  <c r="A63" i="103"/>
  <c r="BC62" i="103"/>
  <c r="H99" i="75"/>
  <c r="I98" i="75"/>
  <c r="Q25" i="84"/>
  <c r="A26" i="84"/>
  <c r="E30" i="75"/>
  <c r="F67" i="75"/>
  <c r="F30" i="75" s="1"/>
  <c r="E68" i="75"/>
  <c r="A43" i="98"/>
  <c r="N41" i="98"/>
  <c r="A69" i="75"/>
  <c r="J68" i="75"/>
  <c r="A105" i="75"/>
  <c r="J104" i="75"/>
  <c r="O41" i="85"/>
  <c r="A42" i="85"/>
  <c r="H63" i="1"/>
  <c r="A64" i="1"/>
  <c r="A168" i="80"/>
  <c r="N164" i="80"/>
  <c r="E27" i="2"/>
  <c r="A23" i="85"/>
  <c r="O23" i="85" s="1"/>
  <c r="O22" i="85"/>
  <c r="E105" i="75"/>
  <c r="F104" i="75"/>
  <c r="H30" i="47"/>
  <c r="F66" i="47"/>
  <c r="F48" i="47"/>
  <c r="Q48" i="78"/>
  <c r="A49" i="78"/>
  <c r="A50" i="78" l="1"/>
  <c r="Q49" i="78"/>
  <c r="N168" i="80"/>
  <c r="A169" i="80"/>
  <c r="A51" i="99"/>
  <c r="N49" i="99"/>
  <c r="E69" i="75"/>
  <c r="E31" i="75"/>
  <c r="F68" i="75"/>
  <c r="F31" i="75" s="1"/>
  <c r="E81" i="47"/>
  <c r="E15" i="1"/>
  <c r="E16" i="1" s="1"/>
  <c r="E30" i="1" s="1"/>
  <c r="K61" i="86"/>
  <c r="A62" i="86"/>
  <c r="A59" i="92"/>
  <c r="I59" i="92" s="1"/>
  <c r="I57" i="92"/>
  <c r="G59" i="92"/>
  <c r="A30" i="68"/>
  <c r="G30" i="68" s="1"/>
  <c r="G29" i="68"/>
  <c r="A110" i="47"/>
  <c r="H108" i="47"/>
  <c r="A35" i="75"/>
  <c r="J34" i="75"/>
  <c r="A27" i="84"/>
  <c r="Q26" i="84"/>
  <c r="A43" i="85"/>
  <c r="O42" i="85"/>
  <c r="Q33" i="102"/>
  <c r="A34" i="102"/>
  <c r="F148" i="1"/>
  <c r="H144" i="1"/>
  <c r="F105" i="75"/>
  <c r="E106" i="75"/>
  <c r="A106" i="75"/>
  <c r="J105" i="75"/>
  <c r="H25" i="75"/>
  <c r="H63" i="75"/>
  <c r="I62" i="75"/>
  <c r="I25" i="75" s="1"/>
  <c r="A63" i="109"/>
  <c r="L62" i="109"/>
  <c r="H100" i="75"/>
  <c r="I99" i="75"/>
  <c r="A69" i="83"/>
  <c r="K69" i="83" s="1"/>
  <c r="K68" i="83"/>
  <c r="A70" i="75"/>
  <c r="J69" i="75"/>
  <c r="F41" i="47"/>
  <c r="H64" i="1"/>
  <c r="A65" i="1"/>
  <c r="A64" i="103"/>
  <c r="BC63" i="103"/>
  <c r="A37" i="90"/>
  <c r="F36" i="90"/>
  <c r="A45" i="98"/>
  <c r="N43" i="98"/>
  <c r="E115" i="1" l="1"/>
  <c r="E110" i="1" s="1"/>
  <c r="E133" i="1" s="1"/>
  <c r="E71" i="1"/>
  <c r="E73" i="1" s="1"/>
  <c r="E131" i="1" s="1"/>
  <c r="A71" i="75"/>
  <c r="J70" i="75"/>
  <c r="A36" i="75"/>
  <c r="J35" i="75"/>
  <c r="K81" i="47"/>
  <c r="E15" i="47"/>
  <c r="E107" i="75"/>
  <c r="F106" i="75"/>
  <c r="H110" i="47"/>
  <c r="C36" i="109"/>
  <c r="F69" i="75"/>
  <c r="F32" i="75" s="1"/>
  <c r="E32" i="75"/>
  <c r="E70" i="75"/>
  <c r="A107" i="75"/>
  <c r="J106" i="75"/>
  <c r="A47" i="98"/>
  <c r="N45" i="98"/>
  <c r="N51" i="99"/>
  <c r="A54" i="99"/>
  <c r="A35" i="102"/>
  <c r="Q34" i="102"/>
  <c r="A170" i="80"/>
  <c r="N169" i="80"/>
  <c r="A40" i="90"/>
  <c r="F37" i="90"/>
  <c r="H101" i="75"/>
  <c r="I100" i="75"/>
  <c r="A63" i="86"/>
  <c r="K63" i="86" s="1"/>
  <c r="K62" i="86"/>
  <c r="A65" i="103"/>
  <c r="BC64" i="103"/>
  <c r="A66" i="1"/>
  <c r="H65" i="1"/>
  <c r="F66" i="1"/>
  <c r="A64" i="109"/>
  <c r="L63" i="109"/>
  <c r="F68" i="1"/>
  <c r="H26" i="75"/>
  <c r="H64" i="75"/>
  <c r="I63" i="75"/>
  <c r="A44" i="85"/>
  <c r="O43" i="85"/>
  <c r="A28" i="84"/>
  <c r="Q27" i="84"/>
  <c r="A51" i="78"/>
  <c r="Q50" i="78"/>
  <c r="E137" i="1" l="1"/>
  <c r="A45" i="85"/>
  <c r="O44" i="85"/>
  <c r="E108" i="75"/>
  <c r="F107" i="75"/>
  <c r="A49" i="98"/>
  <c r="N49" i="98" s="1"/>
  <c r="N47" i="98"/>
  <c r="K15" i="47"/>
  <c r="L15" i="47" s="1"/>
  <c r="L30" i="47" s="1"/>
  <c r="E16" i="47"/>
  <c r="A56" i="99"/>
  <c r="N56" i="99" s="1"/>
  <c r="N54" i="99"/>
  <c r="L64" i="109"/>
  <c r="A65" i="109"/>
  <c r="E71" i="75"/>
  <c r="F70" i="75"/>
  <c r="F33" i="75" s="1"/>
  <c r="E33" i="75"/>
  <c r="A37" i="75"/>
  <c r="J36" i="75"/>
  <c r="H102" i="75"/>
  <c r="I101" i="75"/>
  <c r="A66" i="103"/>
  <c r="BC65" i="103"/>
  <c r="I26" i="75"/>
  <c r="H65" i="75"/>
  <c r="H27" i="75"/>
  <c r="I64" i="75"/>
  <c r="I27" i="75" s="1"/>
  <c r="A108" i="75"/>
  <c r="J107" i="75"/>
  <c r="A41" i="90"/>
  <c r="F40" i="90"/>
  <c r="A52" i="78"/>
  <c r="Q51" i="78"/>
  <c r="A171" i="80"/>
  <c r="N170" i="80"/>
  <c r="A72" i="75"/>
  <c r="J71" i="75"/>
  <c r="D14" i="2"/>
  <c r="D17" i="2" s="1"/>
  <c r="D18" i="2" s="1"/>
  <c r="D23" i="2" s="1"/>
  <c r="E142" i="1"/>
  <c r="E144" i="1" s="1"/>
  <c r="E148" i="1" s="1"/>
  <c r="H66" i="1"/>
  <c r="F71" i="1"/>
  <c r="A68" i="1"/>
  <c r="Q28" i="84"/>
  <c r="A29" i="84"/>
  <c r="Q35" i="102"/>
  <c r="A36" i="102"/>
  <c r="A172" i="80" l="1"/>
  <c r="N171" i="80"/>
  <c r="A53" i="78"/>
  <c r="Q52" i="78"/>
  <c r="A37" i="102"/>
  <c r="Q36" i="102"/>
  <c r="Q29" i="84"/>
  <c r="A30" i="84"/>
  <c r="K16" i="47"/>
  <c r="E30" i="47"/>
  <c r="A67" i="103"/>
  <c r="BC66" i="103"/>
  <c r="A42" i="90"/>
  <c r="D43" i="90"/>
  <c r="F41" i="90"/>
  <c r="A69" i="1"/>
  <c r="F116" i="1"/>
  <c r="H68" i="1"/>
  <c r="H103" i="75"/>
  <c r="I102" i="75"/>
  <c r="A38" i="75"/>
  <c r="J37" i="75"/>
  <c r="A73" i="75"/>
  <c r="J72" i="75"/>
  <c r="L48" i="47"/>
  <c r="L50" i="47" s="1"/>
  <c r="L85" i="47" s="1"/>
  <c r="L66" i="47"/>
  <c r="L61" i="47" s="1"/>
  <c r="L87" i="47" s="1"/>
  <c r="J108" i="75"/>
  <c r="A109" i="75"/>
  <c r="F108" i="75"/>
  <c r="E109" i="75"/>
  <c r="H28" i="75"/>
  <c r="H66" i="75"/>
  <c r="I65" i="75"/>
  <c r="I28" i="75" s="1"/>
  <c r="E72" i="75"/>
  <c r="E34" i="75"/>
  <c r="F71" i="75"/>
  <c r="F34" i="75" s="1"/>
  <c r="A66" i="109"/>
  <c r="L65" i="109"/>
  <c r="A46" i="85"/>
  <c r="O46" i="85" s="1"/>
  <c r="O45" i="85"/>
  <c r="A68" i="103" l="1"/>
  <c r="BC67" i="103"/>
  <c r="J38" i="75"/>
  <c r="A39" i="75"/>
  <c r="J39" i="75" s="1"/>
  <c r="E66" i="47"/>
  <c r="K30" i="47"/>
  <c r="E48" i="47"/>
  <c r="H67" i="75"/>
  <c r="H29" i="75"/>
  <c r="I66" i="75"/>
  <c r="Q30" i="84"/>
  <c r="A31" i="84"/>
  <c r="F46" i="47"/>
  <c r="A71" i="1"/>
  <c r="H69" i="1"/>
  <c r="F72" i="1"/>
  <c r="Q37" i="102"/>
  <c r="A38" i="102"/>
  <c r="A67" i="109"/>
  <c r="L66" i="109"/>
  <c r="A54" i="78"/>
  <c r="Q53" i="78"/>
  <c r="H104" i="75"/>
  <c r="I103" i="75"/>
  <c r="L91" i="47"/>
  <c r="F72" i="75"/>
  <c r="F35" i="75" s="1"/>
  <c r="E73" i="75"/>
  <c r="E35" i="75"/>
  <c r="A74" i="75"/>
  <c r="J73" i="75"/>
  <c r="A43" i="90"/>
  <c r="F42" i="90"/>
  <c r="D44" i="90"/>
  <c r="N172" i="80"/>
  <c r="A173" i="80"/>
  <c r="E110" i="75"/>
  <c r="F109" i="75"/>
  <c r="A110" i="75"/>
  <c r="J109" i="75"/>
  <c r="H105" i="75" l="1"/>
  <c r="I104" i="75"/>
  <c r="Q31" i="84"/>
  <c r="A32" i="84"/>
  <c r="I29" i="75"/>
  <c r="A39" i="102"/>
  <c r="Q38" i="102"/>
  <c r="E61" i="47"/>
  <c r="K66" i="47"/>
  <c r="A44" i="90"/>
  <c r="F43" i="90"/>
  <c r="K48" i="47"/>
  <c r="E50" i="47"/>
  <c r="A75" i="75"/>
  <c r="J74" i="75"/>
  <c r="Q54" i="78"/>
  <c r="A55" i="78"/>
  <c r="A111" i="75"/>
  <c r="J110" i="75"/>
  <c r="H68" i="75"/>
  <c r="H30" i="75"/>
  <c r="I67" i="75"/>
  <c r="I30" i="75" s="1"/>
  <c r="L67" i="109"/>
  <c r="A68" i="109"/>
  <c r="E36" i="75"/>
  <c r="E74" i="75"/>
  <c r="F73" i="75"/>
  <c r="F36" i="75" s="1"/>
  <c r="E111" i="75"/>
  <c r="F110" i="75"/>
  <c r="H71" i="1"/>
  <c r="A72" i="1"/>
  <c r="F73" i="1"/>
  <c r="A174" i="80"/>
  <c r="N173" i="80"/>
  <c r="L98" i="47"/>
  <c r="L103" i="47" s="1"/>
  <c r="L96" i="47"/>
  <c r="A69" i="103"/>
  <c r="BC68" i="103"/>
  <c r="F44" i="90" l="1"/>
  <c r="A47" i="90"/>
  <c r="K61" i="47"/>
  <c r="E87" i="47"/>
  <c r="K87" i="47" s="1"/>
  <c r="J111" i="75"/>
  <c r="A112" i="75"/>
  <c r="J112" i="75" s="1"/>
  <c r="Q39" i="102"/>
  <c r="A40" i="102"/>
  <c r="A56" i="78"/>
  <c r="Q55" i="78"/>
  <c r="F120" i="1"/>
  <c r="H72" i="1"/>
  <c r="A73" i="1"/>
  <c r="Q32" i="84"/>
  <c r="A33" i="84"/>
  <c r="H69" i="75"/>
  <c r="H31" i="75"/>
  <c r="I68" i="75"/>
  <c r="I31" i="75" s="1"/>
  <c r="F74" i="75"/>
  <c r="F37" i="75" s="1"/>
  <c r="E37" i="75"/>
  <c r="E75" i="75"/>
  <c r="A76" i="75"/>
  <c r="J76" i="75" s="1"/>
  <c r="J75" i="75"/>
  <c r="A175" i="80"/>
  <c r="N174" i="80"/>
  <c r="A70" i="103"/>
  <c r="BC69" i="103"/>
  <c r="L107" i="47"/>
  <c r="L110" i="47" s="1"/>
  <c r="E85" i="47"/>
  <c r="K50" i="47"/>
  <c r="C48" i="90"/>
  <c r="C50" i="90" s="1"/>
  <c r="F111" i="75"/>
  <c r="E112" i="75"/>
  <c r="B142" i="109"/>
  <c r="L68" i="109"/>
  <c r="B145" i="109"/>
  <c r="H106" i="75"/>
  <c r="I105" i="75"/>
  <c r="K85" i="47" l="1"/>
  <c r="E91" i="47"/>
  <c r="A41" i="102"/>
  <c r="Q40" i="102"/>
  <c r="A71" i="103"/>
  <c r="BC70" i="103"/>
  <c r="C51" i="90"/>
  <c r="C53" i="90"/>
  <c r="E6" i="92" s="1"/>
  <c r="A57" i="78"/>
  <c r="Q56" i="78"/>
  <c r="F131" i="1"/>
  <c r="H73" i="1"/>
  <c r="C47" i="90"/>
  <c r="C49" i="90" s="1"/>
  <c r="E38" i="75"/>
  <c r="E39" i="75" s="1"/>
  <c r="F75" i="75"/>
  <c r="F38" i="75" s="1"/>
  <c r="F40" i="75" s="1"/>
  <c r="D26" i="2" s="1"/>
  <c r="E76" i="75"/>
  <c r="A48" i="90"/>
  <c r="F47" i="90"/>
  <c r="D49" i="90"/>
  <c r="H107" i="75"/>
  <c r="I106" i="75"/>
  <c r="H32" i="75"/>
  <c r="H70" i="75"/>
  <c r="I69" i="75"/>
  <c r="A34" i="84"/>
  <c r="Q33" i="84"/>
  <c r="A176" i="80"/>
  <c r="N175" i="80"/>
  <c r="H108" i="75" l="1"/>
  <c r="I107" i="75"/>
  <c r="E53" i="92"/>
  <c r="E44" i="92"/>
  <c r="E46" i="92"/>
  <c r="E36" i="92"/>
  <c r="E38" i="92"/>
  <c r="E40" i="92"/>
  <c r="E47" i="92"/>
  <c r="E37" i="92"/>
  <c r="E43" i="92"/>
  <c r="E30" i="92"/>
  <c r="E28" i="92"/>
  <c r="E29" i="92"/>
  <c r="E18" i="92"/>
  <c r="E27" i="92"/>
  <c r="F48" i="90"/>
  <c r="A49" i="90"/>
  <c r="D50" i="90"/>
  <c r="N176" i="80"/>
  <c r="A177" i="80"/>
  <c r="A72" i="103"/>
  <c r="BC71" i="103"/>
  <c r="H33" i="75"/>
  <c r="H71" i="75"/>
  <c r="I70" i="75"/>
  <c r="I33" i="75" s="1"/>
  <c r="A58" i="78"/>
  <c r="Q57" i="78"/>
  <c r="Q41" i="102"/>
  <c r="A42" i="102"/>
  <c r="A35" i="84"/>
  <c r="Q34" i="84"/>
  <c r="K91" i="47"/>
  <c r="E96" i="47"/>
  <c r="I32" i="75"/>
  <c r="C52" i="90"/>
  <c r="D6" i="92" s="1"/>
  <c r="A73" i="103" l="1"/>
  <c r="BC72" i="103"/>
  <c r="E98" i="47"/>
  <c r="K96" i="47"/>
  <c r="D51" i="90"/>
  <c r="A50" i="90"/>
  <c r="F49" i="90"/>
  <c r="A178" i="80"/>
  <c r="N177" i="80"/>
  <c r="E19" i="92"/>
  <c r="E20" i="92" s="1"/>
  <c r="E32" i="92" s="1"/>
  <c r="E42" i="92" s="1"/>
  <c r="E48" i="92" s="1"/>
  <c r="A59" i="78"/>
  <c r="Q58" i="78"/>
  <c r="D37" i="92"/>
  <c r="F37" i="92" s="1"/>
  <c r="D53" i="92"/>
  <c r="F53" i="92" s="1"/>
  <c r="D44" i="92"/>
  <c r="F44" i="92" s="1"/>
  <c r="D46" i="92"/>
  <c r="F46" i="92" s="1"/>
  <c r="D43" i="92"/>
  <c r="F43" i="92" s="1"/>
  <c r="D38" i="92"/>
  <c r="F38" i="92" s="1"/>
  <c r="D40" i="92"/>
  <c r="F40" i="92" s="1"/>
  <c r="D47" i="92"/>
  <c r="F47" i="92" s="1"/>
  <c r="D36" i="92"/>
  <c r="D30" i="92"/>
  <c r="F30" i="92" s="1"/>
  <c r="D28" i="92"/>
  <c r="F28" i="92" s="1"/>
  <c r="D29" i="92"/>
  <c r="F29" i="92" s="1"/>
  <c r="D27" i="92"/>
  <c r="F27" i="92" s="1"/>
  <c r="D18" i="92"/>
  <c r="H72" i="75"/>
  <c r="H34" i="75"/>
  <c r="I71" i="75"/>
  <c r="I34" i="75" s="1"/>
  <c r="A36" i="84"/>
  <c r="Q35" i="84"/>
  <c r="A43" i="102"/>
  <c r="Q43" i="102" s="1"/>
  <c r="Q42" i="102"/>
  <c r="H109" i="75"/>
  <c r="I108" i="75"/>
  <c r="E50" i="92" l="1"/>
  <c r="A37" i="84"/>
  <c r="Q37" i="84" s="1"/>
  <c r="Q36" i="84"/>
  <c r="A179" i="80"/>
  <c r="N178" i="80"/>
  <c r="H73" i="75"/>
  <c r="H35" i="75"/>
  <c r="I72" i="75"/>
  <c r="I35" i="75" s="1"/>
  <c r="A51" i="90"/>
  <c r="F50" i="90"/>
  <c r="E103" i="47"/>
  <c r="K98" i="47"/>
  <c r="F36" i="92"/>
  <c r="D19" i="92"/>
  <c r="F19" i="92" s="1"/>
  <c r="F18" i="92"/>
  <c r="F20" i="92" s="1"/>
  <c r="F32" i="92" s="1"/>
  <c r="D20" i="92"/>
  <c r="D32" i="92" s="1"/>
  <c r="D42" i="92" s="1"/>
  <c r="F42" i="92" s="1"/>
  <c r="H110" i="75"/>
  <c r="I109" i="75"/>
  <c r="A60" i="78"/>
  <c r="Q59" i="78"/>
  <c r="A74" i="103"/>
  <c r="BC73" i="103"/>
  <c r="H74" i="75" l="1"/>
  <c r="H36" i="75"/>
  <c r="I73" i="75"/>
  <c r="I36" i="75" s="1"/>
  <c r="BC74" i="103"/>
  <c r="A75" i="103"/>
  <c r="Q60" i="78"/>
  <c r="A61" i="78"/>
  <c r="H111" i="75"/>
  <c r="I111" i="75" s="1"/>
  <c r="I110" i="75"/>
  <c r="N179" i="80"/>
  <c r="A180" i="80"/>
  <c r="F51" i="90"/>
  <c r="A52" i="90"/>
  <c r="D52" i="90"/>
  <c r="D53" i="90"/>
  <c r="D48" i="92"/>
  <c r="K103" i="47"/>
  <c r="E107" i="47"/>
  <c r="K107" i="47" s="1"/>
  <c r="A62" i="78" l="1"/>
  <c r="Q61" i="78"/>
  <c r="F48" i="92"/>
  <c r="D50" i="92"/>
  <c r="F50" i="92" s="1"/>
  <c r="I112" i="75"/>
  <c r="N180" i="80"/>
  <c r="A181" i="80"/>
  <c r="E110" i="47"/>
  <c r="A76" i="103"/>
  <c r="BC75" i="103"/>
  <c r="H37" i="75"/>
  <c r="H75" i="75"/>
  <c r="I74" i="75"/>
  <c r="I37" i="75" s="1"/>
  <c r="A53" i="90"/>
  <c r="F52" i="90"/>
  <c r="A77" i="103" l="1"/>
  <c r="BC76" i="103"/>
  <c r="K110" i="47"/>
  <c r="B36" i="109"/>
  <c r="A182" i="80"/>
  <c r="N181" i="80"/>
  <c r="A56" i="90"/>
  <c r="F53" i="90"/>
  <c r="H38" i="75"/>
  <c r="I75" i="75"/>
  <c r="A63" i="78"/>
  <c r="Q62" i="78"/>
  <c r="I38" i="75" l="1"/>
  <c r="I39" i="75" s="1"/>
  <c r="D22" i="2" s="1"/>
  <c r="D25" i="2" s="1"/>
  <c r="D28" i="2" s="1"/>
  <c r="D32" i="2" s="1"/>
  <c r="D34" i="2" s="1"/>
  <c r="E149" i="1" s="1"/>
  <c r="I76" i="75"/>
  <c r="D56" i="109"/>
  <c r="F56" i="109" s="1"/>
  <c r="D54" i="109"/>
  <c r="F54" i="109" s="1"/>
  <c r="D47" i="109"/>
  <c r="F47" i="109" s="1"/>
  <c r="D50" i="109"/>
  <c r="F50" i="109" s="1"/>
  <c r="D52" i="109"/>
  <c r="F52" i="109" s="1"/>
  <c r="D45" i="109"/>
  <c r="F45" i="109" s="1"/>
  <c r="D53" i="109"/>
  <c r="F53" i="109" s="1"/>
  <c r="D46" i="109"/>
  <c r="F46" i="109" s="1"/>
  <c r="D51" i="109"/>
  <c r="F51" i="109" s="1"/>
  <c r="D55" i="109"/>
  <c r="F55" i="109" s="1"/>
  <c r="D48" i="109"/>
  <c r="F48" i="109" s="1"/>
  <c r="D49" i="109"/>
  <c r="F49" i="109" s="1"/>
  <c r="F56" i="90"/>
  <c r="A57" i="90"/>
  <c r="F40" i="82"/>
  <c r="A64" i="78"/>
  <c r="Q63" i="78"/>
  <c r="A183" i="80"/>
  <c r="N183" i="80" s="1"/>
  <c r="N182" i="80"/>
  <c r="A78" i="103"/>
  <c r="BC77" i="103"/>
  <c r="A79" i="103" l="1"/>
  <c r="BC78" i="103"/>
  <c r="A60" i="90"/>
  <c r="F57" i="90"/>
  <c r="G45" i="109"/>
  <c r="G46" i="109" s="1"/>
  <c r="G47" i="109" s="1"/>
  <c r="I45" i="109"/>
  <c r="J45" i="109" s="1"/>
  <c r="A65" i="78"/>
  <c r="Q64" i="78"/>
  <c r="E151" i="1"/>
  <c r="E52" i="92"/>
  <c r="E55" i="92" s="1"/>
  <c r="D52" i="92"/>
  <c r="E159" i="1" l="1"/>
  <c r="E157" i="1"/>
  <c r="F52" i="92"/>
  <c r="D55" i="92"/>
  <c r="F55" i="92" s="1"/>
  <c r="G48" i="109"/>
  <c r="A66" i="78"/>
  <c r="Q65" i="78"/>
  <c r="A61" i="90"/>
  <c r="F60" i="90"/>
  <c r="K45" i="109"/>
  <c r="I46" i="109" s="1"/>
  <c r="J46" i="109" s="1"/>
  <c r="K46" i="109" s="1"/>
  <c r="I47" i="109" s="1"/>
  <c r="J47" i="109" s="1"/>
  <c r="K47" i="109" s="1"/>
  <c r="I48" i="109" s="1"/>
  <c r="J48" i="109" s="1"/>
  <c r="BC79" i="103"/>
  <c r="A80" i="103"/>
  <c r="E160" i="1" l="1"/>
  <c r="M56" i="99" s="1"/>
  <c r="K48" i="109"/>
  <c r="I49" i="109" s="1"/>
  <c r="J49" i="109" s="1"/>
  <c r="G49" i="109"/>
  <c r="A62" i="90"/>
  <c r="F61" i="90"/>
  <c r="Q66" i="78"/>
  <c r="A67" i="78"/>
  <c r="M51" i="99"/>
  <c r="F47" i="98" s="1"/>
  <c r="M42" i="99"/>
  <c r="M32" i="99"/>
  <c r="F31" i="98" s="1"/>
  <c r="J31" i="98" s="1"/>
  <c r="M14" i="99"/>
  <c r="F13" i="98" s="1"/>
  <c r="M26" i="99"/>
  <c r="F25" i="98" s="1"/>
  <c r="M12" i="99"/>
  <c r="F11" i="98" s="1"/>
  <c r="M24" i="99"/>
  <c r="F23" i="98" s="1"/>
  <c r="J23" i="98" s="1"/>
  <c r="M40" i="99"/>
  <c r="F39" i="98" s="1"/>
  <c r="J39" i="98" s="1"/>
  <c r="A81" i="103"/>
  <c r="BC80" i="103"/>
  <c r="F49" i="98" l="1"/>
  <c r="M49" i="98" s="1"/>
  <c r="M11" i="98"/>
  <c r="J11" i="98"/>
  <c r="M25" i="98"/>
  <c r="J25" i="98"/>
  <c r="J44" i="98"/>
  <c r="M47" i="98"/>
  <c r="J46" i="98"/>
  <c r="E57" i="92"/>
  <c r="E59" i="92" s="1"/>
  <c r="C10" i="93" s="1"/>
  <c r="C12" i="93" s="1"/>
  <c r="D57" i="92"/>
  <c r="M13" i="98"/>
  <c r="J13" i="98"/>
  <c r="BC81" i="103"/>
  <c r="A82" i="103"/>
  <c r="F62" i="90"/>
  <c r="A63" i="90"/>
  <c r="M54" i="99"/>
  <c r="A68" i="78"/>
  <c r="Q67" i="78"/>
  <c r="M33" i="98"/>
  <c r="M37" i="98"/>
  <c r="M35" i="98"/>
  <c r="K49" i="109"/>
  <c r="I50" i="109" s="1"/>
  <c r="J50" i="109" s="1"/>
  <c r="G50" i="109"/>
  <c r="M29" i="98"/>
  <c r="M27" i="98"/>
  <c r="M19" i="98"/>
  <c r="M21" i="98"/>
  <c r="M15" i="98"/>
  <c r="M17" i="98"/>
  <c r="K50" i="109" l="1"/>
  <c r="I51" i="109" s="1"/>
  <c r="J51" i="109" s="1"/>
  <c r="G51" i="109"/>
  <c r="D59" i="92"/>
  <c r="C5" i="93" s="1"/>
  <c r="C7" i="93" s="1"/>
  <c r="F57" i="92"/>
  <c r="F59" i="92" s="1"/>
  <c r="M45" i="98"/>
  <c r="M43" i="98"/>
  <c r="M41" i="98"/>
  <c r="F63" i="90"/>
  <c r="A64" i="90"/>
  <c r="F64" i="90" s="1"/>
  <c r="A69" i="78"/>
  <c r="Q68" i="78"/>
  <c r="A83" i="103"/>
  <c r="BC82" i="103"/>
  <c r="BC83" i="103" l="1"/>
  <c r="A84" i="103"/>
  <c r="A70" i="78"/>
  <c r="Q69" i="78"/>
  <c r="K51" i="109"/>
  <c r="I52" i="109" s="1"/>
  <c r="J52" i="109" s="1"/>
  <c r="G52" i="109"/>
  <c r="K52" i="109" l="1"/>
  <c r="I53" i="109" s="1"/>
  <c r="J53" i="109" s="1"/>
  <c r="G53" i="109"/>
  <c r="A85" i="103"/>
  <c r="BC84" i="103"/>
  <c r="A71" i="78"/>
  <c r="Q70" i="78"/>
  <c r="A72" i="78" l="1"/>
  <c r="Q71" i="78"/>
  <c r="K53" i="109"/>
  <c r="I54" i="109" s="1"/>
  <c r="J54" i="109" s="1"/>
  <c r="G54" i="109"/>
  <c r="A86" i="103"/>
  <c r="BC85" i="103"/>
  <c r="K54" i="109" l="1"/>
  <c r="I55" i="109" s="1"/>
  <c r="J55" i="109" s="1"/>
  <c r="G55" i="109"/>
  <c r="A87" i="103"/>
  <c r="BC86" i="103"/>
  <c r="Q72" i="78"/>
  <c r="A73" i="78"/>
  <c r="BC87" i="103" l="1"/>
  <c r="A88" i="103"/>
  <c r="K55" i="109"/>
  <c r="I56" i="109" s="1"/>
  <c r="J56" i="109" s="1"/>
  <c r="G56" i="109"/>
  <c r="A74" i="78"/>
  <c r="Q73" i="78"/>
  <c r="A75" i="78" l="1"/>
  <c r="Q74" i="78"/>
  <c r="K56" i="109"/>
  <c r="I57" i="109" s="1"/>
  <c r="J57" i="109" s="1"/>
  <c r="G57" i="109"/>
  <c r="A89" i="103"/>
  <c r="BC88" i="103"/>
  <c r="BC89" i="103" l="1"/>
  <c r="A90" i="103"/>
  <c r="K57" i="109"/>
  <c r="I58" i="109" s="1"/>
  <c r="J58" i="109" s="1"/>
  <c r="G58" i="109"/>
  <c r="A76" i="78"/>
  <c r="Q76" i="78" s="1"/>
  <c r="Q75" i="78"/>
  <c r="K58" i="109" l="1"/>
  <c r="I59" i="109" s="1"/>
  <c r="J59" i="109" s="1"/>
  <c r="G59" i="109"/>
  <c r="A91" i="103"/>
  <c r="BC90" i="103"/>
  <c r="G60" i="109" l="1"/>
  <c r="K59" i="109"/>
  <c r="I60" i="109" s="1"/>
  <c r="J60" i="109" s="1"/>
  <c r="A92" i="103"/>
  <c r="BC91" i="103"/>
  <c r="A93" i="103" l="1"/>
  <c r="BC92" i="103"/>
  <c r="G61" i="109"/>
  <c r="K60" i="109"/>
  <c r="I61" i="109" s="1"/>
  <c r="J61" i="109" s="1"/>
  <c r="K61" i="109" l="1"/>
  <c r="I62" i="109" s="1"/>
  <c r="J62" i="109" s="1"/>
  <c r="G62" i="109"/>
  <c r="A94" i="103"/>
  <c r="BC93" i="103"/>
  <c r="A95" i="103" l="1"/>
  <c r="BC94" i="103"/>
  <c r="G63" i="109"/>
  <c r="K62" i="109"/>
  <c r="I63" i="109" s="1"/>
  <c r="J63" i="109" s="1"/>
  <c r="G64" i="109" l="1"/>
  <c r="K63" i="109"/>
  <c r="I64" i="109" s="1"/>
  <c r="J64" i="109" s="1"/>
  <c r="A96" i="103"/>
  <c r="BC95" i="103"/>
  <c r="A97" i="103" l="1"/>
  <c r="BC96" i="103"/>
  <c r="G65" i="109"/>
  <c r="K64" i="109"/>
  <c r="I65" i="109" s="1"/>
  <c r="J65" i="109" s="1"/>
  <c r="G66" i="109" l="1"/>
  <c r="K65" i="109"/>
  <c r="I66" i="109" s="1"/>
  <c r="J66" i="109" s="1"/>
  <c r="A98" i="103"/>
  <c r="BC97" i="103"/>
  <c r="A99" i="103" l="1"/>
  <c r="BC99" i="103" s="1"/>
  <c r="BC98" i="103"/>
  <c r="G67" i="109"/>
  <c r="K66" i="109"/>
  <c r="I67" i="109" s="1"/>
  <c r="J67" i="109" s="1"/>
  <c r="G68" i="109" l="1"/>
  <c r="K67" i="109"/>
  <c r="I68" i="109" s="1"/>
  <c r="J68" i="109" s="1"/>
  <c r="E155" i="109" l="1"/>
  <c r="E152" i="109"/>
  <c r="E154" i="109" s="1"/>
  <c r="K68" i="109"/>
  <c r="D79" i="109" s="1"/>
  <c r="D155" i="109"/>
  <c r="D152" i="109"/>
  <c r="D154" i="109" s="1"/>
  <c r="F79" i="109" l="1"/>
  <c r="G79" i="109" s="1"/>
  <c r="I79" i="109" s="1"/>
  <c r="D80" i="109" s="1"/>
  <c r="F80" i="109" l="1"/>
  <c r="G80" i="109" s="1"/>
  <c r="I80" i="109" s="1"/>
  <c r="D81" i="109" s="1"/>
  <c r="F81" i="109" l="1"/>
  <c r="G81" i="109" s="1"/>
  <c r="I81" i="109" s="1"/>
  <c r="D82" i="109" s="1"/>
  <c r="F82" i="109" l="1"/>
  <c r="G82" i="109" s="1"/>
  <c r="I82" i="109" s="1"/>
  <c r="D83" i="109" s="1"/>
  <c r="F83" i="109" l="1"/>
  <c r="G83" i="109" s="1"/>
  <c r="I83" i="109" s="1"/>
  <c r="D84" i="109" s="1"/>
  <c r="F84" i="109" l="1"/>
  <c r="G84" i="109"/>
  <c r="I84" i="109" s="1"/>
  <c r="D85" i="109" s="1"/>
  <c r="F85" i="109" l="1"/>
  <c r="G85" i="109" s="1"/>
  <c r="I85" i="109" s="1"/>
  <c r="D86" i="109" s="1"/>
  <c r="F86" i="109" l="1"/>
  <c r="G86" i="109" s="1"/>
  <c r="I86" i="109" s="1"/>
  <c r="D87" i="109" s="1"/>
  <c r="F87" i="109" l="1"/>
  <c r="G87" i="109" s="1"/>
  <c r="I87" i="109" s="1"/>
  <c r="D88" i="109" s="1"/>
  <c r="F88" i="109" l="1"/>
  <c r="G88" i="109" s="1"/>
  <c r="I88" i="109" s="1"/>
  <c r="D89" i="109" s="1"/>
  <c r="F89" i="109" l="1"/>
  <c r="G89" i="109" s="1"/>
  <c r="I89" i="109" s="1"/>
  <c r="D90" i="109" s="1"/>
  <c r="F90" i="109" l="1"/>
  <c r="G90" i="109"/>
  <c r="I90" i="109" s="1"/>
</calcChain>
</file>

<file path=xl/sharedStrings.xml><?xml version="1.0" encoding="utf-8"?>
<sst xmlns="http://schemas.openxmlformats.org/spreadsheetml/2006/main" count="5628" uniqueCount="2135">
  <si>
    <t>Pacific Gas and Electric Company</t>
  </si>
  <si>
    <t>Transmission Owner Tariff</t>
  </si>
  <si>
    <t>Appendix VIII: Formula Rate</t>
  </si>
  <si>
    <t>Attachment 2: Model</t>
  </si>
  <si>
    <t>Table of Contents</t>
  </si>
  <si>
    <t>Schedule</t>
  </si>
  <si>
    <t>Description</t>
  </si>
  <si>
    <t>1-BaseTRR</t>
  </si>
  <si>
    <t>Base Transmission Revenue Requirements</t>
  </si>
  <si>
    <t>2-ITRR</t>
  </si>
  <si>
    <t>Incremental Transmission Revenue Requirement</t>
  </si>
  <si>
    <t>3-True-upTRR</t>
  </si>
  <si>
    <t>True-up Transmission Revenue Requirement</t>
  </si>
  <si>
    <t>4-ATA</t>
  </si>
  <si>
    <t>Annual True-up Adjustment</t>
  </si>
  <si>
    <t>5-CostofCap-1</t>
  </si>
  <si>
    <t>Calculation of Components of Cost of Capital Rate</t>
  </si>
  <si>
    <t>5-CostofCap-2</t>
  </si>
  <si>
    <t>Calculation of 13-Month Average Capitalization Balances</t>
  </si>
  <si>
    <t>5-CostofCap-3</t>
  </si>
  <si>
    <t>Long Term Debt Cost Percentage</t>
  </si>
  <si>
    <t>5-CostofCap-4</t>
  </si>
  <si>
    <t>Preferred Stock Cost Percentage</t>
  </si>
  <si>
    <t>6-PlantJurisdiction</t>
  </si>
  <si>
    <t>Transmission Plant Jurisdictional</t>
  </si>
  <si>
    <t>7-PlantInService</t>
  </si>
  <si>
    <t>Network Transmission Plant In Service</t>
  </si>
  <si>
    <t>8-AbandonedPlant</t>
  </si>
  <si>
    <t xml:space="preserve">Abandoned Plant Balance and Amortization </t>
  </si>
  <si>
    <t>9-PlantAdditions</t>
  </si>
  <si>
    <t>Forecast Net Plant Additions for Network Transmission Plant</t>
  </si>
  <si>
    <t>10-AccDep</t>
  </si>
  <si>
    <t>Accumulated Depreciation for Network Transmission Assets</t>
  </si>
  <si>
    <t>11-Depreciation</t>
  </si>
  <si>
    <t>Network Transmission Depreciation Expense</t>
  </si>
  <si>
    <t>12-DepRates</t>
  </si>
  <si>
    <t>Depreciation Rates</t>
  </si>
  <si>
    <t>13-WorkCap</t>
  </si>
  <si>
    <t>Calculation of Components of Working Capital</t>
  </si>
  <si>
    <t>14-ADIT</t>
  </si>
  <si>
    <t xml:space="preserve">Accumulated Deferred Income Taxes </t>
  </si>
  <si>
    <t>15-NUC</t>
  </si>
  <si>
    <t>Network Upgrade Credit and Interest Expense</t>
  </si>
  <si>
    <t>16-Unfunded Reserves</t>
  </si>
  <si>
    <t>Unfunded Reserves</t>
  </si>
  <si>
    <t>17-RegAssets-1</t>
  </si>
  <si>
    <t>Regulatory Assets and Liabilities and Associated Amortization and Regulatory Debits and Credits</t>
  </si>
  <si>
    <t>17-RegAssets-2</t>
  </si>
  <si>
    <t>Amortization of Excess Deferred Federal Income Taxes</t>
  </si>
  <si>
    <t>18-OandM</t>
  </si>
  <si>
    <t>Operations and Maintenance Expense</t>
  </si>
  <si>
    <t>19-AandG</t>
  </si>
  <si>
    <t>Administrative and General Expenses</t>
  </si>
  <si>
    <t>20-RevenueCredits</t>
  </si>
  <si>
    <t>Revenue Credits</t>
  </si>
  <si>
    <t>21-NPandS</t>
  </si>
  <si>
    <t>Revenue Sharing for Non-Tariff New Products &amp; Services</t>
  </si>
  <si>
    <t>22-TaxRates</t>
  </si>
  <si>
    <t>Income Tax Rates</t>
  </si>
  <si>
    <t>23-RetailSGTax</t>
  </si>
  <si>
    <t>Retail "South Georgia" Taxes</t>
  </si>
  <si>
    <t>24-Allocators</t>
  </si>
  <si>
    <t>Calculation of Allocation Factors</t>
  </si>
  <si>
    <t>25-RFandUFactors</t>
  </si>
  <si>
    <t>Revenue Fees and Uncollectible Factors</t>
  </si>
  <si>
    <t>26-WholesaleTRRs</t>
  </si>
  <si>
    <t>High and Low Voltage Wholesale Revenue Requirement</t>
  </si>
  <si>
    <t>27-WholesaleRates</t>
  </si>
  <si>
    <t>Calculation of PG&amp;E Wholesale Rates</t>
  </si>
  <si>
    <t>28-GrossLoad</t>
  </si>
  <si>
    <t>Calculation of Gross Load at the CAISO Interface (Area Out)</t>
  </si>
  <si>
    <t>29-RetailRates-1</t>
  </si>
  <si>
    <t>Proposed Retail Rates</t>
  </si>
  <si>
    <t>29-RetailRates-2</t>
  </si>
  <si>
    <t>Proposed Allocations &amp; Revenues</t>
  </si>
  <si>
    <t>FORMATTING:</t>
  </si>
  <si>
    <t>Shading</t>
  </si>
  <si>
    <t>In the Schedules and Workpapers, those cells shaded in gold are inputs to the Formula Rate Model.</t>
  </si>
  <si>
    <t>Number Format</t>
  </si>
  <si>
    <t>Excel “Currency” number format is used.</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</si>
  <si>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</si>
  <si>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</si>
  <si>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</si>
  <si>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</si>
  <si>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</si>
  <si>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</si>
  <si>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</si>
  <si>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REFERENCES:</t>
  </si>
  <si>
    <t>REFERENCE</t>
  </si>
  <si>
    <t>FORM OF REFERENCE</t>
  </si>
  <si>
    <t>EXAMPLE</t>
  </si>
  <si>
    <t>NOTES</t>
  </si>
  <si>
    <t>Column</t>
  </si>
  <si>
    <t>col (column # or letter)</t>
  </si>
  <si>
    <t>col k or col 6</t>
  </si>
  <si>
    <t>FERC Form No. 1</t>
  </si>
  <si>
    <t>FF1</t>
  </si>
  <si>
    <t>FF1 337.2, L. 20, col k</t>
  </si>
  <si>
    <t>FF1 234, Note(s)</t>
  </si>
  <si>
    <t>Line</t>
  </si>
  <si>
    <t>Line (line #)</t>
  </si>
  <si>
    <t>Line 25</t>
  </si>
  <si>
    <t>Internal reference – source within the same Schedule or Workpaper sheet</t>
  </si>
  <si>
    <t>(internal reference)</t>
  </si>
  <si>
    <t>L. (line #)</t>
  </si>
  <si>
    <t>L. 25</t>
  </si>
  <si>
    <t>External reference – source outside the Schedule or Workpaper sheet</t>
  </si>
  <si>
    <t>(external reference)</t>
  </si>
  <si>
    <t>Note</t>
  </si>
  <si>
    <t>Note(s) (note #, if provided)</t>
  </si>
  <si>
    <t>Note 1</t>
  </si>
  <si>
    <t>14-ADIT, Note 1</t>
  </si>
  <si>
    <t>FF1 450.1, Notes</t>
  </si>
  <si>
    <t>Page</t>
  </si>
  <si>
    <t>(page #)</t>
  </si>
  <si>
    <t>337.2 or 2-24</t>
  </si>
  <si>
    <t>Nothing precedes the page number(s).</t>
  </si>
  <si>
    <t>337.2, L. 10, col k</t>
  </si>
  <si>
    <t>(schedule name)</t>
  </si>
  <si>
    <t>Nothing precedes the schedule name</t>
  </si>
  <si>
    <t>Tabs</t>
  </si>
  <si>
    <t>(tab #)</t>
  </si>
  <si>
    <t>WP_29-RetailRates-2 4</t>
  </si>
  <si>
    <t>Nothing precedes the tab number.</t>
  </si>
  <si>
    <t>WP_28-GrossLoad 2, L. 115, col 6</t>
  </si>
  <si>
    <t>Line for extra data</t>
  </si>
  <si>
    <t>…</t>
  </si>
  <si>
    <t>Some Schedules have a"…" row.  These rows are intended for new data to be added in a future update.</t>
  </si>
  <si>
    <t>Base Transmission Revenue Requirement</t>
  </si>
  <si>
    <t>Rate Year:</t>
  </si>
  <si>
    <t>Input cells are shaded gold</t>
  </si>
  <si>
    <t>Prior Year:</t>
  </si>
  <si>
    <t>1) Rate Base</t>
  </si>
  <si>
    <t>Values</t>
  </si>
  <si>
    <t>Source</t>
  </si>
  <si>
    <t>Notes</t>
  </si>
  <si>
    <t>Plant</t>
  </si>
  <si>
    <t>Transmission Plant</t>
  </si>
  <si>
    <t>7-PlantInService, L. 112, col 13</t>
  </si>
  <si>
    <t>End of Year Value</t>
  </si>
  <si>
    <t>Common + General + Intangible Plant</t>
  </si>
  <si>
    <t>7-PlantInService, L. 701, col 1</t>
  </si>
  <si>
    <t>Abandoned Plant</t>
  </si>
  <si>
    <t>8-AbandonedPlant, L. 102, col 11</t>
  </si>
  <si>
    <t>Total Plant</t>
  </si>
  <si>
    <t>Working Capital</t>
  </si>
  <si>
    <t>Materials and Supplies</t>
  </si>
  <si>
    <t>13-WorkCap, L. 112, col 2</t>
  </si>
  <si>
    <t>Prepayments</t>
  </si>
  <si>
    <t>13-WorkCap, L. 217, col 5</t>
  </si>
  <si>
    <t>Cash Working Capital</t>
  </si>
  <si>
    <t>Total Working Capital</t>
  </si>
  <si>
    <t>Accumulated Depreciation Reserve</t>
  </si>
  <si>
    <t>Transmission Depreciation Reserve</t>
  </si>
  <si>
    <t>10-AccDep, L. 112, col 13</t>
  </si>
  <si>
    <t>Negative End of Year Value</t>
  </si>
  <si>
    <t>Common + General + Intangible Depreciation Reserve</t>
  </si>
  <si>
    <t>10-AccDep, L. 701, col 1</t>
  </si>
  <si>
    <t>Total Accumulated Depreciation Reserve</t>
  </si>
  <si>
    <t>a</t>
  </si>
  <si>
    <t>Accumulated Deferred Income Taxes</t>
  </si>
  <si>
    <t>14-ADIT, L. 104, col 2</t>
  </si>
  <si>
    <t>b</t>
  </si>
  <si>
    <t>Excess Acccumulated Deferred Income Taxes</t>
  </si>
  <si>
    <t>17-RegAssets-1, L. 201</t>
  </si>
  <si>
    <t>c</t>
  </si>
  <si>
    <t>Total Excess and Accumulated Deferred Income Taxes</t>
  </si>
  <si>
    <t>Network Upgrade Credits (Customer Advances)</t>
  </si>
  <si>
    <t>15-NUC, L. 103</t>
  </si>
  <si>
    <t>16-UnfundedReserves, L. 101, col 2</t>
  </si>
  <si>
    <t>Other Regulatory Assets or Liabilities</t>
  </si>
  <si>
    <t>17-RegAssets-1, L. 100</t>
  </si>
  <si>
    <t>Rate Base</t>
  </si>
  <si>
    <t>2) ROE and Capitalization Calculations</t>
  </si>
  <si>
    <t>Debt</t>
  </si>
  <si>
    <t>Long Term Debt Amount</t>
  </si>
  <si>
    <t>5-CostofCap-1, L. 110</t>
  </si>
  <si>
    <t xml:space="preserve">Long Term Debt Cost Percentage </t>
  </si>
  <si>
    <t>5-CostofCap-3, L. 114</t>
  </si>
  <si>
    <t>Cost of Long Term Debt</t>
  </si>
  <si>
    <t>Preferred Stock</t>
  </si>
  <si>
    <t>Preferred Stock Amount</t>
  </si>
  <si>
    <t>5-CostofCap-1, L. 114</t>
  </si>
  <si>
    <t>5-CostofCap-4, L. 106</t>
  </si>
  <si>
    <t>Cost of Preferred Stock</t>
  </si>
  <si>
    <t>Equity</t>
  </si>
  <si>
    <t>Common Stock Equity Amount</t>
  </si>
  <si>
    <t>5-CostofCap-1, L. 120</t>
  </si>
  <si>
    <t>Total Capital</t>
  </si>
  <si>
    <t>Capital Percentages</t>
  </si>
  <si>
    <t>Long Term Debt Capital Percentage</t>
  </si>
  <si>
    <t>Set at 49.75</t>
  </si>
  <si>
    <t>Global Settlement Value</t>
  </si>
  <si>
    <t>Preferred Stock Capital Percentage</t>
  </si>
  <si>
    <t>Set at 0.5%</t>
  </si>
  <si>
    <t>Common Stock Capital Percentage</t>
  </si>
  <si>
    <t>Annual Cost of Capital Components</t>
  </si>
  <si>
    <t>Total Return on Common Equity</t>
  </si>
  <si>
    <t>Sum Lines 214 and 215</t>
  </si>
  <si>
    <t>PG&amp;E Return on Common Equity</t>
  </si>
  <si>
    <t>PG&amp;E ROE</t>
  </si>
  <si>
    <t>FERC ISO Participation Incentive Adder</t>
  </si>
  <si>
    <t>Note 2</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</si>
  <si>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</si>
  <si>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</si>
  <si>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</si>
  <si>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</si>
  <si>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</si>
  <si>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</si>
  <si>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 xml:space="preserve">FERC Participation Incentive Rate of Return </t>
  </si>
  <si>
    <t>Return on Capital: Rate Base times Cost of Capital Rate</t>
  </si>
  <si>
    <t xml:space="preserve">Remove Return on Abandoned Plant from FERC Participation Incentive </t>
  </si>
  <si>
    <t>Total Return on Capital</t>
  </si>
  <si>
    <t>3) Other Taxes</t>
  </si>
  <si>
    <t>Property Taxes</t>
  </si>
  <si>
    <t>Sub-Total Local Taxes</t>
  </si>
  <si>
    <t>FF1 263, L. 13, col i</t>
  </si>
  <si>
    <t>Property Tax Allocation Factor</t>
  </si>
  <si>
    <t>24-Allocators, L. 141</t>
  </si>
  <si>
    <t>Total Transmission Property Taxes</t>
  </si>
  <si>
    <t>Payroll Tax Expense</t>
  </si>
  <si>
    <t>Fed Ins Cont Amt -- Current</t>
  </si>
  <si>
    <t xml:space="preserve">FF1 263, L. 1, col i </t>
  </si>
  <si>
    <t>CA SUI Current</t>
  </si>
  <si>
    <t xml:space="preserve">FF1 263, L. 9, col i </t>
  </si>
  <si>
    <t>Fed Unemp Tax Act- Current</t>
  </si>
  <si>
    <t xml:space="preserve">FF1 263, L. 3, col i </t>
  </si>
  <si>
    <t>Business Taxes</t>
  </si>
  <si>
    <t>WP_1-BaseTRR_Pyrl_Tax 2, L. 106</t>
  </si>
  <si>
    <t xml:space="preserve">SF Pyrl Exp Tx </t>
  </si>
  <si>
    <t>WP_1-BaseTRR_Pyrl_Tax 2, L. 107</t>
  </si>
  <si>
    <t>Total Electric Payroll Tax Expense</t>
  </si>
  <si>
    <t>Network Transmission Labor as a % of Total Electric Labor Allocation Factor</t>
  </si>
  <si>
    <t>24-Allocators, L. 112</t>
  </si>
  <si>
    <t>Total Transmission Payroll Tax Expense</t>
  </si>
  <si>
    <t>Total Other Taxes</t>
  </si>
  <si>
    <t>4) Income Taxes</t>
  </si>
  <si>
    <t>Federal Income Tax Rate</t>
  </si>
  <si>
    <t>22-TaxRates, L. 100</t>
  </si>
  <si>
    <t>State Income Tax Rate</t>
  </si>
  <si>
    <t>22-TaxRates, L. 101</t>
  </si>
  <si>
    <t>Composite Tax Rate</t>
  </si>
  <si>
    <t>Calculation of Flowthrough and Permanent Tax Deductions (FPD):</t>
  </si>
  <si>
    <t>Book Depreciation of AFUDC Equity Book Basis</t>
  </si>
  <si>
    <t>WP_1-BaseTRR_Tax 1, L. 100</t>
  </si>
  <si>
    <t>Flowthrough and Permanent Tax Deductions</t>
  </si>
  <si>
    <t>Calculation of Credits and Other (CO):</t>
  </si>
  <si>
    <t>Amortization of Excess Deferred Tax Liability</t>
  </si>
  <si>
    <t>WP_1-BaseTRR_Tax 3, L. 100</t>
  </si>
  <si>
    <t>Note 3</t>
  </si>
  <si>
    <t>Federal and State Tax Credits</t>
  </si>
  <si>
    <t>WP_1-BaseTRR_Tax 2, L. 103</t>
  </si>
  <si>
    <t>Credits and Other</t>
  </si>
  <si>
    <t>Income Taxes:</t>
  </si>
  <si>
    <t>Income Taxes = [((RB * ER) + FPD - RAP) * (CTR/(1 – CTR))]  + CO/(1 – CTR)]</t>
  </si>
  <si>
    <t>Where:</t>
  </si>
  <si>
    <t>RB = Rate Base</t>
  </si>
  <si>
    <t>ER = Equity Rate of Return Including Common and Preferred Stock</t>
  </si>
  <si>
    <t>CTR = Composite Tax Rate</t>
  </si>
  <si>
    <t>CO = Credits and Other</t>
  </si>
  <si>
    <t>FPD = Flowback and Permanent Tax Deductions</t>
  </si>
  <si>
    <t>RAP = Return on Abandoned Plant From CAISO Participation Incentive</t>
  </si>
  <si>
    <t>5) Prior Year Transmission Revenue Requirement</t>
  </si>
  <si>
    <t>Prior Year TRR Components</t>
  </si>
  <si>
    <t>O&amp;M Expense</t>
  </si>
  <si>
    <t>18-OandM, L. 100, col 15</t>
  </si>
  <si>
    <t>A&amp;G Expense</t>
  </si>
  <si>
    <t>19-AandG, L. 221</t>
  </si>
  <si>
    <t>Network Upgrade Interest Expense</t>
  </si>
  <si>
    <t>15-NUC, L. 106</t>
  </si>
  <si>
    <t>Depreciation Expense (incl. Common + General + Intangible)</t>
  </si>
  <si>
    <t>11-Depreciation, L. 102, col 13 + L. 500, col 1</t>
  </si>
  <si>
    <t>Depreciation Expense - Rate Adjustment</t>
  </si>
  <si>
    <t>11-Depreciation, L. 902</t>
  </si>
  <si>
    <t>Abandoned Plant Amortization Expense</t>
  </si>
  <si>
    <t>8-AbandonedPlant, L. 102, col 7</t>
  </si>
  <si>
    <t>Return on Capital</t>
  </si>
  <si>
    <t>Other Taxes</t>
  </si>
  <si>
    <t>Income Taxes</t>
  </si>
  <si>
    <t>20-RevenueCredits, L. 100, col 7</t>
  </si>
  <si>
    <t>Negative Value</t>
  </si>
  <si>
    <t>NP&amp;S Credit</t>
  </si>
  <si>
    <t>21-NPandS, L. 403</t>
  </si>
  <si>
    <t>Amortization and Regulatory Debits/Credits</t>
  </si>
  <si>
    <t>17-RegAssets-1, L. 102</t>
  </si>
  <si>
    <t>Note 4</t>
  </si>
  <si>
    <t>Total without FF, Uncollectibles, and South Georgia</t>
  </si>
  <si>
    <t>SFGR Tax and Franchise Fees</t>
  </si>
  <si>
    <t>Franchise Fees Factor</t>
  </si>
  <si>
    <t>25-RFandUFactors, L. 400</t>
  </si>
  <si>
    <t>SFGR Tax Factor</t>
  </si>
  <si>
    <t>25-RFandUFactors, L. 401</t>
  </si>
  <si>
    <t>Total SFGR Tax and Franchise Fees</t>
  </si>
  <si>
    <t>Prior Year TRR</t>
  </si>
  <si>
    <t>6) Wholesale Base Transmission Revenue Requirement</t>
  </si>
  <si>
    <t>ITRR</t>
  </si>
  <si>
    <t>Wholesale Base Transmission Revenue Requirement</t>
  </si>
  <si>
    <t>7) Base Transmission Revenue Requirement</t>
  </si>
  <si>
    <t>Uncollectibles Factor</t>
  </si>
  <si>
    <t>25-RFandUFactors, L. 402</t>
  </si>
  <si>
    <t>Uncollectibles Expense</t>
  </si>
  <si>
    <t>Retail (South Georgia) Tax Adjustment</t>
  </si>
  <si>
    <t>23-RetailSGTax, L. 305, col 3</t>
  </si>
  <si>
    <t>Retail Base Transmission Revenue Requirement</t>
  </si>
  <si>
    <t>Notes:</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</si>
  <si>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</si>
  <si>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</si>
  <si>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3) The 'Amortization of Excess Deferred Tax Liability' amount was included in the TO19 Settlement filed on September 21, 2018 and approved by the Commission on December 20, 2018 in 165 FERC ¶ 61,244 (2018).</t>
  </si>
  <si>
    <t>4) For FERC authorized Other Regulatory Assets in Section 1 of Schedule 17-RegAssets1, which are not otherwise recovered in O&amp;M or A&amp;G expenses.</t>
  </si>
  <si>
    <t>1) Annual Fixed Charge Rate ("AFCR") Calculation</t>
  </si>
  <si>
    <t>AFCR = Prior Year TRR / Net Plant</t>
  </si>
  <si>
    <t>Determination of Net Plant:</t>
  </si>
  <si>
    <t>Transmission Plant:</t>
  </si>
  <si>
    <t>Transmission Dep. Reserve:</t>
  </si>
  <si>
    <t>Net Plant:</t>
  </si>
  <si>
    <t>Determination of AFCR:</t>
  </si>
  <si>
    <t>Prior Year TRR wo RF&amp;U:</t>
  </si>
  <si>
    <t>Less: Depreciation Expense</t>
  </si>
  <si>
    <t>Less: Impact of ADIT</t>
  </si>
  <si>
    <t>(1-BaseTRR, L. 111c x 1-BaseTRR, L. 220) x (1+1-BaseTRR, L. 402/(1 - 1-BaseTRR, L. 402)) + (1-BaseTRR, L. 111c x 1-BaseTRR, L 216)</t>
  </si>
  <si>
    <t>AFCR Applicable TRR</t>
  </si>
  <si>
    <t>AFCR:</t>
  </si>
  <si>
    <t>2) Calculation of ITRR</t>
  </si>
  <si>
    <t>Forecast Plant Additions:</t>
  </si>
  <si>
    <t>9-PlantAdditions, L. 124, col 6</t>
  </si>
  <si>
    <t>AFCR prior to Deprec &amp; ADIT Impacts</t>
  </si>
  <si>
    <t>Add: Depreciation Expense</t>
  </si>
  <si>
    <t>Add: Impact of ADIT</t>
  </si>
  <si>
    <t>ITRR without RF&amp;U:</t>
  </si>
  <si>
    <t>Incremental Forecast Period TRR:</t>
  </si>
  <si>
    <t>Difference between Corrected V1 and Original</t>
  </si>
  <si>
    <t>7-PlantInService, L. 113 col 13</t>
  </si>
  <si>
    <t>13-Month Avg</t>
  </si>
  <si>
    <t>7-PlantInService, L. 702, col 1</t>
  </si>
  <si>
    <t>BOY EOY Avg</t>
  </si>
  <si>
    <t>8-AbandonedPlant, L. 102, col 12</t>
  </si>
  <si>
    <t>13-WorkCap, L. 113, col 2</t>
  </si>
  <si>
    <t>13-WorkCap, L. 215, col 5</t>
  </si>
  <si>
    <t>10-AccDep, L. 113, col 13</t>
  </si>
  <si>
    <t>Negative 13-Month Avg</t>
  </si>
  <si>
    <t>10-AccDep, L. 702, col 1</t>
  </si>
  <si>
    <t>Negative BOY EOY Avg</t>
  </si>
  <si>
    <t>14-ADIT, L. 108, col 2</t>
  </si>
  <si>
    <t>Weighted Average</t>
  </si>
  <si>
    <t>17-RegAssets-1, L. 203</t>
  </si>
  <si>
    <t>Total Excess and Accumulated Statutory Deferred Income Taxes</t>
  </si>
  <si>
    <t>Customer Advances</t>
  </si>
  <si>
    <t>15-NUC, L. 109</t>
  </si>
  <si>
    <t>16-UnfundedReserves, L. 100, col 2</t>
  </si>
  <si>
    <t>17-RegAssets, L. 101</t>
  </si>
  <si>
    <t>Instructions:</t>
  </si>
  <si>
    <t xml:space="preserve">1) Input the ROE for the Prior Year on Line 200. </t>
  </si>
  <si>
    <t>Prior Year Return on Common Equity</t>
  </si>
  <si>
    <t>1-BaseTRR, L. 213</t>
  </si>
  <si>
    <t>ROE from Schedule 1; if there are mid-year changes, a workpaper will be provided</t>
  </si>
  <si>
    <t>(5-CostofCap-3, L. 113 / [(5-CostofCap-2, L. 100 - L. 101 + L. 102 + L. 103 + L. 104) - (sum L. 105 to L. 107)]) * 1-BaseTRR, L. 208</t>
  </si>
  <si>
    <t>3) Income Taxes</t>
  </si>
  <si>
    <t>1) Input the Prior Year Federal and State Income Tax Rates if they are different from the Rate Year Tax Rates.</t>
  </si>
  <si>
    <t>22-TaxRates, L. 200</t>
  </si>
  <si>
    <t>22-TaxRates, L. 201</t>
  </si>
  <si>
    <t>Income Taxes = [((RB * ER) + FPD - RAP) * (CTR/(1 – CTR))]  + CO/(1 – CTR]</t>
  </si>
  <si>
    <t>RAP = Return on Abandoned Plant From FERC Participation Incentive</t>
  </si>
  <si>
    <t>4) True-up Transmission Revenue Requirement</t>
  </si>
  <si>
    <t>Total with SFGR Tax and Franchise Fees</t>
  </si>
  <si>
    <t>ATA that was included in the Prior Year's Rates</t>
  </si>
  <si>
    <t>Total with ATA</t>
  </si>
  <si>
    <t>Uncollectibles and Retail (South Georgia) Tax Adjustment</t>
  </si>
  <si>
    <t>23-RetailSGTax, L. 305, col 4</t>
  </si>
  <si>
    <t>Prior Year: 2020</t>
  </si>
  <si>
    <t>Sum of Lines 100 to 102</t>
  </si>
  <si>
    <t>(Line 400 + Line 401) / 10</t>
  </si>
  <si>
    <t>Sum of Lines 104 to 106</t>
  </si>
  <si>
    <t>Line 108 + Line 109</t>
  </si>
  <si>
    <t>Line 111a + Line 111b</t>
  </si>
  <si>
    <t>Sum of Lines 103, 107, 110 and Lines 111c to 114</t>
  </si>
  <si>
    <t>1-BaseTRR, L. 217</t>
  </si>
  <si>
    <t>Line 200 * 1-BaseTRR, L. 210</t>
  </si>
  <si>
    <t>Sum of Lines 201 to 203</t>
  </si>
  <si>
    <t>Line 202 + Line 203</t>
  </si>
  <si>
    <t>1-BaseTRR, L. 221</t>
  </si>
  <si>
    <t>Line 204 * Line 115</t>
  </si>
  <si>
    <t>Line 102 * Line 206</t>
  </si>
  <si>
    <t>Line 207 - Line 208</t>
  </si>
  <si>
    <t>(Line 300 + Line 301) - (Line 300 * Line 301)</t>
  </si>
  <si>
    <t>Line 304</t>
  </si>
  <si>
    <t>Line 115</t>
  </si>
  <si>
    <t>Line 205</t>
  </si>
  <si>
    <t>Line 302</t>
  </si>
  <si>
    <t>1-BaseTRR, L. 407</t>
  </si>
  <si>
    <t>1-BaseTRR, L. 404</t>
  </si>
  <si>
    <t>Line 208</t>
  </si>
  <si>
    <t>1) Input the Annual True-up Adjustment that was included in the Prior Year's rates on Line 416 and input the Rate Year the ATA trued-up. (For example,  if the Prior Year is 2021, then the ATA that was included in the 2021 rates was the ATA for 2019.)</t>
  </si>
  <si>
    <t>1-BaseTRR, L. 500</t>
  </si>
  <si>
    <t>1-BaseTRR, L. 501</t>
  </si>
  <si>
    <t>1-BaseTRR, L. 502</t>
  </si>
  <si>
    <t>1-BaseTRR, L. 503</t>
  </si>
  <si>
    <t>Line 209</t>
  </si>
  <si>
    <t>1-BaseTRR, L. 507</t>
  </si>
  <si>
    <t>Line 303</t>
  </si>
  <si>
    <t>1-BaseTRR, L. 509</t>
  </si>
  <si>
    <t>1-BaseTRR, L. 510</t>
  </si>
  <si>
    <t>1-BaseTRR, L. 511</t>
  </si>
  <si>
    <t>Sum Lines 400 to 410</t>
  </si>
  <si>
    <t>1-BaseTRR, L. 513</t>
  </si>
  <si>
    <t>1-BaseTRR, L. 514</t>
  </si>
  <si>
    <t>Line 411 * ( Line 412 + Line 413)</t>
  </si>
  <si>
    <t>Line 411 + Line 414</t>
  </si>
  <si>
    <t>Line 415 + Line 416</t>
  </si>
  <si>
    <t>1-BaseTRR, L. 700</t>
  </si>
  <si>
    <t>Line 417 * Line 418</t>
  </si>
  <si>
    <t>Line 417 + Line 419 + Line 420</t>
  </si>
  <si>
    <t>1) Retail Revenues</t>
  </si>
  <si>
    <t>1) Populate the table with retail revenue data from the Prior Year.  Only populate if the Model was in effect in the Prior Year.</t>
  </si>
  <si>
    <t>Col 1</t>
  </si>
  <si>
    <t>Col 2</t>
  </si>
  <si>
    <t>Col 3</t>
  </si>
  <si>
    <t>Col 4</t>
  </si>
  <si>
    <t>Col 5</t>
  </si>
  <si>
    <t>Col 6</t>
  </si>
  <si>
    <t>Col 7</t>
  </si>
  <si>
    <t>Col 8</t>
  </si>
  <si>
    <t>Sum of Col 1 to 7</t>
  </si>
  <si>
    <t>Retail</t>
  </si>
  <si>
    <t>Other</t>
  </si>
  <si>
    <t>Public Purpose</t>
  </si>
  <si>
    <t>Nuclear</t>
  </si>
  <si>
    <t>Month</t>
  </si>
  <si>
    <t>Transmission</t>
  </si>
  <si>
    <t>Distribution</t>
  </si>
  <si>
    <t>Generation</t>
  </si>
  <si>
    <t>Programs</t>
  </si>
  <si>
    <t>Decommissioning</t>
  </si>
  <si>
    <t>Total Revenue</t>
  </si>
  <si>
    <t>Jan</t>
  </si>
  <si>
    <t>Feb</t>
  </si>
  <si>
    <t>Mar</t>
  </si>
  <si>
    <t>Apr</t>
  </si>
  <si>
    <t>May</t>
  </si>
  <si>
    <t>Jun</t>
  </si>
  <si>
    <t>Jul</t>
  </si>
  <si>
    <t>Aug</t>
  </si>
  <si>
    <t>Sep</t>
  </si>
  <si>
    <t>Oct</t>
  </si>
  <si>
    <t>Nov</t>
  </si>
  <si>
    <t>Dec</t>
  </si>
  <si>
    <t>Totals:</t>
  </si>
  <si>
    <t>Total Sales: FF1 300, L. 10, col b</t>
  </si>
  <si>
    <t>2) Comparison of Monthly True-Up TRR to Monthly Retail Transmission Revenue</t>
  </si>
  <si>
    <t>2) Input the monthly FERC interest rates (18 C.F.R. §35.19a) for the corresponding Month and Year into Col 6.</t>
  </si>
  <si>
    <t>True Up TRR:</t>
  </si>
  <si>
    <t>Source:</t>
  </si>
  <si>
    <t>Col 9</t>
  </si>
  <si>
    <t>Note 5</t>
  </si>
  <si>
    <t>Note 6</t>
  </si>
  <si>
    <t>Note 7</t>
  </si>
  <si>
    <t>Note 8</t>
  </si>
  <si>
    <t>Cumulative Excess</t>
  </si>
  <si>
    <t>or Shortfall in</t>
  </si>
  <si>
    <t>Monthly</t>
  </si>
  <si>
    <t xml:space="preserve">Monthly Excess or </t>
  </si>
  <si>
    <t>Retail Revenue</t>
  </si>
  <si>
    <t>Accumulated</t>
  </si>
  <si>
    <t>Year</t>
  </si>
  <si>
    <t>True-up TRR</t>
  </si>
  <si>
    <t>Revenues</t>
  </si>
  <si>
    <t>Shortfall in Revenue</t>
  </si>
  <si>
    <t>without Interest</t>
  </si>
  <si>
    <t>Interest Rate</t>
  </si>
  <si>
    <t>Interest</t>
  </si>
  <si>
    <t>with Interest</t>
  </si>
  <si>
    <t>December</t>
  </si>
  <si>
    <t>N/A</t>
  </si>
  <si>
    <t>January</t>
  </si>
  <si>
    <t>February</t>
  </si>
  <si>
    <t>March</t>
  </si>
  <si>
    <t>April</t>
  </si>
  <si>
    <t xml:space="preserve">June </t>
  </si>
  <si>
    <t>July</t>
  </si>
  <si>
    <t>August</t>
  </si>
  <si>
    <t>Difference Between Corrected V1 and Original</t>
  </si>
  <si>
    <t>September</t>
  </si>
  <si>
    <t>October</t>
  </si>
  <si>
    <t>November</t>
  </si>
  <si>
    <t>Input to RY2023, 4-ATA, line 201, cols 5 and 8</t>
  </si>
  <si>
    <t>3) Amortization of the Balance of the Cumulative Excess or Shortfall in Revenue with Interest Over the Rate Year</t>
  </si>
  <si>
    <r>
      <rPr>
        <b/>
        <u/>
        <sz val="11"/>
        <color theme="1"/>
        <rFont val="Calibri"/>
        <family val="2"/>
        <scheme val="minor"/>
      </rPr>
      <t>Instructions:</t>
    </r>
    <r>
      <rPr>
        <u/>
        <sz val="11"/>
        <color theme="1"/>
        <rFont val="Calibri"/>
        <family val="2"/>
        <scheme val="minor"/>
      </rPr>
      <t xml:space="preserve"> </t>
    </r>
  </si>
  <si>
    <t>Note 9</t>
  </si>
  <si>
    <t>Note 10</t>
  </si>
  <si>
    <t>Note 11</t>
  </si>
  <si>
    <t>Beginning</t>
  </si>
  <si>
    <t>Ending Balance</t>
  </si>
  <si>
    <t>Interest for</t>
  </si>
  <si>
    <t>Balance</t>
  </si>
  <si>
    <t>Amortization</t>
  </si>
  <si>
    <t>Current Month</t>
  </si>
  <si>
    <t>Total Amortization:</t>
  </si>
  <si>
    <t>4) Annual True-up Adjustment</t>
  </si>
  <si>
    <t>ATA</t>
  </si>
  <si>
    <t>5)  Partial Year True-up and TRR Allocation Factors</t>
  </si>
  <si>
    <t>Partial Year True-up?</t>
  </si>
  <si>
    <t>No</t>
  </si>
  <si>
    <t>Note 12</t>
  </si>
  <si>
    <t>Note 13</t>
  </si>
  <si>
    <t xml:space="preserve">PG&amp;E Gross Load </t>
  </si>
  <si>
    <t>Formula Rate</t>
  </si>
  <si>
    <t>Prior Year</t>
  </si>
  <si>
    <t>Allocation Factor</t>
  </si>
  <si>
    <t>(MWh)</t>
  </si>
  <si>
    <t>Effective?</t>
  </si>
  <si>
    <t>Total</t>
  </si>
  <si>
    <t>6) Final True-up Adjustment</t>
  </si>
  <si>
    <t>1) PG&amp;E shall calculate the Final True-up Adjustment for the period spanning the day after the period covered by the most recent ATA that was included in the Base TRR to the expiration of the Formula Rate.</t>
  </si>
  <si>
    <t>2) The Final True Up Adjustment shall be calculated using the same methodology as above, with interest through the date of the termination of the Formula Rate.</t>
  </si>
  <si>
    <t xml:space="preserve">1) Data for cols 1 through 7 are Prior Year revenues from PG&amp;E's Revenue Reporting System, Report R646BRESU.  Col 1 only includes Base Retail Transmission Revenues.  Any other retail transmission revenues are included in the "Other" Category. </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</si>
  <si>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</si>
  <si>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5) Corrections or Adjustments applied to Line 201 from previously-filed Annual Updates are outlined in Section 4.6.5 of the Protocols. </t>
  </si>
  <si>
    <t>6) The monthly FERC interest rate as stated in Instruction 2.</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</si>
  <si>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</si>
  <si>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</si>
  <si>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12) To calculate the monthly allocation factor, take the corresponding month's Gross Load in Col 3 and divide by the total Gross Load in L. 513, Col 3.</t>
  </si>
  <si>
    <t>13) Data is PG&amp;E's monthly Gross Load as measured by the CASIO monthly settlements of PG&amp;E's Gross Load.</t>
  </si>
  <si>
    <t>Rate Year: 2022</t>
  </si>
  <si>
    <t xml:space="preserve">2) Input the Total Sales from the Prior Year FERC Form 1 on Line 113.  The total on Line 112, col 8, should match the total on Line 113. </t>
  </si>
  <si>
    <t>1) Input any corrections or adjustments from previous Annual Update Filings on Line 201. Input the Corrected Principle in Col 5 and the Accumulated Interest in Col 8. A workpaper must accompany any correction or adjustment.</t>
  </si>
  <si>
    <t>3-True-up TRR, L. 421</t>
  </si>
  <si>
    <t>Col 2 - Col 3</t>
  </si>
  <si>
    <t>Col 5 + Col 8</t>
  </si>
  <si>
    <t>1) Input the Total Amortization amount on Line 312 that will set the December Month Ending Balance on Line 311, Col 7 equal to $0. (Hint: Use the Goal Seek Function to set the December Month Ending Balance in Col 7 to equal $0)</t>
  </si>
  <si>
    <t>Col 2 + Col 3</t>
  </si>
  <si>
    <t>Col 4 + Col 5</t>
  </si>
  <si>
    <t>Negative Line 312, Col 3</t>
  </si>
  <si>
    <t>1) On Line 500, Input 'No' for a Full Year True-up, otherwise Input 'Yes' for a Partial Year True-up</t>
  </si>
  <si>
    <t>2) If Line 500 is 'Yes', Input 'Yes' or 'No'  in Col 4 for each month that the Formula Rate was in effect in the Prior Year and Input the True-up TRR Allocation Factors into Col 2.</t>
  </si>
  <si>
    <t>3) For each month of the Prior Year, the Monthly True-up TRR is calculated by multiplying the True-up TRR on Line 200 by monthly allocation factors from Lines 501 to 512, Col 2.</t>
  </si>
  <si>
    <t>4) The Retail Transmission Revenues are from Lines 100 to 111, Col 1.  For a partial year true-up, only revenues for the months that the Formula Rate was in effect in the Prior Year are included.</t>
  </si>
  <si>
    <t>9) The January 'Month Beginning Balance' on Line 300, Col 2 is equal to the 'Cumulative Excess or Shortall in Revenue with Interest' from Line 225, Col 9.</t>
  </si>
  <si>
    <t>10) 'Interest for the Current Month' (Col 5) is based on the average of the 'Month Beginning Balance' (Col 2) and the 'Month Ending Balancing without Interest' (Col 4), multiplied by the 'Monthly Interest Rate' (Col 6).</t>
  </si>
  <si>
    <t>11) The 'Monthly Interest Rate' is the last known FERC interest rate from Line 225, Col 6.</t>
  </si>
  <si>
    <t>1) Return and Capitalization Calculations</t>
  </si>
  <si>
    <t>Calculation of Long Term Debt Amount</t>
  </si>
  <si>
    <t>Bonds -- Account 221</t>
  </si>
  <si>
    <t>5-CostofCap-2, L. 100, col 14</t>
  </si>
  <si>
    <t>End of Year</t>
  </si>
  <si>
    <t>Reacquired Bonds -- Account 222</t>
  </si>
  <si>
    <t>5-CostofCap-2, L. 101, col 14</t>
  </si>
  <si>
    <t>End of Year; enter negative</t>
  </si>
  <si>
    <t>Long Term Debt Advances from Associated Companies -- Account 223</t>
  </si>
  <si>
    <t>5-CostofCap-2, L. 102, col 14</t>
  </si>
  <si>
    <t>Other Long Term Debt -- Account 224</t>
  </si>
  <si>
    <t>5-CostofCap-2, L. 103, col 14</t>
  </si>
  <si>
    <t>Unamortized Premium on Long Term Debt -- Account 225</t>
  </si>
  <si>
    <t>5-CostofCap-2, L. 104, col 14</t>
  </si>
  <si>
    <t>Unamortized Discount on Long Term Debt -- Account 226</t>
  </si>
  <si>
    <t>5-CostofCap-2, L. 105, col 14</t>
  </si>
  <si>
    <t>Unamortized Debt Expenses -- Account 181</t>
  </si>
  <si>
    <t>5-CostofCap-2, L. 106, col 14</t>
  </si>
  <si>
    <t>Unamortized Loss on Reacquired Debt -- Account 189</t>
  </si>
  <si>
    <t>5-CostofCap-2, L. 107, col 14</t>
  </si>
  <si>
    <t>1-BaseTRR, L. 402</t>
  </si>
  <si>
    <t xml:space="preserve">After tax amount of Unamortized Loss on Reacquired Debt </t>
  </si>
  <si>
    <t>Line 107 * (1- Line 108)</t>
  </si>
  <si>
    <t>Sum of Lines 100 to 106 and Line 109</t>
  </si>
  <si>
    <t>Calculation of Preferred Stock Amount</t>
  </si>
  <si>
    <t>Preferred Stock Amount -- Account 204</t>
  </si>
  <si>
    <t>5-CostofCap-2, L. 108, col 14</t>
  </si>
  <si>
    <t>Unamortized Issuance Costs</t>
  </si>
  <si>
    <t>5-CostofCap-2, L. 109, col 14</t>
  </si>
  <si>
    <t>Net Gain (Loss) From Purchase and Tender Offers</t>
  </si>
  <si>
    <t>5-CostofCap-2, L. 110, col 14</t>
  </si>
  <si>
    <t>Sum of Lines 111 to 113</t>
  </si>
  <si>
    <t>Calculation of Common Stock Equity Amount</t>
  </si>
  <si>
    <t>Total Proprietary Capital</t>
  </si>
  <si>
    <t>5-CostofCap-2, L. 111, col 14</t>
  </si>
  <si>
    <t>Less Preferred Stock Amount</t>
  </si>
  <si>
    <t>Line 114</t>
  </si>
  <si>
    <t>Same as Line 114, but negative</t>
  </si>
  <si>
    <t>Minus Net Gain (Loss) From Purchase and Tender Offers</t>
  </si>
  <si>
    <t>Line 113</t>
  </si>
  <si>
    <t>Same as Line 113, but reverse sign</t>
  </si>
  <si>
    <t>Less Unappropriated Undist. Sub. Earnings -- Acct. 216.1</t>
  </si>
  <si>
    <t>5-CostofCap-2, L. 112, col 14</t>
  </si>
  <si>
    <t>End of Year, but reverse sign</t>
  </si>
  <si>
    <t>Less Accumulated Other Comprehensive Loss -- Account 219</t>
  </si>
  <si>
    <t>5-CostofCap-2, L. 113, col 14</t>
  </si>
  <si>
    <t>Sum of Lines 115 to 119</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</si>
  <si>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</si>
  <si>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</si>
  <si>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</si>
  <si>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</si>
  <si>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</si>
  <si>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</si>
  <si>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</si>
  <si>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</si>
  <si>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</si>
  <si>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</si>
  <si>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</si>
  <si>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</si>
  <si>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</si>
  <si>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</si>
  <si>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Less Unamortized Discount on Long Term Debt -- Account 226 (Note 6): </t>
  </si>
  <si>
    <t xml:space="preserve">Unamortized Debt Expenses -- Account 181 (Note 7): </t>
  </si>
  <si>
    <t xml:space="preserve">Unamortized Loss on Reacquired Debt -- Account 189 (Note 8): </t>
  </si>
  <si>
    <t>Preferred Stock Amount -- Account 204 (Note 9):</t>
  </si>
  <si>
    <t xml:space="preserve">Unamortized Preferred Stock Issuance and Expense Costs (Note 10): </t>
  </si>
  <si>
    <t>Net Gain (Loss) From Purchase and Tender Offers on Preferred Stock (Note 11):</t>
  </si>
  <si>
    <t>Total Proprietary Capital  (Note 12)</t>
  </si>
  <si>
    <t xml:space="preserve">Unappropriated Undist. Sub. Earnings -- Acct. 216.1 (Note 13): </t>
  </si>
  <si>
    <t xml:space="preserve">Accumulated Other Comprehensive Loss -- Account 219 (Note 14): </t>
  </si>
  <si>
    <t>1) Amount in Column 2 from FF1 112, L. 18, col d, amount in Column 14 from FF1 112, L. 18, col c, amounts in columns 3-13 from PG&amp;E internal records (G/L account Cumulative Balance by period for SAP account 9221000, Company Code PGE1)</t>
  </si>
  <si>
    <t>2) Amount in Column 2 from FF1 112, L. 19, col d, amount in Column 14 from FF1 112, L. 19, col c, amounts in columns 3-13 from PG&amp;E internal records (G/L account Cumulative Balance by period for SAP account 9222000, Company Code PGE1)</t>
  </si>
  <si>
    <t>3) Amount in Column 2 from FF1 112, L. 20, col d, amount in Column 14 from FF1 112, L. 20, col c, amounts in columns 3-13 from PG&amp;E internal records (G/L account Cumulative Balance by period for SAP account 9223000, Company Code PGE1)</t>
  </si>
  <si>
    <t>4) Amount in Column 2 from FF1 112, L. 21, col d, amount in Column 14 from FF1 112, L. 21, col c, amounts in columns 3-13 from PG&amp;E internal records (G/L account Cumulative Balance by period for SAP account 9224000, Company Code PGE1)</t>
  </si>
  <si>
    <t>5) Amount in Column 2 from FF1 112, L. 22, col d, amount in Column 14 from FF1 112, L. 22, col c, amounts in columns 3-13 from PG&amp;E internal records (G/L account Cumulative Balance by period for SAP account 9225000, Company Code PGE1)</t>
  </si>
  <si>
    <t>6) Amount in Column 2 from FF1 112, L. 23, col d, amount in Column 14 from FF1 112, L. 23, col c, amounts in columns 3-13 from PG&amp;E internal records (G/L account Cumulative Balance by period for SAP account 9226000, Company Code PGE1)</t>
  </si>
  <si>
    <t>7) Amount in Column 2 from FF1 111, L. 69, col d, amount in Column 14 from FF1 111, L. 69, col c, amounts in columns 3-13 from PG&amp;E internal records (G/L account Cumulative Balance by period for SAP accounts 9181000, 9181001, Company Code PGE1)</t>
  </si>
  <si>
    <t>8) Amount in Column 2 from FF1 111, L. 81, col d, amount in Column 14 from FF1 111, L. 81, col c, amounts in columns 3-13 from PG&amp;E internal records (G/L account Cumulative Balance by period for SAP account 9189000, Company Code PGE1)</t>
  </si>
  <si>
    <t>9) Amounts in Columns 2-14 are from PG&amp;E internal records (G/L account Cumulative Balance by period for SAP accounts 9204000, 9204020, Company Code PGE1)</t>
  </si>
  <si>
    <t>10) Amounts in Columns 2-14 are from PG&amp;E internal records (equal to the negative sum of G/L account for SAP accounts 2070020, 2130020, and 2140020; Company Code PGE1)</t>
  </si>
  <si>
    <t>11) Amounts in Columns 2-14 are from PG&amp;E internal records (because of non-use, there is no SAP account)</t>
  </si>
  <si>
    <t xml:space="preserve">12) Amount in Column 2 from FF1 112, L. 16, col d, amount in Column 14 from FF1 112, L. 16, col c, amounts in columns 3-13 from PG&amp;E internal records (G/L account Cumulative Balance by period for SAP accounts 2010000, 2040000, 2040001, 2070000, 2070020, 2110010, 2110015, 2130020, </t>
  </si>
  <si>
    <t>2140001, 2440020, Company Code PGE1)</t>
  </si>
  <si>
    <t>13) Amount in Column 2 from FF1 112, L. 12, col d, amount in Column 14 from FF1 112, L. 12, col c, amounts in columns 3-13 from PG&amp;E internal records (G/L account Cumulative Balance by period for SAP account 2161001, Company Code PGE1)</t>
  </si>
  <si>
    <t>14) Amount in Column 2 from FF1 112, L. 15, col d, amount in Column 14 from FF1 112, L. 15, col c, amounts in columns 3-13 from PG&amp;E internal records (G/L account Cumulative Balance by period for SAP account 2190001, Company Code PGE1)</t>
  </si>
  <si>
    <t>1) Calculation of Cost of Long Term Debt</t>
  </si>
  <si>
    <t>Long-Term Debt Component - Denominator:</t>
  </si>
  <si>
    <t>(Plus) Bonds (Acct. 221)</t>
  </si>
  <si>
    <t>FF1 112, L. 18, col c</t>
  </si>
  <si>
    <t>(Less) Reacquired Bonds (Acct. 222)</t>
  </si>
  <si>
    <t>FF1 112, L. 19, col c</t>
  </si>
  <si>
    <t>(Plus) Other Long-Term Debt (Acct. 224)</t>
  </si>
  <si>
    <t>FF1 112, L. 21, col c</t>
  </si>
  <si>
    <t xml:space="preserve">(Plus) Unamortized Premium on Long-Term Debt (Acct. 225) </t>
  </si>
  <si>
    <t>FF1 112, L. 22, col c</t>
  </si>
  <si>
    <t xml:space="preserve">(Less) Unamortized Discount on Long-Term Debt-Debit (Acct. 226) </t>
  </si>
  <si>
    <t>FF1 112, L. 23, col c</t>
  </si>
  <si>
    <t>(Less) Unamortized Debt Expenses (Acct. 181)</t>
  </si>
  <si>
    <t>FF1 111, L. 69, col c</t>
  </si>
  <si>
    <t>(Less) Unamortized Loss on Reacquired Debt (Acct. 189)</t>
  </si>
  <si>
    <t>FF1 111, L. 81, col c</t>
  </si>
  <si>
    <t>LTD = Long Term Debt</t>
  </si>
  <si>
    <t>Long-Term Debt Component - Numerator:</t>
  </si>
  <si>
    <t xml:space="preserve">(Plus) Interest on Long-Term Debt (Acct. 427) </t>
  </si>
  <si>
    <t>FF1 117, L. 62, col c</t>
  </si>
  <si>
    <t>(Plus) Amort. of Debt Disc. and Expense (Acct. 428)</t>
  </si>
  <si>
    <t>FF1 117, L. 63, col c</t>
  </si>
  <si>
    <t>(Plus) Amortization of Loss on Reacquired Debt (Acct. 428.1)</t>
  </si>
  <si>
    <t>FF1 117, L. 64, col c</t>
  </si>
  <si>
    <t>(Less) Amort. of Premium on Debt-Credit (Acct. 429)</t>
  </si>
  <si>
    <t>FF1 117, L. 65, col c</t>
  </si>
  <si>
    <t xml:space="preserve">(Less) Amortization of Gain on Reacquired Debt-Credit (Acct. 429.1) </t>
  </si>
  <si>
    <t>FF1 117, L. 66, col c</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</si>
  <si>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</si>
  <si>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</si>
  <si>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</si>
  <si>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</si>
  <si>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</si>
  <si>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</si>
  <si>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</si>
  <si>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</si>
  <si>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</si>
  <si>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</si>
  <si>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</si>
  <si>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</si>
  <si>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</si>
  <si>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</si>
  <si>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</si>
  <si>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</si>
  <si>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</si>
  <si>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</si>
  <si>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</si>
  <si>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</si>
  <si>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</si>
  <si>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</si>
  <si>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</si>
  <si>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Face Value/ Amount Outstanding</t>
  </si>
  <si>
    <t>Total Premium/
Discount Cost</t>
  </si>
  <si>
    <t>Shares Outstanding</t>
  </si>
  <si>
    <t>Net Proceeds at Issuance</t>
  </si>
  <si>
    <t>Annual
Dividend</t>
  </si>
  <si>
    <t>A</t>
  </si>
  <si>
    <t>B</t>
  </si>
  <si>
    <t>C</t>
  </si>
  <si>
    <t>D</t>
  </si>
  <si>
    <t>E</t>
  </si>
  <si>
    <t>G</t>
  </si>
  <si>
    <t>H</t>
  </si>
  <si>
    <t>I</t>
  </si>
  <si>
    <t>Total Amount Outstanding (sum of above):</t>
  </si>
  <si>
    <t>3) Reacquired Preferred Stock Information</t>
  </si>
  <si>
    <t>Call Date</t>
  </si>
  <si>
    <t>Total Issuance Cost</t>
  </si>
  <si>
    <t>Unamortized Issuance Cost</t>
  </si>
  <si>
    <t>Amortization Period</t>
  </si>
  <si>
    <t xml:space="preserve">Issuance Amortization Cost </t>
  </si>
  <si>
    <t>Notes and Sources</t>
  </si>
  <si>
    <t>---</t>
  </si>
  <si>
    <t>Total Annual Cost (sum of above):</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</si>
  <si>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</si>
  <si>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</si>
  <si>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2) Annual dividend calculation consistent with 18 CFR 35.13 (22) (iii)</t>
  </si>
  <si>
    <t>Transmission Plant in FERC Form 1 for Prior Year:</t>
  </si>
  <si>
    <t xml:space="preserve">Transmission Plant balances are Prior Year ending balances from PG&amp;E's FERC Form 1. </t>
  </si>
  <si>
    <t>FERC Transmission Plant represents only Network Transmission plant that is eligible for inclusion in rate base and recoverable through the TO rate case.</t>
  </si>
  <si>
    <t>CPUC Transmission Plant represents Transmission Plant not recoverable through the TO rate case.</t>
  </si>
  <si>
    <t>Col 1 + Col 3 - Col 4</t>
  </si>
  <si>
    <t>FERC Form 1</t>
  </si>
  <si>
    <t>FERC</t>
  </si>
  <si>
    <t>CPUC</t>
  </si>
  <si>
    <t>FERC Account</t>
  </si>
  <si>
    <t>Account Description</t>
  </si>
  <si>
    <t>Source for Col 1</t>
  </si>
  <si>
    <t>Adjustments</t>
  </si>
  <si>
    <t>Source for Col 4</t>
  </si>
  <si>
    <t>Land and Land Rights</t>
  </si>
  <si>
    <t xml:space="preserve">FF1 207, L. 48, col g </t>
  </si>
  <si>
    <t>7-PlantInService, L. 112, col 1 + col 2</t>
  </si>
  <si>
    <t>Structures and Improvements</t>
  </si>
  <si>
    <t xml:space="preserve">FF1 207, L. 49, col g </t>
  </si>
  <si>
    <t>7-PlantInService, L. 112, col 3 + col 4</t>
  </si>
  <si>
    <t>Station Equipment</t>
  </si>
  <si>
    <t xml:space="preserve">FF1 207, L. 50, col g </t>
  </si>
  <si>
    <t>7-PlantInService, L. 112, col 5 + col 6</t>
  </si>
  <si>
    <t>Towers and Fixtures</t>
  </si>
  <si>
    <t xml:space="preserve">FF1 207, L. 51, col g </t>
  </si>
  <si>
    <t>7-PlantInService, L. 112, col 7</t>
  </si>
  <si>
    <t>Poles and Fixtures</t>
  </si>
  <si>
    <t xml:space="preserve">FF1 207, L. 52, col g </t>
  </si>
  <si>
    <t>7-PlantInService, L. 112, col 8</t>
  </si>
  <si>
    <t>Overhead Conductors and Devices</t>
  </si>
  <si>
    <t xml:space="preserve">FF1 207, L. 53, col g </t>
  </si>
  <si>
    <t>7-PlantInService, L. 112, col 9</t>
  </si>
  <si>
    <t>Underground Conduit</t>
  </si>
  <si>
    <t xml:space="preserve">FF1 207, L. 54, col g </t>
  </si>
  <si>
    <t>7-PlantInService, L. 112, col 10</t>
  </si>
  <si>
    <t>Underground Conductor and Devices</t>
  </si>
  <si>
    <t xml:space="preserve">FF1 207, L. 55, col g </t>
  </si>
  <si>
    <t>7-PlantInService, L. 112, col 11</t>
  </si>
  <si>
    <t>Roads and Trails</t>
  </si>
  <si>
    <t xml:space="preserve">FF1 207, L. 56, col g </t>
  </si>
  <si>
    <t>7-PlantInService, L. 112, col 12</t>
  </si>
  <si>
    <t>Asset Retirement Costs for Transmission Plant</t>
  </si>
  <si>
    <t xml:space="preserve">FF1 207, L. 57, col g </t>
  </si>
  <si>
    <t>Total Transmission Plant</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</si>
  <si>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</si>
  <si>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</si>
  <si>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 xml:space="preserve">. . . </t>
  </si>
  <si>
    <t>1) Total Network Transmission Functional Plant</t>
  </si>
  <si>
    <t>Total Network Transmission Functional Plant is the total of High Voltage (Section 2) and Low Voltage (Section 3) Network Transmission Plant. The monthly balances in Lines 100 -112 are the end-of-month balances for Prior Year and December of Prior Year minus 1.</t>
  </si>
  <si>
    <t>Section 2 + 
Section 3</t>
  </si>
  <si>
    <t>Total of Col 1-12</t>
  </si>
  <si>
    <t>FERC Account:</t>
  </si>
  <si>
    <t>ETP35001</t>
  </si>
  <si>
    <t>ETP35002</t>
  </si>
  <si>
    <t>ETP35201</t>
  </si>
  <si>
    <t>ETP35202</t>
  </si>
  <si>
    <t>ETP35301</t>
  </si>
  <si>
    <t>ETP35302</t>
  </si>
  <si>
    <t>ETP35400</t>
  </si>
  <si>
    <t>ETP35500</t>
  </si>
  <si>
    <t>ETP35600</t>
  </si>
  <si>
    <t>ETP35700</t>
  </si>
  <si>
    <t>ETP35800</t>
  </si>
  <si>
    <t>ETP35900</t>
  </si>
  <si>
    <t>13-Month Average</t>
  </si>
  <si>
    <t>2) Network Transmission Functional Plant - High Voltage</t>
  </si>
  <si>
    <t xml:space="preserve">Network Transmission High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</si>
  <si>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200 - 212 are the end-of-month balances for Prior Year and December of Prior Year minus 1.</t>
  </si>
  <si>
    <t>3) Network Transmission Functional Plant - Low Voltage</t>
  </si>
  <si>
    <t xml:space="preserve">Network Transmission Low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</si>
  <si>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300 - 312 are the end-of-month balances for Prior Year and December of Prior Year minus 1.</t>
  </si>
  <si>
    <t>4) Direct Assigned Common, General and Intangible (CGI) Plant</t>
  </si>
  <si>
    <t>Direct Assigned Common, General and Intangible (CGI) Plant In Service balances are extracted from PowerPlant, PG&amp;E's fixed asset system of record, by querying by Asset Class, FERC Account and UCC.</t>
  </si>
  <si>
    <t>Total Direct</t>
  </si>
  <si>
    <t>Direct Assigned</t>
  </si>
  <si>
    <t>Assigned CGI</t>
  </si>
  <si>
    <t>High Voltage</t>
  </si>
  <si>
    <t>Low Voltage</t>
  </si>
  <si>
    <t>See WP_7-PlantInService 5, L. 122, col 1 and col 2 from annual update for Prior Year minus 1</t>
  </si>
  <si>
    <t>See WP_7-PlantInService 5, L. 122, col 1 and col 2</t>
  </si>
  <si>
    <t>Average</t>
  </si>
  <si>
    <t>(Line 400 + Line 401)/2</t>
  </si>
  <si>
    <t>5) Corporate Services (Gas and Electric) Residual Common, General and Intangible (CGI) Plant</t>
  </si>
  <si>
    <t>Corporate Services (Gas and Electric) Residual Common, General and Intangible (CGI) Plant is extracted from PowerPlant, PG&amp;E's fixed asset system of record, by querying by Asset Class, FERC Account and UCC.</t>
  </si>
  <si>
    <t>24-Allocators, 
L. 113</t>
  </si>
  <si>
    <t>Col 1 * Col 2</t>
  </si>
  <si>
    <t>Col 3 * 24-Allocators, L. 126</t>
  </si>
  <si>
    <t>Col 3 * 24-Allocators, L. 127</t>
  </si>
  <si>
    <t>Network</t>
  </si>
  <si>
    <t>Total PG&amp;E</t>
  </si>
  <si>
    <t>Residual CGI</t>
  </si>
  <si>
    <t>O&amp;M Labor Factor</t>
  </si>
  <si>
    <t>Corporate CGI</t>
  </si>
  <si>
    <t>See WP_7-PlantInService 5, L. 122, col 11 from annual update for Prior Year minus 1</t>
  </si>
  <si>
    <t>See WP_7-PlantInService 5, L. 122, col 11</t>
  </si>
  <si>
    <t>(Line 500 + Line 501)/2</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</si>
  <si>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</si>
  <si>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</si>
  <si>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24-Allocators, 
L. 112</t>
  </si>
  <si>
    <t>Total Electric</t>
  </si>
  <si>
    <t>See WP_7-PlantInService 5, L. 122, col 12 from annual update for Prior Year minus 1</t>
  </si>
  <si>
    <t>See WP_7-PlantInService 5, L. 122, col 12</t>
  </si>
  <si>
    <t>(Line 600 + Line 601)/2</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</si>
  <si>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</si>
  <si>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</si>
  <si>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</si>
  <si>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</si>
  <si>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</si>
  <si>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</si>
  <si>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</si>
  <si>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</si>
  <si>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Line 400 + Line 500 + Line 600</t>
  </si>
  <si>
    <t>Line 401 + Line 501 + Line 601</t>
  </si>
  <si>
    <t>(Line 700 + Line 701)/2</t>
  </si>
  <si>
    <t>1) Network Transmission Direct Assigned CGI Plant is Plant in FERC Accounts 389-399 or 301-303 that serves only Network Transmission. For Prior Year amounts by Line of Business, see WP_7-PlantInService 5, L. 122.</t>
  </si>
  <si>
    <t>2) Corporate Residual (Gas and Electric) CGI Plant is Plant in FERC Accounts 389-399 or 301-303 that serves all PG&amp;E Gas and Electric Lines of Business. For Prior Year amount, see WP_7-PlantInService 5, L. 122.</t>
  </si>
  <si>
    <t>3) Corporate Residual (Electric) CGI Plant is Plant in FERC Accounts 389-399 or 301-303 that serves PG&amp;E Electric Lines of Business only. For Prior Year amount, see WP_7-PlantInService 5, L. 122.</t>
  </si>
  <si>
    <t>PG&amp;E will include recoverable costs in this worksheet for cancelled projects approved or pending approval by the Commission for Abandoned Plant recovery.</t>
  </si>
  <si>
    <t>1) Prior Year Abandoned Plant</t>
  </si>
  <si>
    <t>(Col 6 + Col 8)/2</t>
  </si>
  <si>
    <t>Col 9 * Composite Tax Rate</t>
  </si>
  <si>
    <t>Col 8 - Col 10</t>
  </si>
  <si>
    <t>Col 9 - Col 10</t>
  </si>
  <si>
    <t>Total Project</t>
  </si>
  <si>
    <t xml:space="preserve">Recoverable </t>
  </si>
  <si>
    <t>Start of</t>
  </si>
  <si>
    <t>EOY</t>
  </si>
  <si>
    <t xml:space="preserve">Average </t>
  </si>
  <si>
    <t>EOY Balance</t>
  </si>
  <si>
    <t>Average Balance</t>
  </si>
  <si>
    <t>Authorization</t>
  </si>
  <si>
    <t>Voltage</t>
  </si>
  <si>
    <t>Costs</t>
  </si>
  <si>
    <t>Period (yrs)</t>
  </si>
  <si>
    <t>BOY Balance</t>
  </si>
  <si>
    <t>ADIT</t>
  </si>
  <si>
    <t>Net of ADIT</t>
  </si>
  <si>
    <t>Docket Number</t>
  </si>
  <si>
    <t>Status</t>
  </si>
  <si>
    <t>Total High Voltage Abandoned Plant (sum from below)</t>
  </si>
  <si>
    <t>Total Low Voltage Abandoned Plant (sum from below)</t>
  </si>
  <si>
    <t>Totals</t>
  </si>
  <si>
    <t>Santa Cruz 115kV Reinforcement Project</t>
  </si>
  <si>
    <t>ER15-2294</t>
  </si>
  <si>
    <t>Approved</t>
  </si>
  <si>
    <t>Santa Cruz 115kV Reinforcement Project (additional costs)</t>
  </si>
  <si>
    <t>ER16-2320</t>
  </si>
  <si>
    <t>Pease - Marysville #2 60 kV Line</t>
  </si>
  <si>
    <t>Jefferson - Stanford #2 60 kV Line Total</t>
  </si>
  <si>
    <t>South of San Mateo Capacity Increase</t>
  </si>
  <si>
    <t>Bay Meadows 115 kV Reconductoring</t>
  </si>
  <si>
    <t>Kerckhoff PH #2 - Oakhurst 115 kV Line</t>
  </si>
  <si>
    <t xml:space="preserve">West Point - Valley Springs 60 kV Line </t>
  </si>
  <si>
    <t>Soledad 115/60 kV Transformer Capacity</t>
  </si>
  <si>
    <t>Napa - Tulucay No. 1 60 kV Line Upgrades</t>
  </si>
  <si>
    <t>Clear Lake 60 kV System Reinforcement</t>
  </si>
  <si>
    <t>Taft 115/70 kV Transformer #2 Replacement</t>
  </si>
  <si>
    <t>Monta Vista - Los Gatos - Evergreen 60 kV Project</t>
  </si>
  <si>
    <t>Cressey - North Merced 115 kV Line Addition</t>
  </si>
  <si>
    <t>Tesla - Newark</t>
  </si>
  <si>
    <t>ER17-2154</t>
  </si>
  <si>
    <t>ALMADEN (LOS GATOS) 60KV SHUNT CAPACITOR</t>
  </si>
  <si>
    <t>VACA-LAKEVILLE</t>
  </si>
  <si>
    <t>Ashlan - Gregg and Ashlan - Herndon 230 kV Line Reconductor</t>
  </si>
  <si>
    <t>ER19-13</t>
  </si>
  <si>
    <t>Evergreen - Mabury 60 to 115 kV Conversion</t>
  </si>
  <si>
    <t>Rio Oso - Atlantic 230 kV Line Project</t>
  </si>
  <si>
    <t>Watsonville Voltage Conversion</t>
  </si>
  <si>
    <t>Reedley-Dinuba</t>
  </si>
  <si>
    <t>Reedley-Orosi</t>
  </si>
  <si>
    <t>Atlantic-Placer 115kV Line</t>
  </si>
  <si>
    <t>ER19-2568</t>
  </si>
  <si>
    <t>Diablo Canyon Voltage Support (DCVS) Project</t>
  </si>
  <si>
    <t>Gates Gregg (Central Valley Transmission Connect “CVTC Project”)</t>
  </si>
  <si>
    <t>ER19-2582</t>
  </si>
  <si>
    <t>1) Lines 103-125 are Abandoned Plant projects that were included in the TO17, TO18, TO19, and/or TO20 rate case filings. FERC Docket # ER19-1816 authorized recovery of the remaining unamortized balance over a one-year amortization period.</t>
  </si>
  <si>
    <t xml:space="preserve">2) Lines 126 &amp; 127 are for costs associated with the Atlantic-Placer 115kV Line and Diablo Canyon Voltage Support (DCVS) Project projects. FERC Docket # ER19-2568 authorized recovery over a one-year amortization period. </t>
  </si>
  <si>
    <t xml:space="preserve">3) Lines 128 is for costs associated with the Gates Gregg (CVTC) Project. FERC Docket # ER19-2582 authorized recovery over a one-year amortization period. </t>
  </si>
  <si>
    <t>Forecast Network Transmission Net Plant Additions are calculated using the forecast capital expenditures for Functional Plant major work categories for the two calendar years after the Prior Year.</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</si>
  <si>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</si>
  <si>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</si>
  <si>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</si>
  <si>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</si>
  <si>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</si>
  <si>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</si>
  <si>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</si>
  <si>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</si>
  <si>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</si>
  <si>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</si>
  <si>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</si>
  <si>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</si>
  <si>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</si>
  <si>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</si>
  <si>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</si>
  <si>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</si>
  <si>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 (Sum Lines 111 to 123)/13:</t>
  </si>
  <si>
    <t>Rate Year Depr Exp (sum Jan - Dec of the Rate Year)</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</si>
  <si>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</si>
  <si>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</si>
  <si>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</si>
  <si>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For the calculation of forecast Gross Plant Additions and Cost of Removal by planning order, see workpapers WP_9-PlantAdditions 1-4.</t>
  </si>
  <si>
    <t>Prior Month 
+ Col 1</t>
  </si>
  <si>
    <t>Col 2 * 
(12-DepRates, L. 110, col 9)/12</t>
  </si>
  <si>
    <t>Prior Month 
+ Col 3 - Col 4</t>
  </si>
  <si>
    <t xml:space="preserve">Col 2 - Col 5 </t>
  </si>
  <si>
    <t xml:space="preserve">October </t>
  </si>
  <si>
    <t>13-Month Average:</t>
  </si>
  <si>
    <t>3) Low Voltage Net Plant Additions</t>
  </si>
  <si>
    <t xml:space="preserve">Low Voltage Net Plant Additions are the total of the forecasted Incremental Gross Plant less the Incremental Reserve. Incremental Gross Plant is the total of forecast Gross Plant Additions. </t>
  </si>
  <si>
    <t>1) For High and Low Voltage Gross Plant Additions see WP_9-PlantAdditions 5, L. 149-172.</t>
  </si>
  <si>
    <t>2) For High and Low Voltage Gross Plant Cost of Removal see WP_9-PlantAdditions 6, L. 149-172.</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</si>
  <si>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</si>
  <si>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</si>
  <si>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The monthly balances in Lines 100 -112 are the end-of-month balances for Prior Year and December of Prior Year - 1.</t>
  </si>
  <si>
    <t>2) Accumulated Depreciation for Network Transmission Functional Plant - High Voltage</t>
  </si>
  <si>
    <t>Accumulated Depreciation balances for Network Transmission High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</si>
  <si>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200 - 212 are the end-of-month balances for Prior Year and December of Prior Year minus 1.</t>
  </si>
  <si>
    <t>3) Accumulated Depreciation for Network Transmission Functional Plant - Low Voltage</t>
  </si>
  <si>
    <t>Accumulated Depreciation balances for Network Transmission Low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</si>
  <si>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300 - 312 are the end-of-month balances for Prior Year and December of Prior Year minus 1.</t>
  </si>
  <si>
    <t>4) Accumulated Depreciation for Direct Assigned Common, General and Intangible (CGI) Plant</t>
  </si>
  <si>
    <t>Accumulated Depreciation balances for Direct Assigned CGI Plant are extracted from PowerPlant, PG&amp;E's fixed asset system of record, by querying by Asset Class, FERC Account and UCC.</t>
  </si>
  <si>
    <t>Total CGI</t>
  </si>
  <si>
    <t>See WP_10-AccDep 4, L. 122, Col 1 and Col 2 from annual update for Prior Year minus 1</t>
  </si>
  <si>
    <t>See WP_10-AccDep 4, L. 122, Col 1 and Col 2</t>
  </si>
  <si>
    <t>5) Accumulated Depreciation for Corporate Services (Gas and Electric) Residual Common, General and Intangible (CGI) Plant</t>
  </si>
  <si>
    <t xml:space="preserve">Accumulated Depreciation balances for Corporate Services (Gas and Electric) Residual CGI Plant are extracted from PowerPlant, PG&amp;E's fixed asset system of record, by querying by Asset Class, FERC Account and UCC. </t>
  </si>
  <si>
    <t>See WP_10-AccDep 4, L. 122, Col 11 from annual update for Prior Year minus 1</t>
  </si>
  <si>
    <t>See WP_10-AccDep 4, L. 122, Col 11</t>
  </si>
  <si>
    <t>6) Accumulated Depreciation for Corporate Services (Electric) Residual Common, General and Intangible (CGI) Plant</t>
  </si>
  <si>
    <t xml:space="preserve">Accumulated Depreciation balances for Corporate Services (Electric) CGI Plant are extracted from PowerPlant, PG&amp;E's fixed asset system of record, by querying by Asset Class, FERC Account and UCC. </t>
  </si>
  <si>
    <t>See WP_10-AccDep 4, L. 122, Col 12 from annual update for Prior Year minus 1</t>
  </si>
  <si>
    <t>See WP_10-AccDep 4, L. 122, Col 12</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</si>
  <si>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</si>
  <si>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</si>
  <si>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1) Accumulated Depreciation for Direct Assigned CGI Plant is related to Plant in FERC Accounts 389-399 or 301-303 that serves only Network Transmission. For Prior Year amounts by Line of Business, see WP_10-AccDep 4, L. 122, cols 1 and 2.</t>
  </si>
  <si>
    <t>2) Accumulated Depreciation for Corporate Residual (Gas and Electric) CGI Plant is related to Plant in FERC Accounts 389-399 or 301-303 that serves all PG&amp;E Gas and Electric Lines of Business. For Prior Year amount, see WP_10-AccDep 4, L. 122, col 11.</t>
  </si>
  <si>
    <t>3) Accumulated Depreciation for Corporate Residual (Electric) CGI Plant is related to Plant in FERC Accounts 389-399 or 301-303 that serves PG&amp;E Electric Lines of Business only. For Prior Year amount, see WP_10-AccDep 4, L. 122, col 12.</t>
  </si>
  <si>
    <t>1) Depreciation Expense for Network Transmission Functional Plant</t>
  </si>
  <si>
    <t xml:space="preserve">Prior Year recorded Depreciation Expense is extracted from PowerPlant, PG&amp;E's fixed asset system of record, by querying by Asset Class. It is then allocated to UCC and Line of Business based on Prior Year ending plant balances. </t>
  </si>
  <si>
    <t>The Depreciation Expense amounts by FERC Account and Asset Class in Lines 100 and 101 represent the amounts related to High Voltage and Low Voltage Network Transmission Plant.</t>
  </si>
  <si>
    <t>2) Depreciation Expense for Direct Assigned Common, General and Intangible (CGI) Plant</t>
  </si>
  <si>
    <t xml:space="preserve">Depreciation Expense for Direct Assigned CGI Plant is extracted from PowerPlant, PG&amp;E's fixed asset system of record, by querying by Asset Class. It is then allocated to UCC and Line of Business based on Prior Year ending plant balances. </t>
  </si>
  <si>
    <t>3) Depreciation Expense for Corporate Services (Gas and Electric) Residual Common, General and Intangible (CGI) Plant</t>
  </si>
  <si>
    <t xml:space="preserve">Depreciation Expense for Corporate Services (Gas and Electric) Residual CGI Plant is extracted from PowerPlant, PG&amp;E's fixed asset system of record, by querying by Asset Class. It is then allocated to UCC and Line of Business based on Prior Year ending plant balances. </t>
  </si>
  <si>
    <t>Corporate</t>
  </si>
  <si>
    <t>Allocation of</t>
  </si>
  <si>
    <t>4) Depreciation Expense for Corporate Services (Electric) Residual Common, General and Intangible (CGI) Plant</t>
  </si>
  <si>
    <t xml:space="preserve">Depreciation Expense for Corporate Services (Electric) Residual CGI Plant is extracted from PowerPlant, PG&amp;E's fixed asset system of record, by querying by Asset Class. It is then allocated to UCC and Line of Business based on Prior Year ending plant balances. </t>
  </si>
  <si>
    <t>Electric</t>
  </si>
  <si>
    <t>Electric CGI</t>
  </si>
  <si>
    <t>5) Total Depreciation Expense for Network Transmission Common, General and Intangible (CGI) Plant</t>
  </si>
  <si>
    <t>Total Depreciation Expense for Network Transmission CGI Plant is the total of the amount related to Direct Assigned CGI Plant (Section 2) and amounts related to Residual CGI Plant (Sections 3-4) allocated to Network Transmission using labor allocation factors.</t>
  </si>
  <si>
    <t>Total of 
Sections 2-4</t>
  </si>
  <si>
    <t>Line 200 + Line 300 + Line 400</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</si>
  <si>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</si>
  <si>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</si>
  <si>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</si>
  <si>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</si>
  <si>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Total Network Transmission Functional Plant Prior Year balances are from 7-PlantInService, L. 101-112.</t>
  </si>
  <si>
    <t>7) Proposed Network Transmission Functional Plant Depreciation Rates</t>
  </si>
  <si>
    <t xml:space="preserve">Proposed Network Transmission Functional Plant Depreciation Rates are from 12-DepRates. The Depreciation Rates for Columns 3-12 are from 12-DepRates, L. 100 - 109. </t>
  </si>
  <si>
    <t>The rates listed below are annual rates.</t>
  </si>
  <si>
    <t>12-DepRates, 
L. 100</t>
  </si>
  <si>
    <t>12-DepRates, 
L. 101</t>
  </si>
  <si>
    <t>12-DepRates, 
L. 102</t>
  </si>
  <si>
    <t>12-DepRates, 
L. 103</t>
  </si>
  <si>
    <t>12-DepRates, 
L. 104</t>
  </si>
  <si>
    <t>12-DepRates, 
L. 105</t>
  </si>
  <si>
    <t>12-DepRates, 
L. 106</t>
  </si>
  <si>
    <t>12-DepRates, 
L. 107</t>
  </si>
  <si>
    <t>12-DepRates, 
L. 108</t>
  </si>
  <si>
    <t>12-DepRates, 
L. 109</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</si>
  <si>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</si>
  <si>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</si>
  <si>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</si>
  <si>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</si>
  <si>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</si>
  <si>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</si>
  <si>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</si>
  <si>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Section 8, Line 812, col 13</t>
  </si>
  <si>
    <t>Total Prior Year Recorded Depreciation Expense</t>
  </si>
  <si>
    <t>Section 1, Line 102, col 13</t>
  </si>
  <si>
    <t>Depreciation Expense Rate Adjustment</t>
  </si>
  <si>
    <t>Line 900 minus Line 901</t>
  </si>
  <si>
    <t>1) Network Transmission Direct Assigned CGI Plant is Plant in FERC Accounts 389-399 or 301-303 that serves only Network Transmission. For Depreciation Expense amounts by Line of Business for Direct Assigned CGI Plant, see WP_11-Depreciation 3, L. 122, Cols 1 and 2.</t>
  </si>
  <si>
    <t>2) Corporate Residual (Gas and Electric) CGI Plant is Plant in FERC Accounts 389-399 or 301-303 that serves all PG&amp;E Gas and Electric Lines of Business. For Depreciation Expense forCorporate Residual (Gas and Electric) CGI Plant, see WP_11-Depreciation 3, L. 122, Col 11.</t>
  </si>
  <si>
    <t>3) Corporate Residual (Electric) CGI Plant is Plant in FERC Accounts 389-399 or 301-303 that serves PG&amp;E Electric Lines of Business only. For Depreciation Expense for Corporate Residual (Electric) CGI Plant, see WP_11-Depreciation 3, L. 122, Col 12.</t>
  </si>
  <si>
    <t>4) Account 350.01 - Land is not depreciated in the TO rate case.</t>
  </si>
  <si>
    <t>5) ETP35002 - Land Rights is depreciated using the composite depreciation rate excluding net salvage for transmission plant. (see 12-DepRates, L. 110, col 10)</t>
  </si>
  <si>
    <t xml:space="preserve">6) Prior Year Depreciation Expense includes the incremental depreciation expense related to May-December 2019 recorded in December 2020 due to the approval of new depreciation rates in the Settlement approved in FERC Docket ER19-13-000 on December 30, 2020 [in Pacific Gas and Electric Company, 173 FERC ¶ 61,281 (2020)] </t>
  </si>
  <si>
    <t>DEPRECIATION RATES (Note 1)</t>
  </si>
  <si>
    <t>1) ELECTRIC TRANSMISSION PLANT (Note 2)</t>
  </si>
  <si>
    <t>7-PlantInService, 
L. 112, Col 3-12</t>
  </si>
  <si>
    <t>Col 1 x Col 2</t>
  </si>
  <si>
    <t>10-AccDep, 
L. 112, Col 3-12</t>
  </si>
  <si>
    <t xml:space="preserve"> Col 1 - Col 3 - Col 4</t>
  </si>
  <si>
    <t>Col 1 x Col 9</t>
  </si>
  <si>
    <t>ORIGINAL</t>
  </si>
  <si>
    <t>NET SALVAGE</t>
  </si>
  <si>
    <t>BOOK</t>
  </si>
  <si>
    <t>FUTURE</t>
  </si>
  <si>
    <t>SURVIVOR</t>
  </si>
  <si>
    <t>REMAINING</t>
  </si>
  <si>
    <t>ANNUAL ACCRUAL</t>
  </si>
  <si>
    <t>Func</t>
  </si>
  <si>
    <t>Asset Class</t>
  </si>
  <si>
    <t>Asset Class Description</t>
  </si>
  <si>
    <t>COST</t>
  </si>
  <si>
    <t>PCT.</t>
  </si>
  <si>
    <t>AMOUNT</t>
  </si>
  <si>
    <t>RESERVE</t>
  </si>
  <si>
    <t>ACCRUALS</t>
  </si>
  <si>
    <t>CURVE</t>
  </si>
  <si>
    <t>LIFE</t>
  </si>
  <si>
    <t>RATE</t>
  </si>
  <si>
    <t>LIFE RATE</t>
  </si>
  <si>
    <t>COR RATE</t>
  </si>
  <si>
    <t>STRUCTURES AND IMPROVEMENTS</t>
  </si>
  <si>
    <t>70 - R3</t>
  </si>
  <si>
    <t>STRUCTURES AND IMPROVEMENTS - EQUIPMENT</t>
  </si>
  <si>
    <t>STATION EQUIPMENT</t>
  </si>
  <si>
    <t>46 - R2</t>
  </si>
  <si>
    <t>STATION EQUIPMENT - STEP-UP TRANSFORMERS</t>
  </si>
  <si>
    <t>55 - R1.5</t>
  </si>
  <si>
    <t>TOWERS AND FIXTURES</t>
  </si>
  <si>
    <t>75 - R4</t>
  </si>
  <si>
    <t>POLES AND FIXTURES</t>
  </si>
  <si>
    <t>54 - R1.5</t>
  </si>
  <si>
    <t>OVERHEAD CONDUCTORS AND DEVICES</t>
  </si>
  <si>
    <t>65 - R2</t>
  </si>
  <si>
    <t>UNDERGROUND CONDUIT</t>
  </si>
  <si>
    <t>65 - R4</t>
  </si>
  <si>
    <t>UNDERGROUND CONDUCTORS AND DEVICES</t>
  </si>
  <si>
    <t>55 - R3</t>
  </si>
  <si>
    <t>ROADS AND TRAILS</t>
  </si>
  <si>
    <t>60 - R1.5</t>
  </si>
  <si>
    <t>TOTAL TRANSMISSION PLANT</t>
  </si>
  <si>
    <t>(Note 3)</t>
  </si>
  <si>
    <t>2) COMMON, GENERAL AND INTANGIBLE (CGI) PLANT (Note 4)</t>
  </si>
  <si>
    <t>DEPRECIATION</t>
  </si>
  <si>
    <t>ACCRUAL RATES</t>
  </si>
  <si>
    <t>CMP30101</t>
  </si>
  <si>
    <t>ORGANIZATION - COMMON PLANT</t>
  </si>
  <si>
    <t>CMP30200</t>
  </si>
  <si>
    <t>FRANCHISES AND CONSENTS - COMMON PLANT</t>
  </si>
  <si>
    <t>CMP30301</t>
  </si>
  <si>
    <t>MISCELLANEOUS INTANGIBLE PLANT</t>
  </si>
  <si>
    <t>CMP30302</t>
  </si>
  <si>
    <t>SOFTWARE</t>
  </si>
  <si>
    <t>CMP30304</t>
  </si>
  <si>
    <t>SOFTWARE CIS</t>
  </si>
  <si>
    <t>CMP38901</t>
  </si>
  <si>
    <t>LAND - COMMON PLANT</t>
  </si>
  <si>
    <t>CMP38902</t>
  </si>
  <si>
    <t>LAND RIGHTS</t>
  </si>
  <si>
    <t>CMP39000</t>
  </si>
  <si>
    <t>CMP39001</t>
  </si>
  <si>
    <t>COMM PLANT: LEASEHOLD IMPR</t>
  </si>
  <si>
    <t>CMP39101</t>
  </si>
  <si>
    <t xml:space="preserve">OFFICE MACHINES </t>
  </si>
  <si>
    <t>CMP39102</t>
  </si>
  <si>
    <t>PC HARDWARE</t>
  </si>
  <si>
    <t>CMP39103</t>
  </si>
  <si>
    <t>OFFICE FURNITURE AND EQUIPMENT</t>
  </si>
  <si>
    <t>CMP39104</t>
  </si>
  <si>
    <t>OFFICE MACHINES AND COMPUTER EQUIPMENT - CIS - FULLY ACCRUED</t>
  </si>
  <si>
    <t>CMP39201</t>
  </si>
  <si>
    <t>TRANSPORTATION EQUIPMENT - AIR</t>
  </si>
  <si>
    <t>CMP39202</t>
  </si>
  <si>
    <t>TRANSPORTATION EQUIPMENT - CLASS P</t>
  </si>
  <si>
    <t>CMP39203</t>
  </si>
  <si>
    <t>TRANSPORTATION EQUIPMENT - CLASS C2</t>
  </si>
  <si>
    <t>CMP39204</t>
  </si>
  <si>
    <t>TRANSPORTATION EQUIPMENT - CLASS C4</t>
  </si>
  <si>
    <t>CMP39205</t>
  </si>
  <si>
    <t xml:space="preserve">TRANSPORTATION EQUIPMENT - CLASS T1 </t>
  </si>
  <si>
    <t>CMP39206</t>
  </si>
  <si>
    <t>TRANSPORTATION EQUIPMENT - CLASS T3</t>
  </si>
  <si>
    <t>CMP39207</t>
  </si>
  <si>
    <t xml:space="preserve">TRANSPORTATION EQUIPMENT - CLASS T4 </t>
  </si>
  <si>
    <t>CMP39208</t>
  </si>
  <si>
    <t>TRANSPORTATION EQUIPMENT - VESSELS</t>
  </si>
  <si>
    <t>CMP39209</t>
  </si>
  <si>
    <t>TRANSPORTATION EQUIPMENT - TRAILERS</t>
  </si>
  <si>
    <t>CMP39300</t>
  </si>
  <si>
    <t>STORES EQUIPMENT</t>
  </si>
  <si>
    <t>CMP39400</t>
  </si>
  <si>
    <t>TOOLS, SHOP AND GARAGE EQUIPMENT</t>
  </si>
  <si>
    <t>CMP39500</t>
  </si>
  <si>
    <t>LABORATORY EQUIPMENT</t>
  </si>
  <si>
    <t>CMP39600</t>
  </si>
  <si>
    <t>POWER OPERATED EQUIPMENT</t>
  </si>
  <si>
    <t>CMP39701</t>
  </si>
  <si>
    <t>COMMUNICATION EQUIPMENT - NON-COMPUTER</t>
  </si>
  <si>
    <t>CMP39702</t>
  </si>
  <si>
    <t>COMMUNICATION EQUIPMENT - COMPUTER</t>
  </si>
  <si>
    <t>CMP39703</t>
  </si>
  <si>
    <t>COMMUNICATION EQUIPMENT - RADIO SYSTEMS</t>
  </si>
  <si>
    <t>CMP39704</t>
  </si>
  <si>
    <t>COMMUNICATION EQUIPMENT - VOICE SYSTEMS</t>
  </si>
  <si>
    <t>CMP39705</t>
  </si>
  <si>
    <t>COMMUNICATION EQUIPMENT - TRANSMISSION SYSTEMS</t>
  </si>
  <si>
    <t>CMP39706</t>
  </si>
  <si>
    <t>COMMUNICATION EQUIPMENT - TRANSMISSION SYSTEMS, GAS AMI</t>
  </si>
  <si>
    <t>CMP39707</t>
  </si>
  <si>
    <t>COMMUNICATION EQUIPMENT - TRANSMISSION SYSTEMS, ELECTRIC AMI</t>
  </si>
  <si>
    <t>CMP39708</t>
  </si>
  <si>
    <t>AMI COMMUNICATION NETWORK</t>
  </si>
  <si>
    <t>CMP39800</t>
  </si>
  <si>
    <t>MISCELLANEOUS EQUIPMENT</t>
  </si>
  <si>
    <t>CMP39900</t>
  </si>
  <si>
    <t>OTHER TANGIBLE PROPERTY</t>
  </si>
  <si>
    <t>EGP38901</t>
  </si>
  <si>
    <t>LAND</t>
  </si>
  <si>
    <t>EGP38902</t>
  </si>
  <si>
    <t>EGP39000</t>
  </si>
  <si>
    <t>EGP39100</t>
  </si>
  <si>
    <t>EGP39400</t>
  </si>
  <si>
    <t>TOOLS, SHOP AND WORK EQUIPMENT</t>
  </si>
  <si>
    <t>EGP39500</t>
  </si>
  <si>
    <t>EGP39600</t>
  </si>
  <si>
    <t>EGP39700</t>
  </si>
  <si>
    <t>COMMUNICATION EQUIPMENT</t>
  </si>
  <si>
    <t>EGP39708</t>
  </si>
  <si>
    <t>EGP39800</t>
  </si>
  <si>
    <t>EIP30201</t>
  </si>
  <si>
    <t>FRANCHISES AND CONSENTS</t>
  </si>
  <si>
    <t>EIP30301</t>
  </si>
  <si>
    <t>USBR - LIMITED TERM ELECTRIC</t>
  </si>
  <si>
    <t>EIP30303</t>
  </si>
  <si>
    <t>COMPUTER SOFTWARE</t>
  </si>
  <si>
    <t>1) Depreciation Rates in this Schedule cannot be changed without FERC authorization from a Section 205 or 206 filing.</t>
  </si>
  <si>
    <t>2) Depreciation Rates in Cols 9, 10, and 11 are settled rates. Please see the the Offer of Settlement from PG&amp;E's October 15, 2020 global settlement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</si>
  <si>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</si>
  <si>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4) See CPUC Decision 20-12-005.  In the event the CPUC modifies these depreciation rates in the future, pursuant to the Protocols, PG&amp;E will make a single issue filing at FERC to modify these rates.</t>
  </si>
  <si>
    <t>1) Calculation of Materials and Supplies</t>
  </si>
  <si>
    <t>Materials and Supplies balances are recorded in FERC Account 154.</t>
  </si>
  <si>
    <t>Col 2 * 
24-Allocators, L. 126</t>
  </si>
  <si>
    <t>Col 2 * 
24-Allocators, L. 127</t>
  </si>
  <si>
    <t xml:space="preserve">Total </t>
  </si>
  <si>
    <t>Company</t>
  </si>
  <si>
    <t xml:space="preserve">Line </t>
  </si>
  <si>
    <t>Materials &amp; Supplies</t>
  </si>
  <si>
    <t xml:space="preserve"> Transmission </t>
  </si>
  <si>
    <t>2) Calculation of Prepayments</t>
  </si>
  <si>
    <t>Prepaid property insurance is allocated to Electric Transmission Network (ETN) based on plant ratios.  Prepaid liability insurance is allocated to ETN based on a 40% plant, 60% labor ratio.  Other prepayments are allocated to ETN based on the labor ratio.</t>
  </si>
  <si>
    <t>Data Source:</t>
  </si>
  <si>
    <t>FF1 111, L. 57, col c</t>
  </si>
  <si>
    <t>col 3 - col 4</t>
  </si>
  <si>
    <t xml:space="preserve">Less:  </t>
  </si>
  <si>
    <t>Detail of Adjusted Total Prepaids</t>
  </si>
  <si>
    <t>Total Company Prepayments</t>
  </si>
  <si>
    <t>Direct Assignments</t>
  </si>
  <si>
    <t>Adjusted Total</t>
  </si>
  <si>
    <t>Property Insurance</t>
  </si>
  <si>
    <t>Liability Insurance</t>
  </si>
  <si>
    <t>Misc.</t>
  </si>
  <si>
    <t>40% Plant / 60%</t>
  </si>
  <si>
    <t>Allocation Method from Total Company to Electric Transmission Network</t>
  </si>
  <si>
    <t>Plant Ratio</t>
  </si>
  <si>
    <t>Labor Average</t>
  </si>
  <si>
    <t>Labor Ratio</t>
  </si>
  <si>
    <t>24-Allocators, L. 116, L. 135, L. 113</t>
  </si>
  <si>
    <t>a)  13 Month Avg Calculation</t>
  </si>
  <si>
    <t>Allocated Prepayments</t>
  </si>
  <si>
    <t>b)  EOY Calculation</t>
  </si>
  <si>
    <t xml:space="preserve">Note 1:   Materials and Supplies month-end balances are extracted from SAP by querying by General Ledger (GL) Account. December balances are from FF1 227, L. 12, cols b and c. </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</si>
  <si>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</si>
  <si>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</si>
  <si>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</si>
  <si>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</si>
  <si>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</si>
  <si>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</si>
  <si>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</si>
  <si>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</si>
  <si>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</si>
  <si>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</si>
  <si>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</si>
  <si>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</si>
  <si>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</si>
  <si>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</si>
  <si>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</si>
  <si>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</si>
  <si>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</si>
  <si>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WP_14-ADIT 1, L. 100, col 7</t>
  </si>
  <si>
    <t>c) Average of Beginning and End of Year Accumulated Deferred Income Taxes</t>
  </si>
  <si>
    <t>Average ADIT</t>
  </si>
  <si>
    <t>Weighted Average ADIT:</t>
  </si>
  <si>
    <t>Adjustment for Forecasted Proration vs Actual Proration:</t>
  </si>
  <si>
    <t>WP_14_ADIT, Tab 6, Col 13, Line 130</t>
  </si>
  <si>
    <t>Adjusted Average ADIT</t>
  </si>
  <si>
    <t>Line 106 + Line 107</t>
  </si>
  <si>
    <t>2) Account 190 Detail</t>
  </si>
  <si>
    <t>END BAL per G/L</t>
  </si>
  <si>
    <t xml:space="preserve">Gas and Other </t>
  </si>
  <si>
    <t>Electric Labor</t>
  </si>
  <si>
    <t>ACCT 190</t>
  </si>
  <si>
    <t>DESCRIPTION</t>
  </si>
  <si>
    <t>Sum Col 3 to Col 6</t>
  </si>
  <si>
    <t>Non-ISO Related Costs</t>
  </si>
  <si>
    <t>ISO Only</t>
  </si>
  <si>
    <t>Plant Related</t>
  </si>
  <si>
    <t>Related</t>
  </si>
  <si>
    <t>Electric:</t>
  </si>
  <si>
    <t>Environmental</t>
  </si>
  <si>
    <t>Gas and Other Non-ISO Related Costs</t>
  </si>
  <si>
    <t>WP_14-ADIT 2, L. 100, Col 2</t>
  </si>
  <si>
    <t>Compensation</t>
  </si>
  <si>
    <t>WP_14-ADIT 2, L. 101, Col 2</t>
  </si>
  <si>
    <t>Vacation Timing Differences</t>
  </si>
  <si>
    <t>Relates to all Regulated Electric Property</t>
  </si>
  <si>
    <t>WP_14-ADIT 2, L. 102, Col 2</t>
  </si>
  <si>
    <t>Contributions In Aid of Construction (CIAC)</t>
  </si>
  <si>
    <t>WP_14-ADIT 2, L. 103, Col 2</t>
  </si>
  <si>
    <t>Injuries and Damages</t>
  </si>
  <si>
    <t>WP_14-ADIT 2, L. 104, Col 2</t>
  </si>
  <si>
    <t>California Corporation Franchise Tax</t>
  </si>
  <si>
    <t>WP_14-ADIT 2, L. 105, Col 2</t>
  </si>
  <si>
    <t>Net Operating Losses Deferred Taxes</t>
  </si>
  <si>
    <t>Property-Related FERC Costs</t>
  </si>
  <si>
    <t>WP_14-ADIT 2, L. 106, Col 2 and WP_14-ADIT 3, L. 113</t>
  </si>
  <si>
    <t>ITC FAS 109 Deferred Taxes</t>
  </si>
  <si>
    <t>WP_14-ADIT 2, L. 107, Col 2</t>
  </si>
  <si>
    <t>Property Tax Timing Differences</t>
  </si>
  <si>
    <t>WP_14-ADIT 2, L. 108, Col 2</t>
  </si>
  <si>
    <t>WP_14-ADIT 2, L. 109, Col 2</t>
  </si>
  <si>
    <t>Total Account 190</t>
  </si>
  <si>
    <t>Allocation Factors (Plant and Wages)</t>
  </si>
  <si>
    <t>24-Allocators, L. 119, 112</t>
  </si>
  <si>
    <t>Total Account 190 ADIT</t>
  </si>
  <si>
    <t>(Sum of amounts in Columns 4 to 6)</t>
  </si>
  <si>
    <t>FERC Form 1 Account 190</t>
  </si>
  <si>
    <t>FF1 234, L. 18, col c</t>
  </si>
  <si>
    <t>3) Account 282 Detail</t>
  </si>
  <si>
    <t>Total Company</t>
  </si>
  <si>
    <t>Total Company Labor</t>
  </si>
  <si>
    <t>ACCT 282</t>
  </si>
  <si>
    <t xml:space="preserve">Fully Normalized Deferred Tax </t>
  </si>
  <si>
    <t>WP_14-ADIT 4, L. 103, Col 2</t>
  </si>
  <si>
    <t>Property/Non-ISO</t>
  </si>
  <si>
    <t>Property-Related CPUC Costs</t>
  </si>
  <si>
    <t xml:space="preserve">Common Plant </t>
  </si>
  <si>
    <t>Property-Related Costs</t>
  </si>
  <si>
    <t>WP_14-ADIT 4, L. 117, Col 2</t>
  </si>
  <si>
    <t>Total Account 282</t>
  </si>
  <si>
    <t>24-Allocators, L. 122, 116, 113</t>
  </si>
  <si>
    <t>Total Account 282 ADIT</t>
  </si>
  <si>
    <t>FERC Form 1 Account 282</t>
  </si>
  <si>
    <t>FF1 275, L. 9, col k</t>
  </si>
  <si>
    <t>Not Used</t>
  </si>
  <si>
    <t>4) Account 283 Detail</t>
  </si>
  <si>
    <t>ACCT 283</t>
  </si>
  <si>
    <t>Loss on Reaquired Debt</t>
  </si>
  <si>
    <t>FF1 277, L. 3 + L. 11, col k</t>
  </si>
  <si>
    <t>Balancing Accounts</t>
  </si>
  <si>
    <t>Relates Entirely to CPUC Balancing Account Recovery</t>
  </si>
  <si>
    <t>FF1 277, L. 4 + L. 12, col k</t>
  </si>
  <si>
    <t>FF1 277, L. 5 + L. 14 + L.18, col k</t>
  </si>
  <si>
    <t>Total Account 283</t>
  </si>
  <si>
    <t>24-Allocators, Lines 116, 113</t>
  </si>
  <si>
    <t>Total Account 283 ADIT</t>
  </si>
  <si>
    <t>FERC Form 1 Account 283</t>
  </si>
  <si>
    <t>FF1 277, L. 19, col k</t>
  </si>
  <si>
    <t>5) Account 255 Detail</t>
  </si>
  <si>
    <t>ACCT 255</t>
  </si>
  <si>
    <t>Investment Tax Credits</t>
  </si>
  <si>
    <t>WP_14-ADIT 7, L. 100, Col 6</t>
  </si>
  <si>
    <t>Investment Tax Credits - Common</t>
  </si>
  <si>
    <t>WP_14-ADIT 7, L. 101 , col 6</t>
  </si>
  <si>
    <t>Investment Tax Credits -Other</t>
  </si>
  <si>
    <t>Total Electric 255</t>
  </si>
  <si>
    <t>Total Account 255 ADIT</t>
  </si>
  <si>
    <t>FERC Form 1 Account 255</t>
  </si>
  <si>
    <t>FF1 267, L. 8 + L. 13, col h</t>
  </si>
  <si>
    <t>6) Tax Normalization Calculation Pursuant to Treas. Reg §1.167(l)-1(h)(6); PLR 9313008; 9202029; 922404; 201717008</t>
  </si>
  <si>
    <t>See Note 1</t>
  </si>
  <si>
    <t>See Note 2</t>
  </si>
  <si>
    <t>Col 5 / Tot. Days</t>
  </si>
  <si>
    <t>= Col 2 * Col 6</t>
  </si>
  <si>
    <t>Prior Month Col 8 + Col 7</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</si>
  <si>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</si>
  <si>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</si>
  <si>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</si>
  <si>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</si>
  <si>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</si>
  <si>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</si>
  <si>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</si>
  <si>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</si>
  <si>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</si>
  <si>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</si>
  <si>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</si>
  <si>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</si>
  <si>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</si>
  <si>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</si>
  <si>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Beginning Deferred Tax Balance (Line 105, Col. 2)</t>
  </si>
  <si>
    <t>Weighted Average ADIT Balance:</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</si>
  <si>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</si>
  <si>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</si>
  <si>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</si>
  <si>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</si>
  <si>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1-BaseTRR, Line 405</t>
  </si>
  <si>
    <t>Book Deprec</t>
  </si>
  <si>
    <t>Tax Deprec</t>
  </si>
  <si>
    <t>ADIT projected</t>
  </si>
  <si>
    <t>Amortization of Excess ADIT</t>
  </si>
  <si>
    <t>Adjusted ADIT Projected</t>
  </si>
  <si>
    <t>9-PlantAdditions Col 1, Lines 100-111</t>
  </si>
  <si>
    <t>Col 2 * 12-DepRates, Col 9, Line 110/12 * Remaining Months</t>
  </si>
  <si>
    <t>Col 2 * Col 1, Line 729</t>
  </si>
  <si>
    <t>Col 3 - Col 4 * 1-BaseTRR Line 402</t>
  </si>
  <si>
    <t>1-BaseTRR, Line 405/12</t>
  </si>
  <si>
    <t>Col 6 + Col 7</t>
  </si>
  <si>
    <t>Col 6, Lines 600-612</t>
  </si>
  <si>
    <t>Col 8 * Col 9</t>
  </si>
  <si>
    <t>Prior Month Col 11 + Col 10</t>
  </si>
  <si>
    <t>Sub-total Additions</t>
  </si>
  <si>
    <t>Filing Year &amp; Rate Year Plt Adds Book Deprec Rate Year</t>
  </si>
  <si>
    <t>Rate Year Plt Adds Rate Year Tax Deprec</t>
  </si>
  <si>
    <t>Filing Year Plt Adds Rate Year Tax Deprec</t>
  </si>
  <si>
    <t>Prorata Percentages</t>
  </si>
  <si>
    <t>Monthly ADIT</t>
  </si>
  <si>
    <t>Accumulated ADIT</t>
  </si>
  <si>
    <t>Rate Year Plant Additions</t>
  </si>
  <si>
    <t>9-PlantAdditions Col 1, Lines 112-123</t>
  </si>
  <si>
    <t>((Col 2, Line 712/12)*12-DepRates, Col 9, Line 110) + ((Col 2*12-DepRates, Col 9, Line 110/)12 * Remaining Months)</t>
  </si>
  <si>
    <t>Col 2, Line 712 * Col 1, Line 730/12</t>
  </si>
  <si>
    <t>Col 3 - Col 4 - Col 5 * 1-BaseTRR Line 402</t>
  </si>
  <si>
    <t>Total Additions</t>
  </si>
  <si>
    <t>Impact of ADIT on Forecasted Plant Additions Plus Amortization of Excess ADIT</t>
  </si>
  <si>
    <t>Table 1 - MACRS 15-Yr Prop</t>
  </si>
  <si>
    <t>1) The monthly deferred tax amounts are equal to the ending ADIT balance minus the beginning ADIT balance, divided by 12 months.</t>
  </si>
  <si>
    <t>2) For January through December = previous month balance plus amount in col 2.</t>
  </si>
  <si>
    <t>3) Formula for Line 728 (Line 727 x 1-BaseTRR L. 220) x (1-BaseTRR L. 402/(1 - 1-BaseTRR L. 402))+(Line 727 x 1-BaseTRR L 216)</t>
  </si>
  <si>
    <t>Beginning of Year Balances</t>
  </si>
  <si>
    <t>Outstanding Network Upgrade Credits Recorded in FERC Acct 252</t>
  </si>
  <si>
    <t>WP_15-NUC 1, L. 100, col 10</t>
  </si>
  <si>
    <t>FERC Acct 252 Other</t>
  </si>
  <si>
    <t>Total Acct 252 - Customer Advances for Construction</t>
  </si>
  <si>
    <t>FF1 113, L. 56, col d</t>
  </si>
  <si>
    <t>End of Year Balances</t>
  </si>
  <si>
    <t>Outstanding Network Upgrade Credits</t>
  </si>
  <si>
    <t>WP_15-NUC 2, L. 100, col 10</t>
  </si>
  <si>
    <t>FERC Acct 252 - Other</t>
  </si>
  <si>
    <t>FF1 113, L. 56, col c</t>
  </si>
  <si>
    <t>Interest on Network Upgrade Credits Recorded in FERC Acct 431</t>
  </si>
  <si>
    <t>WP_15-NUC 2, L. 101, col 7</t>
  </si>
  <si>
    <t>FERC Acct 431 - Other</t>
  </si>
  <si>
    <t>Total Acct 431 - Other Interest Expense</t>
  </si>
  <si>
    <t>FF1 117, L. 68, col c</t>
  </si>
  <si>
    <t xml:space="preserve">Average of EOY and BOY </t>
  </si>
  <si>
    <t>1)  Summary of Unfunded Reserves Average Balances</t>
  </si>
  <si>
    <t>Sum of BOY/EOY Averages</t>
  </si>
  <si>
    <t>Sum Lines 205, 303, 401, 503, 603</t>
  </si>
  <si>
    <t>Sum of EOY Values</t>
  </si>
  <si>
    <t>Sum col 2, Lines 204, 302, 400, 502, 602</t>
  </si>
  <si>
    <t>2)  Calculation of Allocated Accrued Vacation</t>
  </si>
  <si>
    <t>Beginning of year (BOY)</t>
  </si>
  <si>
    <t>End of Year (EOY)</t>
  </si>
  <si>
    <t>Total Company Accrued Vacation Liability</t>
  </si>
  <si>
    <t>Less:  Permanent Accounting Adjustment</t>
  </si>
  <si>
    <t>Net Accrued Vacation</t>
  </si>
  <si>
    <t>Labor Allocation Factor</t>
  </si>
  <si>
    <t>Allocated Accrued Vacation</t>
  </si>
  <si>
    <t>BOY/EOY Average:</t>
  </si>
  <si>
    <t>3)  Calculation of Allocated Preferred Stock Dividends Payable</t>
  </si>
  <si>
    <t>Beginning of year</t>
  </si>
  <si>
    <t>Dividends Declared-Preferred Stock (Acct. 437)</t>
  </si>
  <si>
    <t>Electric Plant over Total Plant</t>
  </si>
  <si>
    <t>Allocated Preferred Stock Dividends Payable</t>
  </si>
  <si>
    <t>4)  Calculation of Transition Cost</t>
  </si>
  <si>
    <t>Transition Cost</t>
  </si>
  <si>
    <t>see Note 4</t>
  </si>
  <si>
    <t>5)  Calculation of Injuries and Damages</t>
  </si>
  <si>
    <t>WP_16-UnfundedReserves, L. 101 and L. 105, See Note 5</t>
  </si>
  <si>
    <t>Liability Insurance Allocation Factor</t>
  </si>
  <si>
    <t>Allocated Injuries and Damages</t>
  </si>
  <si>
    <t>6)  Calculation of Severances</t>
  </si>
  <si>
    <t>Severance</t>
  </si>
  <si>
    <t>WP_16-UnfundedReserves, L. 201 and L. 205, See Note 5</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</si>
  <si>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</si>
  <si>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</si>
  <si>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</si>
  <si>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</si>
  <si>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</si>
  <si>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t>Other Regulatory Assets and Liabilities are a component of Rate Base representing costs that have been</t>
  </si>
  <si>
    <t>deferred to a future period and recorded in Other Regulatory Assets (Account 182.3) and Regulatory Liabilities</t>
  </si>
  <si>
    <t>(Account 254).  This Schedule does not include Abandoned Plant costs recovered through Schedule 8.</t>
  </si>
  <si>
    <t xml:space="preserve">PG&amp;E will include a non-zero amount of Other Regulatory Assets and Liabilities only with Commission </t>
  </si>
  <si>
    <t>approval received subsequent to a PG&amp;E Section 205 filing requesting such treatment.</t>
  </si>
  <si>
    <t xml:space="preserve">Amortization and Regulatory Debits and Credits are costs of revenues that are approved for recovery from or </t>
  </si>
  <si>
    <t>return to customers in this formula transmission rate.  Approved costs are amortized as expenses or revenue</t>
  </si>
  <si>
    <t xml:space="preserve">in the Base TRR, consistent with a Commission Order.  </t>
  </si>
  <si>
    <t>1) Calculation of Regulatory Assets and Liabilities and Amortization of Debits and Credits</t>
  </si>
  <si>
    <t>1) Upon Commission approval of recovery of Other Regulatory Assets and Liabilities, Amortization and</t>
  </si>
  <si>
    <t>Regulatory Debits and Credits costs through this formula transmission rate:</t>
  </si>
  <si>
    <t>a) Fill in Description for issue in above table.</t>
  </si>
  <si>
    <t>b) Enter costs in columns 1-3 in above table for the applicable Prior Year.</t>
  </si>
  <si>
    <t>2) Insert additional lines as necessary for additional issues.</t>
  </si>
  <si>
    <t>Calculation or Source</t>
  </si>
  <si>
    <t>Other Regulatory Assets and Liabilities (EOY):</t>
  </si>
  <si>
    <t>Line 103, col 2</t>
  </si>
  <si>
    <t>Other Regulatory Assets and Liabilities (BOY/EOY average):</t>
  </si>
  <si>
    <t>Avg. of Line 103 col 1 and col 2</t>
  </si>
  <si>
    <t>Amortization and Regulatory Debits and Credits:</t>
  </si>
  <si>
    <t>Line 103, col 3</t>
  </si>
  <si>
    <t>col 1</t>
  </si>
  <si>
    <t>col 2</t>
  </si>
  <si>
    <t>col 3</t>
  </si>
  <si>
    <t>Description of Issue</t>
  </si>
  <si>
    <t>BOY</t>
  </si>
  <si>
    <t>Amortization or</t>
  </si>
  <si>
    <t xml:space="preserve">  Commission Order</t>
  </si>
  <si>
    <t>Resulting in Other Regulatory</t>
  </si>
  <si>
    <t>Other Reg</t>
  </si>
  <si>
    <t>Regulatory</t>
  </si>
  <si>
    <t xml:space="preserve"> Granting Approval of </t>
  </si>
  <si>
    <t>Asset/Liability</t>
  </si>
  <si>
    <t>Debit/Credit</t>
  </si>
  <si>
    <t xml:space="preserve">  Regulatory Liability</t>
  </si>
  <si>
    <t>Sum of below</t>
  </si>
  <si>
    <t>Issue #1</t>
  </si>
  <si>
    <t>Issue #2</t>
  </si>
  <si>
    <t>Issue #3</t>
  </si>
  <si>
    <t>2) Unamortized Excess ADIT and Tax Normalization Calculation Pursuant to Treas. Reg §1.167(l)-1(h)(6); PLR 9313008; 9202029; 922404; 201717008</t>
  </si>
  <si>
    <t>Value</t>
  </si>
  <si>
    <t>BOY Unamortized Excess Federal Accumulated Deferred Income Taxes</t>
  </si>
  <si>
    <t>17-RegAssets-2, L. 110, Col 17 (zero in 2017 only)</t>
  </si>
  <si>
    <t>EOY Unamortized Excess Federal Accumulated Deferred Income Taxes</t>
  </si>
  <si>
    <t>17-RegAssets-2, L. 110, Col 24</t>
  </si>
  <si>
    <t>Weighted Average ADIT Balance</t>
  </si>
  <si>
    <t>Line 217, Col 8</t>
  </si>
  <si>
    <t>Beginning Deferred Tax Balance (Line 200)</t>
  </si>
  <si>
    <t>Note 1: The monthly deferred tax amounts are equal to the ending ADIT balance minus the beginning ADIT balance, divided by 12 months.</t>
  </si>
  <si>
    <t>Note 2: For January through December = previous month balance plus amount in col 2.</t>
  </si>
  <si>
    <t>Order 864 Permanent Worksheet(s) Category 1 Information</t>
  </si>
  <si>
    <t>Category 2 Information</t>
  </si>
  <si>
    <t>Category 3 Information</t>
  </si>
  <si>
    <t>Category 5 Information</t>
  </si>
  <si>
    <t>Category 4 Information</t>
  </si>
  <si>
    <t>Col 15</t>
  </si>
  <si>
    <t>Col 16</t>
  </si>
  <si>
    <t>Col 17</t>
  </si>
  <si>
    <t>Col 18</t>
  </si>
  <si>
    <t>Col 19</t>
  </si>
  <si>
    <t>Col 20</t>
  </si>
  <si>
    <t>Col 21</t>
  </si>
  <si>
    <t>Col 22</t>
  </si>
  <si>
    <t>Col 23</t>
  </si>
  <si>
    <t>Col 24</t>
  </si>
  <si>
    <t>Col 1 - Col 2</t>
  </si>
  <si>
    <t>Sum Col 5 to Col 7</t>
  </si>
  <si>
    <t>PRIOR PERIOD AMORTIZATION OF EXCESS FEDERAL ACCUMULATED DEFERRED INCOME TAXES</t>
  </si>
  <si>
    <t>Col 5 - Col 10</t>
  </si>
  <si>
    <t>Col 6 - Col 11</t>
  </si>
  <si>
    <t>Col 7 - Col 12</t>
  </si>
  <si>
    <t>Sum Col 14 to Col 16</t>
  </si>
  <si>
    <t>CURRENT PERIOD AMORTIZATION OF EXCESS FEDERAL ACCUMULATED DEFERRED INCOME TAXES</t>
  </si>
  <si>
    <t>Col 14 - Col 18</t>
  </si>
  <si>
    <t>Col 15 - Col 19</t>
  </si>
  <si>
    <t>Col 16 - Col 20</t>
  </si>
  <si>
    <t>Sum Col 21 to Col 23</t>
  </si>
  <si>
    <t xml:space="preserve">ADIT Balance </t>
  </si>
  <si>
    <t>Remeasurement</t>
  </si>
  <si>
    <t>(Excess)/Deficient</t>
  </si>
  <si>
    <t>UNAMORTIZED EXCESS FEDERAL ACCUMULATED DEFERRED INCOME TAXES</t>
  </si>
  <si>
    <t>UNAMORTIZED EXCESS FEDERAL ACCUMULATED DEFERRED INCOME TAXES - BEGINNING BALANCE</t>
  </si>
  <si>
    <t>UNAMORTIZED EXCESS FEDERAL ACCUMULATED DEFERRED INCOME TAXES - ENDING BALANCE</t>
  </si>
  <si>
    <t>Prior to TCJA</t>
  </si>
  <si>
    <t>ADIT Balance</t>
  </si>
  <si>
    <t>Beg Bal</t>
  </si>
  <si>
    <t>Expense</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</si>
  <si>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</si>
  <si>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</si>
  <si>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</si>
  <si>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</si>
  <si>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</si>
  <si>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</si>
  <si>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</si>
  <si>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</si>
  <si>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</si>
  <si>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</si>
  <si>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</si>
  <si>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</si>
  <si>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</si>
  <si>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ARAM/ARL/Years</t>
  </si>
  <si>
    <t>Acct 410.1 / Acct 411.1</t>
  </si>
  <si>
    <t>Method Life</t>
  </si>
  <si>
    <t>ARAM</t>
  </si>
  <si>
    <t>Fixed Assets Book Tax Basis Differences</t>
  </si>
  <si>
    <t>130 Months and/or ARAM</t>
  </si>
  <si>
    <t>Non Fixed Assets Book Tax Basis Differences</t>
  </si>
  <si>
    <t>1 Year</t>
  </si>
  <si>
    <t>Non Fixed Asset Book Tax Differences</t>
  </si>
  <si>
    <t>Net Operating Loss Carryover</t>
  </si>
  <si>
    <t>Adjustments to December 31, 2017 Amounts</t>
  </si>
  <si>
    <t>Adjustment for Repairs Off-System</t>
  </si>
  <si>
    <t>Total Including Adjustments</t>
  </si>
  <si>
    <t>Details of ADIT</t>
  </si>
  <si>
    <t xml:space="preserve">  Total Method Life</t>
  </si>
  <si>
    <t>FERC CA Method/Life</t>
  </si>
  <si>
    <t>Includes Cost of Removal</t>
  </si>
  <si>
    <t>FERC Fed Method/Life</t>
  </si>
  <si>
    <t>FERC St Off Method/Life</t>
  </si>
  <si>
    <t>Total Cost of Removal</t>
  </si>
  <si>
    <t xml:space="preserve">  Cost of Removal</t>
  </si>
  <si>
    <t>TBD</t>
  </si>
  <si>
    <t>Total Fixed Assets Book Tax Basis Differences</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</si>
  <si>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</si>
  <si>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</si>
  <si>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</si>
  <si>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</si>
  <si>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</si>
  <si>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</si>
  <si>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</si>
  <si>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</si>
  <si>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</si>
  <si>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</si>
  <si>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</si>
  <si>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</si>
  <si>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</si>
  <si>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</si>
  <si>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</si>
  <si>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</si>
  <si>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</si>
  <si>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</si>
  <si>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</si>
  <si>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</si>
  <si>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</si>
  <si>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</si>
  <si>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</si>
  <si>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</si>
  <si>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</si>
  <si>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</si>
  <si>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</si>
  <si>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</si>
  <si>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</si>
  <si>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</si>
  <si>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</si>
  <si>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</si>
  <si>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</si>
  <si>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</si>
  <si>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</si>
  <si>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</si>
  <si>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</si>
  <si>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</si>
  <si>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</si>
  <si>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</si>
  <si>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</si>
  <si>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</si>
  <si>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</si>
  <si>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</si>
  <si>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</si>
  <si>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</si>
  <si>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</si>
  <si>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</si>
  <si>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</si>
  <si>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</si>
  <si>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</si>
  <si>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</si>
  <si>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</si>
  <si>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</si>
  <si>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</si>
  <si>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Total Non Fixed Assets Book Tax Basis Differences</t>
  </si>
  <si>
    <t>Vacation Pay Timing Differences</t>
  </si>
  <si>
    <t>502a</t>
  </si>
  <si>
    <t>Property Tax - Correction of 2017 FERC Form 1 Error</t>
  </si>
  <si>
    <t>FERC Fed AFUDC Debt</t>
  </si>
  <si>
    <t>FERC Fed FAS34 Cap Int</t>
  </si>
  <si>
    <t>FERC Fed Sec 263a Cap Int</t>
  </si>
  <si>
    <t>FERC St Off AFUDC Debt</t>
  </si>
  <si>
    <t>FERC St Off FAS34 Cap Int</t>
  </si>
  <si>
    <t>FERC St Off Sec 263a Cap Int</t>
  </si>
  <si>
    <t>Total Non Fixed Asset Book Tax Differences</t>
  </si>
  <si>
    <t xml:space="preserve">   Net Operating Loss Deferred Taxes</t>
  </si>
  <si>
    <t>FERC Fed 2017 481a Adj</t>
  </si>
  <si>
    <t>FERC Fed 2017 481a Bon Add Back</t>
  </si>
  <si>
    <t>FERC Fed St Off 2017 481a Adj CA</t>
  </si>
  <si>
    <t>Network Transmission O&amp;M Expense (Line 100, Col 15)</t>
  </si>
  <si>
    <t>Col 3 + Col 4, Note 2</t>
  </si>
  <si>
    <t>Note 1, Note 4</t>
  </si>
  <si>
    <t>Col 3 + Col 6</t>
  </si>
  <si>
    <t>Col 4 + Col 7</t>
  </si>
  <si>
    <t>Col 9 + Col 10</t>
  </si>
  <si>
    <t>Col 9 * Col 12</t>
  </si>
  <si>
    <t>Col 10 * Col 12</t>
  </si>
  <si>
    <t>Col 13 + Col 14</t>
  </si>
  <si>
    <t>FERC Account Description</t>
  </si>
  <si>
    <t xml:space="preserve">FF1 Recorded O&amp;M Expense
 FF1 321, L. 112, col b </t>
  </si>
  <si>
    <t>Recorded Adjusted O&amp;M Expense</t>
  </si>
  <si>
    <t>Network Transmission %</t>
  </si>
  <si>
    <t>Network Transmission O&amp;M Expense</t>
  </si>
  <si>
    <t>Labor</t>
  </si>
  <si>
    <t>Non-Labor</t>
  </si>
  <si>
    <t>Total Transmission O&amp;M</t>
  </si>
  <si>
    <t>Operation Supervision and Engineering</t>
  </si>
  <si>
    <t>Load Dispatch - Reliability</t>
  </si>
  <si>
    <t>Load Dispatch - Monitor and Operate Transmission System</t>
  </si>
  <si>
    <t>Load Dispatch - Transmission Service and Scheduling</t>
  </si>
  <si>
    <t>Scheduling, System Control and Dispatch Services (CAISO GMC)</t>
  </si>
  <si>
    <t>Reliability Planning and Standards Development</t>
  </si>
  <si>
    <t>Transmission Service Studies</t>
  </si>
  <si>
    <t>Generation Interconnection Studies</t>
  </si>
  <si>
    <t>Reliability Planning and Standards Development Services (CAISO GMC)</t>
  </si>
  <si>
    <t>Station Expenses</t>
  </si>
  <si>
    <t>Operation of Energy Storage Equipment</t>
  </si>
  <si>
    <t>Overhead Line Expenses</t>
  </si>
  <si>
    <t>Underground Line Expenses</t>
  </si>
  <si>
    <t>Transmission of Electricity by Others</t>
  </si>
  <si>
    <t>Miscellaneous Transmission Expenses</t>
  </si>
  <si>
    <t>Rents</t>
  </si>
  <si>
    <t>Maintenance Supervision and Engineering</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</si>
  <si>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</si>
  <si>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</si>
  <si>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</si>
  <si>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</si>
  <si>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</si>
  <si>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</si>
  <si>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Energy Storage Equipment</t>
  </si>
  <si>
    <t>Maintenance of Overhead Lines</t>
  </si>
  <si>
    <t>Maintenance of Underground Lines</t>
  </si>
  <si>
    <t>Maintenance of Miscellaneous Transmission Plant</t>
  </si>
  <si>
    <t>1) Data are extracted from SAP for all costs (broken down into labor and non-labor components) in the Prior Year that are recorded in electric transmission operations and maintenance expense accounts.</t>
  </si>
  <si>
    <t xml:space="preserve">2) The Total FF1 Recorded O&amp;M Expense is the sum of Labor and Non-labor FF1 Recorded O&amp;M Expense (obtained as explained in Note 1) and tie to the amounts provided in FF1 321, L. 112, col b.  </t>
  </si>
  <si>
    <t xml:space="preserve">3) All Accounts other than 565 are allocated using the Network Transmission % in Schedule 24-Allocators, L. 122. All expenses in Account 565 are related to transmission service on High Voltage transmission facilities and are, therefore, 100% network transmission. </t>
  </si>
  <si>
    <t>4) See WP_18-OandM for adjustment details.</t>
  </si>
  <si>
    <t>Prior Year:  2020</t>
  </si>
  <si>
    <t>Input Cells are shaded in gold</t>
  </si>
  <si>
    <t>1)  Calculation of Total Company Adjusted A&amp;G Expense</t>
  </si>
  <si>
    <t>Col 5 = Col 1+Col 3</t>
  </si>
  <si>
    <t>Col 7 = Col 5 - Col 6</t>
  </si>
  <si>
    <t>See Note 11</t>
  </si>
  <si>
    <t>Data</t>
  </si>
  <si>
    <t>FERC Form 2</t>
  </si>
  <si>
    <t xml:space="preserve">Total Company </t>
  </si>
  <si>
    <t>Total Company Adj</t>
  </si>
  <si>
    <t>Acct.</t>
  </si>
  <si>
    <t>Amount Excluded</t>
  </si>
  <si>
    <t>A&amp;G Salaries</t>
  </si>
  <si>
    <t>FF1 323, L. 181, col b</t>
  </si>
  <si>
    <t>FF2 325, L. 254, col b</t>
  </si>
  <si>
    <t>WP_19-AandG 1, L. 106</t>
  </si>
  <si>
    <t>Office Supplies and Expenses</t>
  </si>
  <si>
    <t>FF1 323, L. 182, col b</t>
  </si>
  <si>
    <t>FF2 325, L. 255, col b</t>
  </si>
  <si>
    <t>WP_19-AandG 1, L. 206</t>
  </si>
  <si>
    <t>A&amp;G Expenses Transferred</t>
  </si>
  <si>
    <t>FF1 323, L. 183, col b</t>
  </si>
  <si>
    <t>FF2 325, L. 256, col b</t>
  </si>
  <si>
    <t>WP_19-AandG 1, L. 306</t>
  </si>
  <si>
    <t>Outside Services Employed</t>
  </si>
  <si>
    <t>FF1 323, L. 184, col b</t>
  </si>
  <si>
    <t>FF2 325, L. 257, col b</t>
  </si>
  <si>
    <t>WP_19-AandG 1, L. 406</t>
  </si>
  <si>
    <t>FF1 323, L. 185, col b</t>
  </si>
  <si>
    <t>FF2 325, L. 258, col b</t>
  </si>
  <si>
    <t>WP_19-AandG 1, L. 506</t>
  </si>
  <si>
    <t>FF1 323, L. 186, col b</t>
  </si>
  <si>
    <t>FF2 325, L. 259, col b</t>
  </si>
  <si>
    <t>WP_19-AandG 1, L. 606</t>
  </si>
  <si>
    <t>Employee Pensions and Benefits</t>
  </si>
  <si>
    <t>FF1 323, L. 187, col b</t>
  </si>
  <si>
    <t>FF2 325, L. 260, col b</t>
  </si>
  <si>
    <t>WP_19-AandG 1, L. 706</t>
  </si>
  <si>
    <t>Franchise Requirements</t>
  </si>
  <si>
    <t>FF1 323, L. 188, col b</t>
  </si>
  <si>
    <t>FF2 325, L. 261, col b</t>
  </si>
  <si>
    <t>WP_19-AandG 1, L. 806</t>
  </si>
  <si>
    <t>Regulatory Commission Expenses</t>
  </si>
  <si>
    <t>FF1 323, L. 189, col b</t>
  </si>
  <si>
    <t>FF2 325, L. 262, col b</t>
  </si>
  <si>
    <t>Duplicate Charges</t>
  </si>
  <si>
    <t>FF1 323, L. 190, col b</t>
  </si>
  <si>
    <t>FF2 325, L. 263, col b</t>
  </si>
  <si>
    <t>General Advertising Expense</t>
  </si>
  <si>
    <t>FF1 323, L. 191, col b</t>
  </si>
  <si>
    <t>FF2 325, L. 264, col b</t>
  </si>
  <si>
    <t>WP_19-AandG 1, L. 906</t>
  </si>
  <si>
    <t>Miscellaneous General Expense</t>
  </si>
  <si>
    <t>FF1 323, L. 192, col b</t>
  </si>
  <si>
    <t>FF2 325, L. 265, col b</t>
  </si>
  <si>
    <t>FF1 323, L. 193, col b</t>
  </si>
  <si>
    <t>FF2 325, L. 266, col b</t>
  </si>
  <si>
    <t>Maintenance of General Plant</t>
  </si>
  <si>
    <t>FF1 323, L. 196, col b</t>
  </si>
  <si>
    <t>FF2 325, L. 269, col b</t>
  </si>
  <si>
    <t>WP_19-AandG 1, L. 1006</t>
  </si>
  <si>
    <t>Total A&amp;G Expenses:</t>
  </si>
  <si>
    <t>FF1 323, L. 197, col b</t>
  </si>
  <si>
    <t>FF2 325, L. 270, col b</t>
  </si>
  <si>
    <t>2)  Calculation of Network Transmission A&amp;G Expense</t>
  </si>
  <si>
    <t>Based on Labor Factors</t>
  </si>
  <si>
    <t>A&amp;G Expense after Adjustments</t>
  </si>
  <si>
    <t>Line 118, col 7</t>
  </si>
  <si>
    <t>Less Account  924 Property Insurance nonnuclear:</t>
  </si>
  <si>
    <t>Line 108, col 7</t>
  </si>
  <si>
    <t>Less General Liability, Third Party Claims and Litigation Settlements and Judgements</t>
  </si>
  <si>
    <t>WP_19-AandG 2, L. 102</t>
  </si>
  <si>
    <t>Total A&amp;G Expense Applicable to the O&amp;M Labor Allocation Factor:</t>
  </si>
  <si>
    <t>Line 202 - (Line 203 - Line 206)</t>
  </si>
  <si>
    <t>Electric O&amp;M Labor Allocation Factor:</t>
  </si>
  <si>
    <t>24-Allocators, L. 109</t>
  </si>
  <si>
    <t>Total Electric Portion of A&amp;G From Labor</t>
  </si>
  <si>
    <t>Transmission as a Percent of Electric O&amp;M Labor Allocation Factor:</t>
  </si>
  <si>
    <t>Transmission Portion of A&amp;G from Labor Allocation Factors:</t>
  </si>
  <si>
    <t>Based on Yearend Plant</t>
  </si>
  <si>
    <t>Network Transmission Plant Allocation Factor as a percent of Total Electric Plant:</t>
  </si>
  <si>
    <t>24-Allocators, L. 116</t>
  </si>
  <si>
    <t>Account 924 Property Insurance nonnuclear:</t>
  </si>
  <si>
    <t>Line 203</t>
  </si>
  <si>
    <t>Transmission Portion of Property Insurance Account 924</t>
  </si>
  <si>
    <t>Line 213 * Line 214</t>
  </si>
  <si>
    <t>Based on Blended Labor and Plant Factor</t>
  </si>
  <si>
    <t>General Liability Accrued Insurance and Paid Injuries and Damages:</t>
  </si>
  <si>
    <t>Line 204</t>
  </si>
  <si>
    <t>Factor using the combined O&amp;M Labor and Plant Factor:</t>
  </si>
  <si>
    <t>24-Allocators, L. 135</t>
  </si>
  <si>
    <t>Transmission Portion of General Liability Insurance and Injuries and Damages:</t>
  </si>
  <si>
    <t>Line 217 * Line 218</t>
  </si>
  <si>
    <t>Total Transmission Portion of Administrative and General Expenses:</t>
  </si>
  <si>
    <t>Line 209 + Line 213 + Line 217</t>
  </si>
  <si>
    <t>STIP Adjustment pursuant to TO20 Settlement Agreement (Docket No. ER19-13-000)</t>
  </si>
  <si>
    <t>WP_19-AandG 3, L. 220</t>
  </si>
  <si>
    <t>Line 221 + Line 222</t>
  </si>
  <si>
    <t>3)  Summary of Total Company Adjustments</t>
  </si>
  <si>
    <t xml:space="preserve">Total by FERC Account </t>
  </si>
  <si>
    <t>STIP</t>
  </si>
  <si>
    <t>Officer Compensation</t>
  </si>
  <si>
    <t>Accrual to Cash Basis</t>
  </si>
  <si>
    <t>Not Seeking Recovery</t>
  </si>
  <si>
    <t>Non A&amp;G Costs and Other</t>
  </si>
  <si>
    <t>NP&amp;S</t>
  </si>
  <si>
    <t>Allocations on Adjustments</t>
  </si>
  <si>
    <t>Allocation Factor Adjustments to FERC Form 1</t>
  </si>
  <si>
    <t>Total by Adjustment Type</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</si>
  <si>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</si>
  <si>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</si>
  <si>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</si>
  <si>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</si>
  <si>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</si>
  <si>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</si>
  <si>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</si>
  <si>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</si>
  <si>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Remove capital and below-the-line adjustments as appropriate associated with regulatory adjustments described in Notes 3 through 8.</t>
  </si>
  <si>
    <t>Total by FERC account</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</si>
  <si>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</si>
  <si>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Adjustments on the FERC Form 1 to reflect the End of Year Plant allocation factor for Non-Nuclear property insurance and Blended Labor and Plant allocation factor for non-nuclear liability insurance, third party claims and litigation settlements and judgements.</t>
  </si>
  <si>
    <t>1) Insert additional lines as necessary for additional items.</t>
  </si>
  <si>
    <t>Col 5 + Col 6</t>
  </si>
  <si>
    <t>FERC ACCT</t>
  </si>
  <si>
    <t>NATURAL ACCT</t>
  </si>
  <si>
    <t>ACCT DESCRIPTION</t>
  </si>
  <si>
    <t xml:space="preserve">Total Electric </t>
  </si>
  <si>
    <t>Network ET - High Voltage</t>
  </si>
  <si>
    <t>Network ET - Low Voltage</t>
  </si>
  <si>
    <t>Total Network ET</t>
  </si>
  <si>
    <t xml:space="preserve">NP&amp;S Transmission </t>
  </si>
  <si>
    <t>Sum Lines 201, 301, 401, 501, 601</t>
  </si>
  <si>
    <t>Forfeited Discounts</t>
  </si>
  <si>
    <t>FF1 300, L. 16, col b</t>
  </si>
  <si>
    <t>Acct 450 Total</t>
  </si>
  <si>
    <t>Miscellaneous Service Revenues</t>
  </si>
  <si>
    <t>FF1 300, L. 17, col b</t>
  </si>
  <si>
    <t>Acct 451 Total</t>
  </si>
  <si>
    <t>NRD Revenue Other</t>
  </si>
  <si>
    <t>Miscellaneous Service Electric Customer Fund Management - RES</t>
  </si>
  <si>
    <t>Miscellaneous Service Electric Customer Fund Management Non-RES</t>
  </si>
  <si>
    <t>Miscellaneous Service Revenues - Reimbursable</t>
  </si>
  <si>
    <t>Misc Electric Service Revenue Protection</t>
  </si>
  <si>
    <t>Sales of Water and Water Power</t>
  </si>
  <si>
    <t>FF1 300, L. 18, col b</t>
  </si>
  <si>
    <t>Acct 453 Total</t>
  </si>
  <si>
    <t xml:space="preserve"> . . .</t>
  </si>
  <si>
    <t>FF1 300, L.19, col b</t>
  </si>
  <si>
    <t>Acct 454 Total</t>
  </si>
  <si>
    <t>Rent from Electric Property</t>
  </si>
  <si>
    <t>Note 2, 3</t>
  </si>
  <si>
    <t>New Revenue Development Rent</t>
  </si>
  <si>
    <t>New Revenue Development Fee Revenue</t>
  </si>
  <si>
    <t>Other Electric Revenue</t>
  </si>
  <si>
    <t>FF1 300, L. 21-22, col b</t>
  </si>
  <si>
    <t>Acct 456 Total</t>
  </si>
  <si>
    <t>Other Electric Revenues</t>
  </si>
  <si>
    <t>MCI Rights-of-Way (B)</t>
  </si>
  <si>
    <t>Recreation Facilities Revenue</t>
  </si>
  <si>
    <t>Timber Sales - Utility</t>
  </si>
  <si>
    <t>Other Revenue - Affiliate</t>
  </si>
  <si>
    <t>Revenue Damage Claims Electric</t>
  </si>
  <si>
    <t>Mobile Home Park Electric</t>
  </si>
  <si>
    <t>NEBS TCRA</t>
  </si>
  <si>
    <t>New Revenue Development - Electric Revenue</t>
  </si>
  <si>
    <t>Unbilled Electric Revenue</t>
  </si>
  <si>
    <t>Reimbursed Electric Revenue</t>
  </si>
  <si>
    <t>Note 2, 4</t>
  </si>
  <si>
    <t>Reimbursed Electric Revenue Joint Poles</t>
  </si>
  <si>
    <t>Reimbursed Electric Revenue Customer Care and Billing (CC&amp;B)</t>
  </si>
  <si>
    <t>Other Electric Revenue - Calif Department of Water &amp; Resources (DWR)</t>
  </si>
  <si>
    <t>Reimbursed Electric Revenue - CPUC</t>
  </si>
  <si>
    <t>Other Utility Operating Income</t>
  </si>
  <si>
    <t>Other Transmission Revenue - Wheeling</t>
  </si>
  <si>
    <t>Note 2, 5</t>
  </si>
  <si>
    <t>1) Immaterial reconciling difference.</t>
  </si>
  <si>
    <t>2) Run a query of col 2 (Natural Account) in SAP system to get col 4 and col 8.</t>
  </si>
  <si>
    <t>3) Run a query of rent in SAP system to get Line 502, col 5-6.</t>
  </si>
  <si>
    <t>4) Apply plant allocation factors after running a query of Natural Account in SAP system to get Line 612, col 5-6.</t>
  </si>
  <si>
    <t>5) See FF1 330, col n, Total</t>
  </si>
  <si>
    <t>Total NP&amp;S Electric Transmission Revenues and Expenses</t>
  </si>
  <si>
    <t>NP&amp;S Transmission Revenue</t>
  </si>
  <si>
    <t>20-RevenueCredits, L. 100, col 8</t>
  </si>
  <si>
    <t>NP&amp;S Transmission O&amp;M Expense</t>
  </si>
  <si>
    <t>WP-NPandS_RY2022 2, Line 200, col 3</t>
  </si>
  <si>
    <t>NP&amp;S Transmission A&amp;G Expense</t>
  </si>
  <si>
    <t>WP-NPandS_RY2022 2, Line 300, col 1</t>
  </si>
  <si>
    <t>Total NP&amp;S Transmission Expense</t>
  </si>
  <si>
    <t>Transmission Revenues and Expenses by Product Line</t>
  </si>
  <si>
    <t>Adjusted</t>
  </si>
  <si>
    <t>Product Line</t>
  </si>
  <si>
    <t>Net Revenues</t>
  </si>
  <si>
    <t>Wireline</t>
  </si>
  <si>
    <t>Wireless</t>
  </si>
  <si>
    <t>Land Use</t>
  </si>
  <si>
    <t>Technology &amp; Licenses</t>
  </si>
  <si>
    <t>Maintenance &amp; Consulting</t>
  </si>
  <si>
    <t>Calculation of Pre-tax Revenue Allocation %</t>
  </si>
  <si>
    <t>PTNR (Pre-tax net revenue)</t>
  </si>
  <si>
    <t>t = Composite state &amp; federal tax rate</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</si>
  <si>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</si>
  <si>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</si>
  <si>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</si>
  <si>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</si>
  <si>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</si>
  <si>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</si>
  <si>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</si>
  <si>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</si>
  <si>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</si>
  <si>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1) Please see WP_21-NPS 1 for Revenues by Product Line.</t>
  </si>
  <si>
    <t>2) Please see WP_21-NPS 2 for Expenses by Product Line.</t>
  </si>
  <si>
    <t>3) Product Lines with negative Net Revenues are set to zero.</t>
  </si>
  <si>
    <t>Line 101 + Line 102</t>
  </si>
  <si>
    <t>Line 200, col 4</t>
  </si>
  <si>
    <t>1 / [1 + Line 302 - (Line 302 * Line 301)]</t>
  </si>
  <si>
    <t>1 - Line 303</t>
  </si>
  <si>
    <t>Line 300 * Line 303</t>
  </si>
  <si>
    <t>Line 400 * Line 301</t>
  </si>
  <si>
    <t>Line 400 - Line 401</t>
  </si>
  <si>
    <t>Line 304 * Line 300</t>
  </si>
  <si>
    <t>1) Tax Rates for the Rate Year</t>
  </si>
  <si>
    <t>Internal Revenue Code (IRC) Section 11</t>
  </si>
  <si>
    <t>State Franchise Tax Rate (California)</t>
  </si>
  <si>
    <t>California Rev. &amp; Tax. Cd. § 23151</t>
  </si>
  <si>
    <t>Federal Secondary</t>
  </si>
  <si>
    <t>Negative Line 100 * Line 101</t>
  </si>
  <si>
    <t>Reflects the federal tax deduction for state taxes which reduces the composite income tax rate</t>
  </si>
  <si>
    <t>Composite Income Tax Rate</t>
  </si>
  <si>
    <t>Sum of Lines 100-Line 102</t>
  </si>
  <si>
    <t>2)Tax Rates for the Prior Year True-up</t>
  </si>
  <si>
    <t>1) Accumulated Deferred Income Taxes</t>
  </si>
  <si>
    <t>Values for Inputs to Sch.1-BaseTRR</t>
  </si>
  <si>
    <t>Values for Inputs to Sch.3-True-upTRR</t>
  </si>
  <si>
    <t>End of Year Accumulated Deferred Income Taxes</t>
  </si>
  <si>
    <t>WP_23-RetailSGTax 3</t>
  </si>
  <si>
    <t>Beginning of Year Accumulated Deferred Income Taxes</t>
  </si>
  <si>
    <t>Average of BOY and EOY Accumulated Deferred Income Taxes</t>
  </si>
  <si>
    <t>2) Income Taxes</t>
  </si>
  <si>
    <t>Income Taxes = [((RB * ER) + FPD) * (CTR/(1 – CTR))]  + CO/(1 – CTR)]</t>
  </si>
  <si>
    <t>3) ROE and Capitalization Calculations</t>
  </si>
  <si>
    <t>For Inputs to Sch.1-BaseTRR</t>
  </si>
  <si>
    <t>For Inputs to Sch.3-True-upTRR</t>
  </si>
  <si>
    <t>1-BaseTRR, L. 216</t>
  </si>
  <si>
    <t>1-BaseTRR, L. 218</t>
  </si>
  <si>
    <t>Total South Georgia Adjustment</t>
  </si>
  <si>
    <t>4) Tax Normalization Calculation Pursuant to Treas. Reg §1.167(l)-1(h)(6); PLR 9313008; 9202029; 922404; 201717008</t>
  </si>
  <si>
    <t>See Note 4</t>
  </si>
  <si>
    <t>See Note 5</t>
  </si>
  <si>
    <t>Col 6 / Tot. Days</t>
  </si>
  <si>
    <t>= Col 3 * Col 7</t>
  </si>
  <si>
    <t>Col 9 Prior Mth + Col 8 Current Mth</t>
  </si>
  <si>
    <t>Beginning Deferred Tax Balance (Line 101)</t>
  </si>
  <si>
    <t>Ending Balance (Line 100)</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</si>
  <si>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</si>
  <si>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</si>
  <si>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</si>
  <si>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4) The monthly deferred tax amounts are equal to the ending ADIT balance minus the beginning ADIT balance, divided by 12 months.</t>
  </si>
  <si>
    <t>5) For January through December = previous month balance plus amount in Column 2.</t>
  </si>
  <si>
    <t>Calculation of Prior Year Total Electric Department Labor Allocation Factor</t>
  </si>
  <si>
    <t>Total Company Wages and Salaries</t>
  </si>
  <si>
    <t>FF1 355, L. 65, col b</t>
  </si>
  <si>
    <t xml:space="preserve">Electric A&amp;G Wages and Salaries </t>
  </si>
  <si>
    <t>FF1 354, L. 27, col b</t>
  </si>
  <si>
    <t>Gas A&amp;G Wages and Salaries</t>
  </si>
  <si>
    <t>FF1 355, L. 61, col b</t>
  </si>
  <si>
    <t>Cost Adjustment</t>
  </si>
  <si>
    <t>WP_24-Allocators_Labor, L. 100, col 3</t>
  </si>
  <si>
    <t>Total Company Wages and Salaries w/o A&amp;G</t>
  </si>
  <si>
    <t>(Line 100 + Line 103) - (Line 101 + Line 102)</t>
  </si>
  <si>
    <t>Total Electric Department Wages and Salaries</t>
  </si>
  <si>
    <t>FF1 354, L. 28, col b</t>
  </si>
  <si>
    <t>Electric A&amp;G Wages and Salaries</t>
  </si>
  <si>
    <t>WP_24-Allocators_Labor, L. 100, col 5</t>
  </si>
  <si>
    <t>Total Adjusted Electric Wages and Salaries wo A&amp;G</t>
  </si>
  <si>
    <t>Total Electric Department Labor as a % of Total Company Labor</t>
  </si>
  <si>
    <t>Calculation of Prior Year Network Electric Transmission Labor Allocation Factors</t>
  </si>
  <si>
    <t>Network Electric Transmission Wages and Salaries</t>
  </si>
  <si>
    <t>18-OandM, L. 100, col 13</t>
  </si>
  <si>
    <t>Network Electric Transmission Labor as a % of Total Electric Allocation Factor</t>
  </si>
  <si>
    <t>Network Electric Transmission Labor as a % of Total Company Allocation Factor</t>
  </si>
  <si>
    <t>Calculation of Prior Year Transmission Plant Allocation Factor</t>
  </si>
  <si>
    <t>Network Electric Transmission Gross Plant In Service including CGI Plant</t>
  </si>
  <si>
    <t>7-PlantInService, L. 112, col 13 + 7-PlantInService, L. 701, col 1</t>
  </si>
  <si>
    <t>Prior Year Dec</t>
  </si>
  <si>
    <t>Total PG&amp;E Company Gross Plant In Service</t>
  </si>
  <si>
    <t>WP_7-PlantInService 7, L. 148, Col 10</t>
  </si>
  <si>
    <t>Network Electric Transmission Plant as a % of Total Company Plant</t>
  </si>
  <si>
    <t>Total PG&amp;E Electric Plant In Service including CGI Plant</t>
  </si>
  <si>
    <t>WP_7-PlantInService 7, L. 148, Col 8</t>
  </si>
  <si>
    <t>Network Electric Transmission Plant as a % of Total Electric Plant</t>
  </si>
  <si>
    <t>Network Electric Transmission Plant - Functional Plant only</t>
  </si>
  <si>
    <t>Total Electric Transmission  - Functional Plant only</t>
  </si>
  <si>
    <t>6-PlantJurisdiction, L. 110, col 1 + col 3</t>
  </si>
  <si>
    <t>Network Electric Transmission as a % of Total Electric Transmission</t>
  </si>
  <si>
    <t>Calculation of Prior Year High Voltage/Low Voltage Transmission Plant Allocation Factor</t>
  </si>
  <si>
    <t>7-PlantInService, L. 212, col 13</t>
  </si>
  <si>
    <t>7-PlantInService, L. 312, col 13</t>
  </si>
  <si>
    <t>Allocation Factor to High Voltage</t>
  </si>
  <si>
    <t>Allocation Factor to Low Voltage</t>
  </si>
  <si>
    <t>Calculation of Rate Year High Voltage/Low Voltage Electric Transmission Plant Allocation Factor</t>
  </si>
  <si>
    <t>High Voltage Capital Additions</t>
  </si>
  <si>
    <t>9-PlantAdditions, L. 223, col 2</t>
  </si>
  <si>
    <t>Rate Year Dec</t>
  </si>
  <si>
    <t>Low Voltage Capital Additions</t>
  </si>
  <si>
    <t>9-PlantAdditions, L. 323, col 2</t>
  </si>
  <si>
    <t>High Voltage Rate Year Functional Plant</t>
  </si>
  <si>
    <t>Low Voltage Rate Year Functional Plant</t>
  </si>
  <si>
    <t>Network Electric Transmission Rate Year Functional Plant</t>
  </si>
  <si>
    <t>Calculation of Prior Year Liability Insurance Allocation Factor</t>
  </si>
  <si>
    <t>Network Electric Transmisison as a % of Total Company Liability Insurance Allocation Factor (60% Labor/40% Plant)</t>
  </si>
  <si>
    <t>Network Electric Transmission as a % of Total Electric Liability Insurance Allocation Factor (60% Labor/40% Plant)</t>
  </si>
  <si>
    <t>Calculation of Prior Year Property Tax Allocation Factor</t>
  </si>
  <si>
    <t>Network Electric Transmission Accumulated Depreciation including CGI</t>
  </si>
  <si>
    <t>10-AccDep, L. 112, col 13 + 10-AccDep, L. 701, col 1</t>
  </si>
  <si>
    <t>Total PG&amp;E Electric Accumulated Depreciation including CGI</t>
  </si>
  <si>
    <t>WP_10-AccDep 6, L. 148, Col 8</t>
  </si>
  <si>
    <t>Network Electric Transmission Net Plant in Service (Functional + CGI)</t>
  </si>
  <si>
    <t>Line 117 - Line 137</t>
  </si>
  <si>
    <t>Total PG&amp;E Electric Net Plant In Service (Functional + CGI)</t>
  </si>
  <si>
    <t>Line 118 - Line 138</t>
  </si>
  <si>
    <t>Net Plant Property Tax Allocation Factor</t>
  </si>
  <si>
    <t>Line 139 / Line 140</t>
  </si>
  <si>
    <t>1) Approved Franchise Fee Factor(s)</t>
  </si>
  <si>
    <t>From</t>
  </si>
  <si>
    <t>To</t>
  </si>
  <si>
    <t>Days in Prior Year</t>
  </si>
  <si>
    <t>Franchise Fee Factor</t>
  </si>
  <si>
    <t>Present</t>
  </si>
  <si>
    <t>WP_25-RFandUFactors 1, L. 102</t>
  </si>
  <si>
    <t>2) Approved San Francisco Gross Receipts Tax Factor(s)</t>
  </si>
  <si>
    <t>WP_25-RFandUFactors 2, L. 104</t>
  </si>
  <si>
    <t>3) Approved Uncollectible Factor(s)</t>
  </si>
  <si>
    <t>Uncollectible Factor</t>
  </si>
  <si>
    <t>WP_25-RFandUFactors 3, L. 110</t>
  </si>
  <si>
    <t>4) Calculation of Weighted Average RF&amp;U Factors</t>
  </si>
  <si>
    <t>Rate Year HV</t>
  </si>
  <si>
    <t>Rate Year LV</t>
  </si>
  <si>
    <t xml:space="preserve"> Plant Allocator</t>
  </si>
  <si>
    <t>24-Allocators, L. 133 and 134</t>
  </si>
  <si>
    <t>7-PlantInService, L. 212 and 312, col 13</t>
  </si>
  <si>
    <t>7-PlantInService, L. 701, col 2 and col 3</t>
  </si>
  <si>
    <t>8-AbandonedPlant, Col 11, Lines 100 and 101</t>
  </si>
  <si>
    <t>13-WorkCap, L. 112, col 3 and col 4</t>
  </si>
  <si>
    <t>Line 1 * 13-WorkCap, L. 217, col 5</t>
  </si>
  <si>
    <t>10-AccDep, L. 212 and L. 312, col 13</t>
  </si>
  <si>
    <t>10-AccDep, L. 701 , col 2 and col 3</t>
  </si>
  <si>
    <t>Line 1 * 1-BaseTRR, L. 111c</t>
  </si>
  <si>
    <t>Line 1 * 1-BaseTRR, L. 112</t>
  </si>
  <si>
    <t>Accrued Vacation</t>
  </si>
  <si>
    <t>Line 1 * 1-BaseTRR, L. 113</t>
  </si>
  <si>
    <t>Line 1 * 1-BaseTRR, L. 114</t>
  </si>
  <si>
    <t>Prior Year Transmission Revenue Requirement</t>
  </si>
  <si>
    <t>(Line 1 * (18-OandM, L. 100  - L. 114, col 15) + 18-OandM, L. 114, col 15), Line 1 * (18-OandM, L.100  - L. 114, col 15)</t>
  </si>
  <si>
    <t>Line 1 * 1-BaseTRR, L. 501</t>
  </si>
  <si>
    <t>Line 1 * 1-BaseTRR, L. 502</t>
  </si>
  <si>
    <t>11-Depreciation, (L. 100, col 13 + L. 500, col 2), (L. 101, col 13 + L. 500, Col 3)</t>
  </si>
  <si>
    <t>Depreciation rate adjustment</t>
  </si>
  <si>
    <t>Line 1 * 1-BaseTRR, L. 504</t>
  </si>
  <si>
    <t>8-AbandonedPlant, Col 7, Lines 100 and 101</t>
  </si>
  <si>
    <t>(Line 115 * 1-BaseTRR, L. 219) - (1-BaseTRR, L. 221 * 8-AbandonedPlant, L. 100 and L. 101, col 11)</t>
  </si>
  <si>
    <t>Line 1 * 1-BaseTRR, L. 507</t>
  </si>
  <si>
    <t>Line 1 * 1-BaseTRR, L. 508</t>
  </si>
  <si>
    <t>20-RevenueCredits, L. 100, col 5 and col 6</t>
  </si>
  <si>
    <t>Line 1 * 1-BaseTRR, L. 510</t>
  </si>
  <si>
    <t>Line 1 * 1-BaseTRR, L. 511</t>
  </si>
  <si>
    <t>Line 212 * (1-BaseTRR, L. 513 + L. 514)</t>
  </si>
  <si>
    <t>Line 1 * 1-BaseTRR, L. 601</t>
  </si>
  <si>
    <t>True-up Adjustment</t>
  </si>
  <si>
    <t>Line 1 * 1-BaseTRR, L. 602</t>
  </si>
  <si>
    <t>Wholesale Base TRRs</t>
  </si>
  <si>
    <t>Wholesale TRBAA</t>
  </si>
  <si>
    <t>ER21-2980-000</t>
  </si>
  <si>
    <t>Standby Revenue Credit</t>
  </si>
  <si>
    <t>Negative, Line 1 * (29-RetailRates-1, L. 118, col (A) * 50%</t>
  </si>
  <si>
    <t>Total Wholesale TRRs</t>
  </si>
  <si>
    <t>Calculation of High Voltage Access Charge</t>
  </si>
  <si>
    <t>High Voltage TRR</t>
  </si>
  <si>
    <t>26-WholesaleTRRs, L. 219, col 1</t>
  </si>
  <si>
    <t>Gross Load (MWh)</t>
  </si>
  <si>
    <t>High Voltage Access Charge ($/MWh)</t>
  </si>
  <si>
    <t>Calculation of Low Voltage Access Charge</t>
  </si>
  <si>
    <t>Low Voltage TRR</t>
  </si>
  <si>
    <t>26-WholesaleTRRs, L. 219, col 2</t>
  </si>
  <si>
    <t>Low Voltage Access Charge ($/MWh)</t>
  </si>
  <si>
    <t xml:space="preserve">1) Input the gross load data and loss factor from the Gross Load Workpapers. </t>
  </si>
  <si>
    <t>Energy at generator (kWh)</t>
  </si>
  <si>
    <t>WP_28-GrossLoad 1, L. 102, col 2</t>
  </si>
  <si>
    <t>Energy loss factor area out</t>
  </si>
  <si>
    <t>WP_28-GrossLoad 7, L. 102, col 4</t>
  </si>
  <si>
    <t>Retail energy at local (area out) (kWh)</t>
  </si>
  <si>
    <t>Helms Pumped Storage: Pumping Load (10 Yr Avg) (kWh)</t>
  </si>
  <si>
    <t>WP_28-GrossLoad 6, L. 110</t>
  </si>
  <si>
    <t>Gross Load at Area Out (kWh)</t>
  </si>
  <si>
    <t>Current Year for Forecast Billing Determinants</t>
  </si>
  <si>
    <t>Rate Design</t>
  </si>
  <si>
    <t>5 Yr. Historical Avg. Data for 12-CP Allocation of TRR to Customer Class</t>
  </si>
  <si>
    <t>= col 1/col 2</t>
  </si>
  <si>
    <t>= col 1/col 4</t>
  </si>
  <si>
    <t>Adjusted 12-CP</t>
  </si>
  <si>
    <t>Forecast Billing</t>
  </si>
  <si>
    <t>Billing</t>
  </si>
  <si>
    <t>Annual Sales</t>
  </si>
  <si>
    <t>Average Rate</t>
  </si>
  <si>
    <t>Code</t>
  </si>
  <si>
    <t>Class Name</t>
  </si>
  <si>
    <t>Cost Allocation</t>
  </si>
  <si>
    <t>Determinants</t>
  </si>
  <si>
    <t>Units</t>
  </si>
  <si>
    <t>Rate</t>
  </si>
  <si>
    <t>(kWh)</t>
  </si>
  <si>
    <t>($/kWh)</t>
  </si>
  <si>
    <t>RES-</t>
  </si>
  <si>
    <t>Residential</t>
  </si>
  <si>
    <t>kWh</t>
  </si>
  <si>
    <t>/kWh</t>
  </si>
  <si>
    <t xml:space="preserve"> </t>
  </si>
  <si>
    <t>A1-</t>
  </si>
  <si>
    <t>Small L&amp;P</t>
  </si>
  <si>
    <t>A10-</t>
  </si>
  <si>
    <t>Medium L&amp;P</t>
  </si>
  <si>
    <t>kW-mo</t>
  </si>
  <si>
    <t>E19-</t>
  </si>
  <si>
    <t>At Transmission</t>
  </si>
  <si>
    <t>At Primary</t>
  </si>
  <si>
    <t>At Secondary</t>
  </si>
  <si>
    <t>Medium Light and Power</t>
  </si>
  <si>
    <t>/kW-mo</t>
  </si>
  <si>
    <t>STL-</t>
  </si>
  <si>
    <t>Streetlights</t>
  </si>
  <si>
    <t>AGA-</t>
  </si>
  <si>
    <t>AG: A Schedules</t>
  </si>
  <si>
    <t>AGB-</t>
  </si>
  <si>
    <t>AG: B Schedules</t>
  </si>
  <si>
    <t>Agriculture</t>
  </si>
  <si>
    <t>E20-</t>
  </si>
  <si>
    <t>Schedule E-20</t>
  </si>
  <si>
    <t>STB-</t>
  </si>
  <si>
    <t>50% Volumetric Charge</t>
  </si>
  <si>
    <t>50% Reservation Charge</t>
  </si>
  <si>
    <t>/.85*kW-mo</t>
  </si>
  <si>
    <t>Standby Service</t>
  </si>
  <si>
    <t>Rate Design:</t>
  </si>
  <si>
    <t>1) Adjusted 12-CP Cost Allocations are from 29-RetailRates-2, col 8.</t>
  </si>
  <si>
    <t>2) Forecast kWh Billing Determinates are from 29-RetailRates-2, col 2.  Forecast kW-mo. Billing Determinants are detailed in WP_29-RetailRates 8 (A-10, E-19, E-20 and Standby Reservation).</t>
  </si>
  <si>
    <t>3) Forecast kWh Annual Sales are from 29-RetailRates-2, col 2.</t>
  </si>
  <si>
    <t>Rate Design Calculations Based on 12-CP Method</t>
  </si>
  <si>
    <t>Yr. Historical Avg.</t>
  </si>
  <si>
    <t>= (col 2/col 1) * col 3</t>
  </si>
  <si>
    <t>= col 4 * col 5</t>
  </si>
  <si>
    <t>= col 6/ sum col 6</t>
  </si>
  <si>
    <t>Adjusted Cost</t>
  </si>
  <si>
    <t>= col 7 * TRR</t>
  </si>
  <si>
    <t>Recorded Avg.</t>
  </si>
  <si>
    <t>Forecast</t>
  </si>
  <si>
    <t>Coincident Demands</t>
  </si>
  <si>
    <t>Demand</t>
  </si>
  <si>
    <t>Percent of</t>
  </si>
  <si>
    <t>Alloc. Factors</t>
  </si>
  <si>
    <t>5-Year Historical</t>
  </si>
  <si>
    <t>Sales</t>
  </si>
  <si>
    <t>Loss</t>
  </si>
  <si>
    <t>(adjusted for losses)</t>
  </si>
  <si>
    <t>Coin. Peak</t>
  </si>
  <si>
    <t>(w/standby)</t>
  </si>
  <si>
    <t>(kW)</t>
  </si>
  <si>
    <t>Factors</t>
  </si>
  <si>
    <t>(w/losses)</t>
  </si>
  <si>
    <t>scale to 100%</t>
  </si>
  <si>
    <t>($)</t>
  </si>
  <si>
    <t>MARL Sales:</t>
  </si>
  <si>
    <t xml:space="preserve">Total - Full Requirements </t>
  </si>
  <si>
    <t>Standby</t>
  </si>
  <si>
    <t>Totals - Retail</t>
  </si>
  <si>
    <t>Source: Base Transmission Revenue Requirement (TRR) 1-BaseTRR, L. 704 =</t>
  </si>
  <si>
    <t>1) Recorded sales (kWh) and 5-Year Average are from WP_29-RetailRates 4; 5; and 5a.</t>
  </si>
  <si>
    <t>2) Forecast kWh Billing Determinates are from WP_29-RetailRates 8 and 9 as forecast per PG&amp;E's 2022 ERRA Forecast Application (A.21-06-001).</t>
  </si>
  <si>
    <t>3) Recorded monthly contribution coincident system peak (12-CP) data (kW) and 5-Year Average are from WP_29-RetailRates 3; 3a; and 4.</t>
  </si>
  <si>
    <t>4) Demand loss factors are based on system losses at PG&amp;E's Transmission, Primary and Secondary Distribution voltage levels of service.</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</si>
  <si>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</si>
  <si>
    <t>Line 200 + Line 201</t>
  </si>
  <si>
    <t>24-Allocators, Line 113</t>
  </si>
  <si>
    <t>Line 202 * Line 203</t>
  </si>
  <si>
    <t>Average of Line 204, Col 1 and Col 2</t>
  </si>
  <si>
    <t>Negative 5-CostofCap-4, Line 102 (see Note 3)</t>
  </si>
  <si>
    <t>24-Allocators, Line 116</t>
  </si>
  <si>
    <t>Line 300 * Line 301 (see Note 3)</t>
  </si>
  <si>
    <t>Average of Line 302, Col 1 and Col 2</t>
  </si>
  <si>
    <t>Average of Line 400</t>
  </si>
  <si>
    <t>24-Allocators, Line 135</t>
  </si>
  <si>
    <t>Line 500 * Line 501 (see Note 5)</t>
  </si>
  <si>
    <t>Average of Line 502, Col 1 and Col 2</t>
  </si>
  <si>
    <t>Line 600 * Line 601 (see Note 6)</t>
  </si>
  <si>
    <t>Average of Line 602, Col 1 and Col 2</t>
  </si>
  <si>
    <t>Resulted from unfunded reserves corrections.</t>
  </si>
  <si>
    <t>Line 205 * Line 206</t>
  </si>
  <si>
    <t>Line 207 * Line 208</t>
  </si>
  <si>
    <t>Original</t>
  </si>
  <si>
    <t>Difference</t>
  </si>
  <si>
    <t>Resulted from A&amp;G corrections</t>
  </si>
  <si>
    <t>Total *</t>
  </si>
  <si>
    <t>Difference between Corrected V2 and Corrected V1.</t>
  </si>
  <si>
    <t>Version 2</t>
  </si>
  <si>
    <t>Version 1</t>
  </si>
  <si>
    <t>c=a-b</t>
  </si>
  <si>
    <t>check</t>
  </si>
  <si>
    <t>* The sum of this PY 2020 correction and PY 2021 correction with interest as of December 2021 are input to Draft TO20 RY2024, 4-ATA, line 201, cols 5 and 8</t>
  </si>
  <si>
    <t>For Calculation of incremental ATA for Prior Year 2020 between Version 2 and Version 1 as of December 31, 2021:</t>
  </si>
  <si>
    <t>Note: the incremtnal ATA for Prior Year 2020 between Version 1 and original filing was included in TO20 RY2023 Annual Update.</t>
  </si>
  <si>
    <t>Breakdown of RRQ impact arised from the following:</t>
  </si>
  <si>
    <t>A&amp;G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</si>
</sst>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s>
  <fonts count="114">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b/>
      <sz val="11"/>
      <color indexed="8"/>
      <name val="Calibri"/>
      <family val="2"/>
      <scheme val="minor"/>
    </font>
    <font>
      <b/>
      <sz val="10"/>
      <color theme="1"/>
      <name val="Times New Roman"/>
      <family val="1"/>
    </font>
    <font>
      <sz val="11"/>
      <name val="Calibri"/>
      <family val="2"/>
    </font>
    <font>
      <sz val="11"/>
      <color theme="1"/>
      <name val="Calibri"/>
      <family val="2"/>
      <scheme val="minor"/>
    </font>
  </fonts>
  <fills count="97">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indexed="31"/>
        <bgColor indexed="64"/>
      </patternFill>
    </fill>
    <fill>
      <patternFill patternType="solid">
        <fgColor indexed="40"/>
        <bgColor indexed="64"/>
      </patternFill>
    </fill>
    <fill>
      <patternFill patternType="solid">
        <fgColor theme="4" tint="0.79985961485641044"/>
        <bgColor indexed="64"/>
      </patternFill>
    </fill>
    <fill>
      <patternFill patternType="solid">
        <fgColor indexed="45"/>
        <bgColor indexed="64"/>
      </patternFill>
    </fill>
    <fill>
      <patternFill patternType="solid">
        <fgColor indexed="29"/>
        <bgColor indexed="64"/>
      </patternFill>
    </fill>
    <fill>
      <patternFill patternType="solid">
        <fgColor theme="5" tint="0.79985961485641044"/>
        <bgColor indexed="64"/>
      </patternFill>
    </fill>
    <fill>
      <patternFill patternType="solid">
        <fgColor indexed="42"/>
        <bgColor indexed="64"/>
      </patternFill>
    </fill>
    <fill>
      <patternFill patternType="solid">
        <fgColor indexed="26"/>
        <bgColor indexed="64"/>
      </patternFill>
    </fill>
    <fill>
      <patternFill patternType="solid">
        <fgColor theme="6" tint="0.79985961485641044"/>
        <bgColor indexed="64"/>
      </patternFill>
    </fill>
    <fill>
      <patternFill patternType="solid">
        <fgColor indexed="46"/>
        <bgColor indexed="64"/>
      </patternFill>
    </fill>
    <fill>
      <patternFill patternType="solid">
        <fgColor indexed="9"/>
        <bgColor indexed="64"/>
      </patternFill>
    </fill>
    <fill>
      <patternFill patternType="solid">
        <fgColor theme="7" tint="0.79985961485641044"/>
        <bgColor indexed="64"/>
      </patternFill>
    </fill>
    <fill>
      <patternFill patternType="solid">
        <fgColor indexed="27"/>
        <bgColor indexed="64"/>
      </patternFill>
    </fill>
    <fill>
      <patternFill patternType="solid">
        <fgColor indexed="44"/>
        <bgColor indexed="64"/>
      </patternFill>
    </fill>
    <fill>
      <patternFill patternType="solid">
        <fgColor theme="8" tint="0.79985961485641044"/>
        <bgColor indexed="64"/>
      </patternFill>
    </fill>
    <fill>
      <patternFill patternType="solid">
        <fgColor indexed="47"/>
        <bgColor indexed="64"/>
      </patternFill>
    </fill>
    <fill>
      <patternFill patternType="solid">
        <fgColor theme="9" tint="0.79985961485641044"/>
        <bgColor indexed="64"/>
      </patternFill>
    </fill>
    <fill>
      <patternFill patternType="solid">
        <fgColor indexed="5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indexed="11"/>
        <bgColor indexed="64"/>
      </patternFill>
    </fill>
    <fill>
      <patternFill patternType="solid">
        <fgColor indexed="57"/>
        <bgColor indexed="64"/>
      </patternFill>
    </fill>
    <fill>
      <patternFill patternType="solid">
        <fgColor theme="6" tint="0.59987182226020086"/>
        <bgColor indexed="64"/>
      </patternFill>
    </fill>
    <fill>
      <patternFill patternType="solid">
        <fgColor indexed="22"/>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indexed="51"/>
        <bgColor indexed="64"/>
      </patternFill>
    </fill>
    <fill>
      <patternFill patternType="solid">
        <fgColor theme="9" tint="0.59987182226020086"/>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61"/>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50"/>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2F2F2"/>
        <bgColor indexed="64"/>
      </patternFill>
    </fill>
    <fill>
      <patternFill patternType="solid">
        <fgColor indexed="3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
      <patternFill patternType="solid">
        <fgColor rgb="FF00B050"/>
        <bgColor indexed="64"/>
      </patternFill>
    </fill>
    <fill>
      <patternFill patternType="solid">
        <fgColor rgb="FF92D050"/>
        <bgColor indexed="64"/>
      </patternFill>
    </fill>
  </fills>
  <borders count="54">
    <border>
      <left/>
      <right/>
      <top/>
      <bottom/>
      <diagonal/>
    </border>
    <border>
      <left style="thin">
        <color theme="3" tint="-0.24982451857051302"/>
      </left>
      <right style="thin">
        <color theme="3" tint="-0.24982451857051302"/>
      </right>
      <top style="thin">
        <color theme="3" tint="-0.24982451857051302"/>
      </top>
      <bottom style="thin">
        <color theme="3" tint="-0.24982451857051302"/>
      </bottom>
      <diagonal/>
    </border>
    <border>
      <left style="thin">
        <color theme="3" tint="0.59984130375072486"/>
      </left>
      <right style="thin">
        <color theme="3" tint="0.59984130375072486"/>
      </right>
      <top style="thin">
        <color theme="3" tint="0.59984130375072486"/>
      </top>
      <bottom style="thin">
        <color theme="3" tint="0.59984130375072486"/>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86266670735802"/>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style="thin">
        <color theme="3" tint="-0.24985503707998902"/>
      </left>
      <right style="thin">
        <color theme="3" tint="-0.24985503707998902"/>
      </right>
      <top style="thin">
        <color theme="3" tint="-0.24985503707998902"/>
      </top>
      <bottom style="thin">
        <color theme="3" tint="-0.24985503707998902"/>
      </bottom>
      <diagonal/>
    </border>
    <border>
      <left style="thin">
        <color theme="3" tint="0.59987182226020086"/>
      </left>
      <right style="thin">
        <color theme="3" tint="0.59987182226020086"/>
      </right>
      <top style="thin">
        <color theme="3" tint="0.59987182226020086"/>
      </top>
      <bottom style="thin">
        <color theme="3" tint="0.59987182226020086"/>
      </bottom>
      <diagonal/>
    </border>
    <border>
      <left/>
      <right/>
      <top/>
      <bottom style="thin">
        <color auto="1"/>
      </bottom>
      <diagonal/>
    </border>
    <border>
      <left/>
      <right/>
      <top style="thin">
        <color auto="1"/>
      </top>
      <bottom/>
      <diagonal/>
    </border>
    <border>
      <left/>
      <right/>
      <top/>
      <bottom style="double">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right style="thin">
        <color auto="1"/>
      </right>
      <top/>
      <bottom/>
      <diagonal/>
    </border>
    <border>
      <left/>
      <right style="thin">
        <color auto="1"/>
      </right>
      <top/>
      <bottom style="thin">
        <color auto="1"/>
      </bottom>
      <diagonal/>
    </border>
    <border>
      <left style="medium">
        <color auto="1"/>
      </left>
      <right style="medium">
        <color auto="1"/>
      </right>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712">
    <xf numFmtId="0" fontId="0" fillId="0" borderId="0"/>
    <xf numFmtId="9" fontId="113" fillId="0" borderId="0" applyFont="0" applyFill="0" applyBorder="0" applyAlignment="0" applyProtection="0"/>
    <xf numFmtId="44" fontId="113" fillId="0" borderId="0" applyFont="0" applyFill="0" applyBorder="0" applyAlignment="0" applyProtection="0"/>
    <xf numFmtId="42" fontId="1" fillId="0" borderId="0" applyFont="0" applyFill="0" applyBorder="0" applyAlignment="0" applyProtection="0"/>
    <xf numFmtId="43" fontId="113"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2"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13" fillId="0" borderId="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4" fontId="5" fillId="0" borderId="0" applyFont="0" applyFill="0" applyBorder="0" applyAlignment="0" applyProtection="0"/>
    <xf numFmtId="0" fontId="113" fillId="0" borderId="0"/>
    <xf numFmtId="0" fontId="5"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9" fontId="113" fillId="0" borderId="0" applyFont="0" applyFill="0" applyBorder="0" applyAlignment="0" applyProtection="0"/>
    <xf numFmtId="9" fontId="113"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43" fillId="18"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113" fillId="20" borderId="0" applyNumberFormat="0" applyBorder="0" applyAlignment="0" applyProtection="0"/>
    <xf numFmtId="0" fontId="113" fillId="20"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43" fillId="21"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3" fillId="23" borderId="0" applyNumberFormat="0" applyBorder="0" applyAlignment="0" applyProtection="0"/>
    <xf numFmtId="0" fontId="113" fillId="23"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43" fillId="24"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43" fillId="27"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113" fillId="29" borderId="0" applyNumberFormat="0" applyBorder="0" applyAlignment="0" applyProtection="0"/>
    <xf numFmtId="0" fontId="113" fillId="29"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43" fillId="30"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13" fillId="32" borderId="0" applyNumberFormat="0" applyBorder="0" applyAlignment="0" applyProtection="0"/>
    <xf numFmtId="0" fontId="113" fillId="32"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43" fillId="33"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113" fillId="34" borderId="0" applyNumberFormat="0" applyBorder="0" applyAlignment="0" applyProtection="0"/>
    <xf numFmtId="0" fontId="113" fillId="34"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43" fillId="31"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3" fillId="36" borderId="0" applyNumberFormat="0" applyBorder="0" applyAlignment="0" applyProtection="0"/>
    <xf numFmtId="0" fontId="113" fillId="36"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43" fillId="22"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3" fillId="37" borderId="0" applyNumberFormat="0" applyBorder="0" applyAlignment="0" applyProtection="0"/>
    <xf numFmtId="0" fontId="113"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43" fillId="38"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13" fillId="40" borderId="0" applyNumberFormat="0" applyBorder="0" applyAlignment="0" applyProtection="0"/>
    <xf numFmtId="0" fontId="113" fillId="40"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43" fillId="27"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13" fillId="42" borderId="0" applyNumberFormat="0" applyBorder="0" applyAlignment="0" applyProtection="0"/>
    <xf numFmtId="0" fontId="113" fillId="42"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43" fillId="31"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13" fillId="43" borderId="0" applyNumberFormat="0" applyBorder="0" applyAlignment="0" applyProtection="0"/>
    <xf numFmtId="0" fontId="113" fillId="43"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43" fillId="44"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13" fillId="45" borderId="0" applyNumberFormat="0" applyBorder="0" applyAlignment="0" applyProtection="0"/>
    <xf numFmtId="0" fontId="113" fillId="4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5"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46" fillId="4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2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35" fillId="66"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3"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4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5" fillId="50"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8"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54"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1" borderId="7">
      <alignment horizontal="center" vertical="center"/>
    </xf>
    <xf numFmtId="178" fontId="37" fillId="31" borderId="7">
      <alignment horizontal="center" vertical="center"/>
    </xf>
    <xf numFmtId="177" fontId="6"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167" fontId="5" fillId="31"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25"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5" fillId="78" borderId="11"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5" fillId="78" borderId="11"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31" fillId="77" borderId="9"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4" fillId="41"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56" fillId="28" borderId="10" applyNumberFormat="0" applyAlignment="0" applyProtection="0"/>
    <xf numFmtId="0" fontId="31" fillId="77" borderId="9" applyNumberFormat="0" applyAlignment="0" applyProtection="0"/>
    <xf numFmtId="0" fontId="31" fillId="77" borderId="9" applyNumberFormat="0" applyAlignment="0" applyProtection="0"/>
    <xf numFmtId="0" fontId="55" fillId="78" borderId="11" applyNumberFormat="0" applyAlignment="0" applyProtection="0"/>
    <xf numFmtId="0" fontId="55" fillId="78" borderId="11" applyNumberFormat="0" applyAlignment="0" applyProtection="0"/>
    <xf numFmtId="0" fontId="31" fillId="77"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72"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58" fillId="63" borderId="12"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0" fontId="33" fillId="79"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13"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5"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13" fillId="0" borderId="0" applyFont="0" applyFill="0" applyBorder="0" applyAlignment="0" applyProtection="0"/>
    <xf numFmtId="44" fontId="113" fillId="0" borderId="0" applyFont="0" applyFill="0" applyBorder="0" applyAlignment="0" applyProtection="0"/>
    <xf numFmtId="44" fontId="5"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13" fillId="0" borderId="0" applyFont="0" applyFill="0" applyBorder="0" applyAlignment="0" applyProtection="0"/>
    <xf numFmtId="44" fontId="113"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0"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3" fillId="84"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27" fillId="85"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5" borderId="8" applyNumberFormat="0" applyBorder="0" applyAlignment="0" applyProtection="0"/>
    <xf numFmtId="0" fontId="47" fillId="25" borderId="8" applyNumberFormat="0" applyBorder="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2" fillId="33" borderId="11"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30" fillId="86" borderId="9"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1"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2"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0" fontId="83" fillId="33" borderId="10" applyNumberFormat="0" applyAlignment="0" applyProtection="0"/>
    <xf numFmtId="187" fontId="84" fillId="0" borderId="0" applyFont="0" applyFill="0" applyBorder="0" applyProtection="0">
      <alignment horizontal="center"/>
    </xf>
    <xf numFmtId="0" fontId="36" fillId="87" borderId="0" applyNumberFormat="0" applyFont="0" applyBorder="0" applyProtection="0"/>
    <xf numFmtId="0" fontId="36" fillId="87"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88" borderId="0">
      <alignment horizontal="right"/>
    </xf>
    <xf numFmtId="171" fontId="87" fillId="88" borderId="0">
      <alignment horizontal="right"/>
    </xf>
    <xf numFmtId="17" fontId="88" fillId="0" borderId="0" applyFont="0" applyFill="0" applyBorder="0">
      <protection locked="0"/>
    </xf>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67"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67"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89"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89" fillId="33"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0" fontId="29" fillId="90"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13"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0" fontId="5" fillId="0" borderId="0"/>
    <xf numFmtId="170" fontId="5" fillId="0" borderId="0"/>
    <xf numFmtId="171" fontId="5" fillId="0" borderId="0"/>
    <xf numFmtId="171" fontId="5" fillId="0" borderId="0"/>
    <xf numFmtId="175" fontId="113" fillId="0" borderId="0"/>
    <xf numFmtId="0" fontId="113" fillId="0" borderId="0"/>
    <xf numFmtId="171" fontId="113" fillId="0" borderId="0"/>
    <xf numFmtId="171" fontId="113" fillId="0" borderId="0"/>
    <xf numFmtId="171" fontId="113" fillId="0" borderId="0"/>
    <xf numFmtId="176" fontId="11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171" fontId="113" fillId="0" borderId="0"/>
    <xf numFmtId="0" fontId="11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13" fillId="0" borderId="0"/>
    <xf numFmtId="0" fontId="11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3"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0" fontId="47" fillId="68" borderId="0"/>
    <xf numFmtId="170" fontId="47" fillId="68" borderId="0"/>
    <xf numFmtId="171" fontId="47" fillId="68" borderId="0"/>
    <xf numFmtId="171" fontId="47" fillId="68" borderId="0"/>
    <xf numFmtId="175" fontId="113" fillId="0" borderId="0"/>
    <xf numFmtId="171" fontId="113" fillId="0" borderId="0"/>
    <xf numFmtId="171" fontId="113" fillId="0" borderId="0"/>
    <xf numFmtId="0" fontId="113"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3"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3" fillId="0" borderId="0"/>
    <xf numFmtId="171" fontId="113" fillId="0" borderId="0"/>
    <xf numFmtId="172" fontId="113" fillId="0" borderId="0"/>
    <xf numFmtId="170" fontId="113" fillId="0" borderId="0"/>
    <xf numFmtId="171" fontId="113" fillId="0" borderId="0"/>
    <xf numFmtId="171" fontId="113" fillId="0" borderId="0"/>
    <xf numFmtId="0" fontId="47" fillId="68" borderId="0"/>
    <xf numFmtId="170" fontId="47" fillId="68" borderId="0"/>
    <xf numFmtId="171" fontId="47" fillId="68" borderId="0"/>
    <xf numFmtId="171" fontId="47" fillId="68" borderId="0"/>
    <xf numFmtId="175" fontId="47" fillId="68" borderId="0"/>
    <xf numFmtId="171" fontId="47" fillId="68" borderId="0"/>
    <xf numFmtId="171" fontId="113" fillId="0" borderId="0"/>
    <xf numFmtId="0" fontId="11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0" fontId="47" fillId="68" borderId="0"/>
    <xf numFmtId="170" fontId="47" fillId="68" borderId="0"/>
    <xf numFmtId="170" fontId="47" fillId="68" borderId="0"/>
    <xf numFmtId="171" fontId="47" fillId="68" borderId="0"/>
    <xf numFmtId="0" fontId="113" fillId="0" borderId="0"/>
    <xf numFmtId="170" fontId="113" fillId="0" borderId="0"/>
    <xf numFmtId="171" fontId="113" fillId="0" borderId="0"/>
    <xf numFmtId="171" fontId="113" fillId="0" borderId="0"/>
    <xf numFmtId="171" fontId="47" fillId="68" borderId="0"/>
    <xf numFmtId="0" fontId="47" fillId="68" borderId="0"/>
    <xf numFmtId="170" fontId="47" fillId="68" borderId="0"/>
    <xf numFmtId="171" fontId="47" fillId="68" borderId="0"/>
    <xf numFmtId="171" fontId="47" fillId="68" borderId="0"/>
    <xf numFmtId="0" fontId="113" fillId="0" borderId="0"/>
    <xf numFmtId="170" fontId="113" fillId="0" borderId="0"/>
    <xf numFmtId="171" fontId="113" fillId="0" borderId="0"/>
    <xf numFmtId="171" fontId="113" fillId="0" borderId="0"/>
    <xf numFmtId="171" fontId="47" fillId="68" borderId="0"/>
    <xf numFmtId="175" fontId="113" fillId="0" borderId="0"/>
    <xf numFmtId="171" fontId="113" fillId="0" borderId="0"/>
    <xf numFmtId="171" fontId="113"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7"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0" fontId="47" fillId="68" borderId="0"/>
    <xf numFmtId="170" fontId="47" fillId="68" borderId="0"/>
    <xf numFmtId="170" fontId="47" fillId="68" borderId="0"/>
    <xf numFmtId="171" fontId="47" fillId="68" borderId="0"/>
    <xf numFmtId="0" fontId="113" fillId="0" borderId="0"/>
    <xf numFmtId="170" fontId="113" fillId="0" borderId="0"/>
    <xf numFmtId="171" fontId="113" fillId="0" borderId="0"/>
    <xf numFmtId="171" fontId="113" fillId="0" borderId="0"/>
    <xf numFmtId="171" fontId="47" fillId="68" borderId="0"/>
    <xf numFmtId="0" fontId="47" fillId="68" borderId="0"/>
    <xf numFmtId="170" fontId="47" fillId="68" borderId="0"/>
    <xf numFmtId="171" fontId="47" fillId="68" borderId="0"/>
    <xf numFmtId="171" fontId="47" fillId="68" borderId="0"/>
    <xf numFmtId="0" fontId="113" fillId="0" borderId="0"/>
    <xf numFmtId="170" fontId="113" fillId="0" borderId="0"/>
    <xf numFmtId="171" fontId="113" fillId="0" borderId="0"/>
    <xf numFmtId="171" fontId="113" fillId="0" borderId="0"/>
    <xf numFmtId="171" fontId="47" fillId="68" borderId="0"/>
    <xf numFmtId="171" fontId="113"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47" fillId="68" borderId="0"/>
    <xf numFmtId="171" fontId="47" fillId="68" borderId="0"/>
    <xf numFmtId="171" fontId="5" fillId="0" borderId="0"/>
    <xf numFmtId="176" fontId="47" fillId="68" borderId="0"/>
    <xf numFmtId="191" fontId="113" fillId="0" borderId="0"/>
    <xf numFmtId="0" fontId="113" fillId="0" borderId="0"/>
    <xf numFmtId="19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175" fontId="113" fillId="0" borderId="0"/>
    <xf numFmtId="171" fontId="113" fillId="0" borderId="0"/>
    <xf numFmtId="171" fontId="5" fillId="0" borderId="0"/>
    <xf numFmtId="0" fontId="5" fillId="0" borderId="0"/>
    <xf numFmtId="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0"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5"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5"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1" fontId="5"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1"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0" fontId="113" fillId="0" borderId="0"/>
    <xf numFmtId="0" fontId="113" fillId="0" borderId="0"/>
    <xf numFmtId="0" fontId="113" fillId="0" borderId="0"/>
    <xf numFmtId="0" fontId="113" fillId="0" borderId="0"/>
    <xf numFmtId="0" fontId="113" fillId="0" borderId="0"/>
    <xf numFmtId="171"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1"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0" fontId="113" fillId="0" borderId="0"/>
    <xf numFmtId="0" fontId="113" fillId="0" borderId="0"/>
    <xf numFmtId="0" fontId="113" fillId="0" borderId="0"/>
    <xf numFmtId="0" fontId="113" fillId="0" borderId="0"/>
    <xf numFmtId="0" fontId="113" fillId="0" borderId="0"/>
    <xf numFmtId="0" fontId="113" fillId="0" borderId="0"/>
    <xf numFmtId="171"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71" fontId="5"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5" fillId="0" borderId="0"/>
    <xf numFmtId="170" fontId="5" fillId="0" borderId="0"/>
    <xf numFmtId="171" fontId="5" fillId="0" borderId="0"/>
    <xf numFmtId="171" fontId="5" fillId="0" borderId="0"/>
    <xf numFmtId="175" fontId="113" fillId="0" borderId="0"/>
    <xf numFmtId="0" fontId="5" fillId="0" borderId="0"/>
    <xf numFmtId="171" fontId="5" fillId="0" borderId="0"/>
    <xf numFmtId="171" fontId="113" fillId="0" borderId="0"/>
    <xf numFmtId="0" fontId="5" fillId="0" borderId="0"/>
    <xf numFmtId="171" fontId="5" fillId="0" borderId="0"/>
    <xf numFmtId="0" fontId="5" fillId="0" borderId="0"/>
    <xf numFmtId="0"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1" fontId="5" fillId="0" borderId="0"/>
    <xf numFmtId="176" fontId="5" fillId="0" borderId="0"/>
    <xf numFmtId="191" fontId="113" fillId="0" borderId="0"/>
    <xf numFmtId="0" fontId="5" fillId="0" borderId="0"/>
    <xf numFmtId="0" fontId="5"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0" fontId="113" fillId="0" borderId="0"/>
    <xf numFmtId="170" fontId="92" fillId="0" borderId="0"/>
    <xf numFmtId="170" fontId="92" fillId="0" borderId="0"/>
    <xf numFmtId="171" fontId="92"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92" fillId="0" borderId="0"/>
    <xf numFmtId="172" fontId="92" fillId="0" borderId="0"/>
    <xf numFmtId="170" fontId="92" fillId="0" borderId="0"/>
    <xf numFmtId="170" fontId="92" fillId="0" borderId="0"/>
    <xf numFmtId="171" fontId="92" fillId="0" borderId="0"/>
    <xf numFmtId="0" fontId="113" fillId="0" borderId="0"/>
    <xf numFmtId="170" fontId="113" fillId="0" borderId="0"/>
    <xf numFmtId="171" fontId="113" fillId="0" borderId="0"/>
    <xf numFmtId="171" fontId="113" fillId="0" borderId="0"/>
    <xf numFmtId="171" fontId="92" fillId="0" borderId="0"/>
    <xf numFmtId="172" fontId="92" fillId="0" borderId="0"/>
    <xf numFmtId="170" fontId="92" fillId="0" borderId="0"/>
    <xf numFmtId="171" fontId="92" fillId="0" borderId="0"/>
    <xf numFmtId="171" fontId="92"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1" fillId="0" borderId="0"/>
    <xf numFmtId="170" fontId="1" fillId="0" borderId="0"/>
    <xf numFmtId="170" fontId="1" fillId="0" borderId="0"/>
    <xf numFmtId="171" fontId="1" fillId="0" borderId="0"/>
    <xf numFmtId="0" fontId="113" fillId="0" borderId="0"/>
    <xf numFmtId="170" fontId="113" fillId="0" borderId="0"/>
    <xf numFmtId="171" fontId="113" fillId="0" borderId="0"/>
    <xf numFmtId="171" fontId="113" fillId="0" borderId="0"/>
    <xf numFmtId="171" fontId="1" fillId="0" borderId="0"/>
    <xf numFmtId="0" fontId="1" fillId="0" borderId="0"/>
    <xf numFmtId="170" fontId="1" fillId="0" borderId="0"/>
    <xf numFmtId="171" fontId="1" fillId="0" borderId="0"/>
    <xf numFmtId="171" fontId="1" fillId="0" borderId="0"/>
    <xf numFmtId="0" fontId="113" fillId="0" borderId="0"/>
    <xf numFmtId="170" fontId="113" fillId="0" borderId="0"/>
    <xf numFmtId="171" fontId="113" fillId="0" borderId="0"/>
    <xf numFmtId="171" fontId="113"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1" fontId="113"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5" fontId="113" fillId="0" borderId="0"/>
    <xf numFmtId="171" fontId="113" fillId="0" borderId="0"/>
    <xf numFmtId="171" fontId="5" fillId="0" borderId="0"/>
    <xf numFmtId="191" fontId="113"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2"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113" fillId="0" borderId="0"/>
    <xf numFmtId="170" fontId="113" fillId="0" borderId="0"/>
    <xf numFmtId="171" fontId="113"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113"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0" fontId="5" fillId="0" borderId="0"/>
    <xf numFmtId="171" fontId="5" fillId="0" borderId="0"/>
    <xf numFmtId="0" fontId="113" fillId="0" borderId="0"/>
    <xf numFmtId="170" fontId="113" fillId="0" borderId="0"/>
    <xf numFmtId="171" fontId="113" fillId="0" borderId="0"/>
    <xf numFmtId="171" fontId="113" fillId="0" borderId="0"/>
    <xf numFmtId="171" fontId="5" fillId="0" borderId="0"/>
    <xf numFmtId="172"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171" fontId="5" fillId="0" borderId="0"/>
    <xf numFmtId="0" fontId="5" fillId="0" borderId="0"/>
    <xf numFmtId="170" fontId="5" fillId="0" borderId="0"/>
    <xf numFmtId="171" fontId="5" fillId="0" borderId="0"/>
    <xf numFmtId="171" fontId="5" fillId="0" borderId="0"/>
    <xf numFmtId="0" fontId="113" fillId="0" borderId="0"/>
    <xf numFmtId="170" fontId="113" fillId="0" borderId="0"/>
    <xf numFmtId="171" fontId="113" fillId="0" borderId="0"/>
    <xf numFmtId="171" fontId="113" fillId="0" borderId="0"/>
    <xf numFmtId="0" fontId="113" fillId="0" borderId="0"/>
    <xf numFmtId="170" fontId="113" fillId="0" borderId="0"/>
    <xf numFmtId="171" fontId="113" fillId="0" borderId="0"/>
    <xf numFmtId="171" fontId="113"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0" fontId="10" fillId="2" borderId="32" applyNumberFormat="0" applyProtection="0"/>
    <xf numFmtId="0" fontId="9" fillId="2" borderId="32" applyNumberFormat="0" applyProtection="0"/>
    <xf numFmtId="0" fontId="9" fillId="0" borderId="33" applyNumberFormat="0" applyProtection="0">
      <alignment horizontal="right" vertical="center"/>
    </xf>
    <xf numFmtId="0" fontId="10" fillId="2" borderId="3" applyNumberFormat="0" applyProtection="0"/>
    <xf numFmtId="0" fontId="10" fillId="0" borderId="3" applyNumberFormat="0" applyProtection="0">
      <alignment horizontal="right" vertical="center"/>
    </xf>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xf numFmtId="43" fontId="113" fillId="0" borderId="0" applyFont="0" applyFill="0" applyBorder="0" applyAlignment="0" applyProtection="0"/>
  </cellStyleXfs>
  <cellXfs count="842">
    <xf numFmtId="0" fontId="0" fillId="0" borderId="0" xfId="0"/>
    <xf numFmtId="0" fontId="20" fillId="0" borderId="0" xfId="47" applyFont="1" applyAlignment="1">
      <alignment horizontal="left"/>
    </xf>
    <xf numFmtId="0" fontId="2" fillId="0" borderId="0" xfId="0" applyFont="1" applyAlignment="1">
      <alignment horizontal="center" wrapText="1"/>
    </xf>
    <xf numFmtId="0" fontId="20" fillId="0" borderId="0" xfId="0" applyFont="1" applyAlignment="1">
      <alignment horizontal="left"/>
    </xf>
    <xf numFmtId="0" fontId="20" fillId="0" borderId="0" xfId="0" applyFont="1" applyAlignment="1">
      <alignment horizontal="left" wrapText="1"/>
    </xf>
    <xf numFmtId="0" fontId="0" fillId="0" borderId="0" xfId="0" applyAlignment="1">
      <alignment horizontal="center" wrapText="1"/>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center"/>
    </xf>
    <xf numFmtId="0" fontId="95" fillId="0" borderId="0" xfId="0" applyFont="1" applyAlignment="1">
      <alignment horizontal="center"/>
    </xf>
    <xf numFmtId="0" fontId="94" fillId="0" borderId="0" xfId="0" applyFont="1" applyAlignment="1">
      <alignment horizontal="center"/>
    </xf>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4" xfId="4" applyNumberFormat="1" applyFont="1" applyBorder="1"/>
    <xf numFmtId="5" fontId="2" fillId="0" borderId="0" xfId="4" applyNumberFormat="1" applyFont="1"/>
    <xf numFmtId="6" fontId="2" fillId="0" borderId="0" xfId="0" applyNumberFormat="1" applyFont="1"/>
    <xf numFmtId="5" fontId="0" fillId="0" borderId="34" xfId="4" applyNumberFormat="1" applyFont="1" applyFill="1" applyBorder="1"/>
    <xf numFmtId="10" fontId="0" fillId="0" borderId="0" xfId="1" applyNumberFormat="1" applyFont="1" applyFill="1"/>
    <xf numFmtId="10" fontId="0" fillId="0" borderId="0" xfId="0" applyNumberFormat="1"/>
    <xf numFmtId="5" fontId="0" fillId="0" borderId="0" xfId="4" applyNumberFormat="1" applyFont="1" applyFill="1"/>
    <xf numFmtId="5" fontId="0" fillId="0" borderId="0" xfId="0" applyNumberFormat="1"/>
    <xf numFmtId="10" fontId="0" fillId="0" borderId="34" xfId="1" applyNumberFormat="1" applyFont="1" applyBorder="1"/>
    <xf numFmtId="165" fontId="0" fillId="0" borderId="0" xfId="2" applyNumberFormat="1" applyFont="1"/>
    <xf numFmtId="8" fontId="0" fillId="0" borderId="0" xfId="0" applyNumberFormat="1"/>
    <xf numFmtId="44" fontId="0" fillId="0" borderId="0" xfId="0" applyNumberFormat="1"/>
    <xf numFmtId="0" fontId="0" fillId="0" borderId="0" xfId="0" applyAlignment="1">
      <alignment horizontal="center"/>
    </xf>
    <xf numFmtId="166" fontId="0" fillId="0" borderId="0" xfId="4" applyNumberFormat="1" applyFont="1" applyFill="1"/>
    <xf numFmtId="7" fontId="0" fillId="0" borderId="0" xfId="0" applyNumberFormat="1"/>
    <xf numFmtId="10" fontId="0" fillId="0" borderId="34" xfId="0" applyNumberFormat="1" applyBorder="1"/>
    <xf numFmtId="167" fontId="0" fillId="0" borderId="34" xfId="1" applyNumberFormat="1" applyFont="1" applyBorder="1"/>
    <xf numFmtId="44" fontId="0" fillId="0" borderId="0" xfId="2" applyFont="1"/>
    <xf numFmtId="5" fontId="0" fillId="0" borderId="0" xfId="0" applyNumberFormat="1" applyAlignment="1">
      <alignment horizontal="center"/>
    </xf>
    <xf numFmtId="0" fontId="2" fillId="91" borderId="0" xfId="0" applyFont="1" applyFill="1"/>
    <xf numFmtId="0" fontId="2" fillId="91" borderId="0" xfId="0" applyFont="1" applyFill="1" applyAlignment="1">
      <alignment horizontal="left"/>
    </xf>
    <xf numFmtId="5" fontId="0" fillId="91" borderId="34" xfId="4" applyNumberFormat="1" applyFont="1" applyFill="1" applyBorder="1"/>
    <xf numFmtId="10" fontId="0" fillId="91" borderId="0" xfId="1" applyNumberFormat="1" applyFont="1" applyFill="1"/>
    <xf numFmtId="5" fontId="0" fillId="91" borderId="0" xfId="4" applyNumberFormat="1" applyFont="1" applyFill="1"/>
    <xf numFmtId="0" fontId="2" fillId="92" borderId="0" xfId="0" applyFont="1" applyFill="1" applyAlignment="1">
      <alignment horizontal="left"/>
    </xf>
    <xf numFmtId="0" fontId="0" fillId="92" borderId="0" xfId="0" applyFill="1" applyAlignment="1">
      <alignment horizontal="left"/>
    </xf>
    <xf numFmtId="0" fontId="0" fillId="91" borderId="0" xfId="0" applyFill="1"/>
    <xf numFmtId="0" fontId="0" fillId="91" borderId="34" xfId="0" applyFill="1" applyBorder="1" applyAlignment="1">
      <alignment horizontal="center"/>
    </xf>
    <xf numFmtId="0" fontId="0" fillId="91" borderId="0" xfId="0" applyFill="1" applyAlignment="1">
      <alignment horizontal="center"/>
    </xf>
    <xf numFmtId="0" fontId="2" fillId="92" borderId="0" xfId="0" applyFont="1" applyFill="1"/>
    <xf numFmtId="7" fontId="0" fillId="92" borderId="0" xfId="0" applyNumberFormat="1" applyFill="1"/>
    <xf numFmtId="164" fontId="0" fillId="9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9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0" fillId="0" borderId="0" xfId="4" applyNumberFormat="1" applyFont="1" applyFill="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9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91" borderId="0" xfId="0" applyFont="1" applyFill="1"/>
    <xf numFmtId="0" fontId="0" fillId="0" borderId="0" xfId="0" applyAlignment="1">
      <alignment horizontal="right"/>
    </xf>
    <xf numFmtId="42" fontId="0" fillId="0" borderId="0" xfId="0" applyNumberFormat="1"/>
    <xf numFmtId="0" fontId="97" fillId="0" borderId="0" xfId="0" quotePrefix="1" applyFont="1" applyAlignment="1">
      <alignment horizontal="center"/>
    </xf>
    <xf numFmtId="0" fontId="97" fillId="0" borderId="0" xfId="0" quotePrefix="1" applyFont="1"/>
    <xf numFmtId="0" fontId="23" fillId="0" borderId="0" xfId="0" applyFont="1"/>
    <xf numFmtId="0" fontId="97" fillId="0" borderId="8" xfId="0" applyFont="1" applyBorder="1" applyAlignment="1">
      <alignment horizontal="center" vertical="center" wrapText="1"/>
    </xf>
    <xf numFmtId="0" fontId="20" fillId="91" borderId="0" xfId="0" applyFont="1" applyFill="1" applyAlignment="1">
      <alignment horizontal="center"/>
    </xf>
    <xf numFmtId="195" fontId="20" fillId="91" borderId="0" xfId="1" applyNumberFormat="1" applyFont="1" applyFill="1" applyAlignment="1">
      <alignment horizontal="center"/>
    </xf>
    <xf numFmtId="196" fontId="20" fillId="91" borderId="0" xfId="1" applyNumberFormat="1" applyFont="1" applyFill="1" applyAlignment="1">
      <alignment horizontal="center"/>
    </xf>
    <xf numFmtId="166" fontId="0" fillId="91" borderId="0" xfId="4" applyNumberFormat="1" applyFont="1" applyFill="1"/>
    <xf numFmtId="10" fontId="0" fillId="0" borderId="0" xfId="1" applyNumberFormat="1" applyFont="1"/>
    <xf numFmtId="0" fontId="99" fillId="0" borderId="0" xfId="0" applyFont="1" applyAlignment="1">
      <alignment horizontal="left"/>
    </xf>
    <xf numFmtId="10" fontId="20" fillId="91" borderId="0" xfId="1" applyNumberFormat="1" applyFont="1" applyFill="1" applyAlignment="1">
      <alignment horizontal="left" indent="1"/>
    </xf>
    <xf numFmtId="14" fontId="0" fillId="91" borderId="0" xfId="0" applyNumberFormat="1" applyFill="1"/>
    <xf numFmtId="164" fontId="0" fillId="91" borderId="0" xfId="0" applyNumberFormat="1" applyFill="1"/>
    <xf numFmtId="164" fontId="23" fillId="91" borderId="0" xfId="0" applyNumberFormat="1" applyFont="1" applyFill="1"/>
    <xf numFmtId="0" fontId="20" fillId="91" borderId="0" xfId="0" applyFont="1" applyFill="1" applyAlignment="1">
      <alignment horizontal="left" indent="1"/>
    </xf>
    <xf numFmtId="0" fontId="20" fillId="91" borderId="0" xfId="0" quotePrefix="1" applyFont="1" applyFill="1" applyAlignment="1">
      <alignment horizontal="left"/>
    </xf>
    <xf numFmtId="0" fontId="20" fillId="9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2" fillId="0" borderId="0" xfId="0" applyFont="1" applyAlignment="1">
      <alignment vertical="center"/>
    </xf>
    <xf numFmtId="0" fontId="97" fillId="92" borderId="0" xfId="0" applyFont="1" applyFill="1"/>
    <xf numFmtId="0" fontId="20" fillId="92" borderId="0" xfId="0" applyFont="1" applyFill="1" applyAlignment="1">
      <alignment horizontal="center"/>
    </xf>
    <xf numFmtId="0" fontId="20" fillId="92" borderId="0" xfId="0" applyFont="1" applyFill="1"/>
    <xf numFmtId="0" fontId="20" fillId="0" borderId="0" xfId="0" quotePrefix="1" applyFont="1" applyAlignment="1">
      <alignment horizontal="center" wrapText="1"/>
    </xf>
    <xf numFmtId="166" fontId="20" fillId="0" borderId="0" xfId="8" applyNumberFormat="1" applyFont="1" applyFill="1" applyBorder="1" applyAlignment="1">
      <alignment horizontal="center"/>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0" fontId="98" fillId="0" borderId="0" xfId="0" applyFont="1" applyAlignment="1">
      <alignment horizontal="center"/>
    </xf>
    <xf numFmtId="17" fontId="20" fillId="0" borderId="0" xfId="6" quotePrefix="1" applyNumberFormat="1" applyFont="1" applyAlignment="1">
      <alignment horizontal="left"/>
    </xf>
    <xf numFmtId="0" fontId="2" fillId="0" borderId="0" xfId="0" quotePrefix="1" applyFont="1" applyAlignment="1">
      <alignment horizontal="center"/>
    </xf>
    <xf numFmtId="0" fontId="98"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20" fillId="0" borderId="0" xfId="6" quotePrefix="1" applyFont="1" applyAlignment="1">
      <alignment horizontal="center"/>
    </xf>
    <xf numFmtId="0" fontId="97" fillId="0" borderId="0" xfId="0" applyFont="1" applyAlignment="1">
      <alignment horizontal="right"/>
    </xf>
    <xf numFmtId="1" fontId="20" fillId="0" borderId="0" xfId="6" quotePrefix="1" applyNumberFormat="1" applyFont="1" applyAlignment="1">
      <alignment horizontal="center"/>
    </xf>
    <xf numFmtId="165" fontId="0" fillId="0" borderId="0" xfId="0" applyNumberFormat="1"/>
    <xf numFmtId="17" fontId="20" fillId="0" borderId="34" xfId="6" quotePrefix="1" applyNumberFormat="1" applyFont="1" applyBorder="1" applyAlignment="1">
      <alignment horizontal="left"/>
    </xf>
    <xf numFmtId="1" fontId="20" fillId="0" borderId="34" xfId="6" quotePrefix="1" applyNumberFormat="1" applyFont="1" applyBorder="1" applyAlignment="1">
      <alignment horizontal="center"/>
    </xf>
    <xf numFmtId="0" fontId="20" fillId="0" borderId="0" xfId="6" quotePrefix="1" applyFont="1" applyAlignment="1">
      <alignment horizontal="left"/>
    </xf>
    <xf numFmtId="166" fontId="0" fillId="0" borderId="0" xfId="0" applyNumberFormat="1"/>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92" borderId="0" xfId="47" applyFont="1" applyFill="1" applyAlignment="1">
      <alignment horizontal="left"/>
    </xf>
    <xf numFmtId="0" fontId="20" fillId="92" borderId="0" xfId="47" applyFont="1" applyFill="1"/>
    <xf numFmtId="0" fontId="20" fillId="9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92" borderId="0" xfId="6" applyFont="1" applyFill="1"/>
    <xf numFmtId="0" fontId="20" fillId="92" borderId="0" xfId="6" applyFont="1" applyFill="1"/>
    <xf numFmtId="0" fontId="20" fillId="0" borderId="0" xfId="6" applyFont="1" applyAlignment="1">
      <alignment horizontal="left"/>
    </xf>
    <xf numFmtId="0" fontId="98" fillId="0" borderId="0" xfId="6" applyFont="1" applyAlignment="1">
      <alignment horizontal="center"/>
    </xf>
    <xf numFmtId="0" fontId="97"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4" xfId="6" applyFont="1" applyBorder="1"/>
    <xf numFmtId="0" fontId="20" fillId="0" borderId="34" xfId="6" applyFont="1" applyBorder="1" applyAlignment="1">
      <alignment horizontal="center"/>
    </xf>
    <xf numFmtId="10" fontId="0" fillId="92" borderId="0" xfId="1" applyNumberFormat="1" applyFont="1" applyFill="1"/>
    <xf numFmtId="0" fontId="20" fillId="0" borderId="0" xfId="6" quotePrefix="1" applyFont="1" applyAlignment="1">
      <alignment horizontal="center" vertical="center" wrapText="1"/>
    </xf>
    <xf numFmtId="0" fontId="20" fillId="0" borderId="34" xfId="6" applyFont="1" applyBorder="1" applyAlignment="1">
      <alignment horizontal="left"/>
    </xf>
    <xf numFmtId="0" fontId="20" fillId="0" borderId="0" xfId="6" applyFont="1" applyAlignment="1">
      <alignment horizontal="right" indent="1"/>
    </xf>
    <xf numFmtId="0" fontId="20" fillId="92" borderId="0" xfId="6" applyFont="1" applyFill="1" applyAlignment="1">
      <alignment horizontal="right" indent="1"/>
    </xf>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165" fontId="0" fillId="0" borderId="34" xfId="9" applyNumberFormat="1" applyFont="1" applyFill="1" applyBorder="1"/>
    <xf numFmtId="166" fontId="0" fillId="0" borderId="0" xfId="9" applyNumberFormat="1" applyFont="1" applyFill="1" applyBorder="1"/>
    <xf numFmtId="166" fontId="0" fillId="0" borderId="0" xfId="9" applyNumberFormat="1" applyFont="1" applyFill="1"/>
    <xf numFmtId="17" fontId="97" fillId="9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0" fontId="97" fillId="0" borderId="0" xfId="0" applyFont="1"/>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92" borderId="0" xfId="0" applyFill="1" applyAlignment="1">
      <alignment horizontal="center"/>
    </xf>
    <xf numFmtId="0" fontId="2" fillId="92" borderId="0" xfId="0" quotePrefix="1" applyFont="1" applyFill="1" applyAlignment="1">
      <alignment horizontal="center"/>
    </xf>
    <xf numFmtId="166" fontId="20" fillId="0" borderId="0" xfId="0" applyNumberFormat="1" applyFont="1" applyAlignment="1">
      <alignment horizontal="center"/>
    </xf>
    <xf numFmtId="166" fontId="97" fillId="0" borderId="0" xfId="0" applyNumberFormat="1" applyFont="1"/>
    <xf numFmtId="0" fontId="0" fillId="0" borderId="0" xfId="0" applyAlignment="1">
      <alignment horizontal="center" vertical="center"/>
    </xf>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113" fillId="0" borderId="0" xfId="49" applyNumberFormat="1" applyAlignment="1">
      <alignment horizontal="right"/>
    </xf>
    <xf numFmtId="0" fontId="0" fillId="92" borderId="0" xfId="0" applyFill="1"/>
    <xf numFmtId="164" fontId="2" fillId="0" borderId="0" xfId="0" applyNumberFormat="1" applyFont="1"/>
    <xf numFmtId="0" fontId="97" fillId="9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4" xfId="0" applyFont="1" applyBorder="1" applyAlignment="1">
      <alignment horizontal="left"/>
    </xf>
    <xf numFmtId="0" fontId="0" fillId="0" borderId="34"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4"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4" xfId="11" applyFont="1" applyBorder="1" applyAlignment="1">
      <alignment horizontal="left"/>
    </xf>
    <xf numFmtId="1" fontId="20" fillId="0" borderId="34"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9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0" fillId="0" borderId="0" xfId="0" applyAlignment="1">
      <alignment horizontal="left" indent="1"/>
    </xf>
    <xf numFmtId="0" fontId="102" fillId="0" borderId="0" xfId="6" applyFont="1" applyAlignment="1">
      <alignment horizontal="left"/>
    </xf>
    <xf numFmtId="0" fontId="97" fillId="0" borderId="0" xfId="6" applyFont="1" applyAlignment="1">
      <alignment horizontal="right"/>
    </xf>
    <xf numFmtId="0" fontId="102" fillId="92" borderId="0" xfId="6" applyFont="1" applyFill="1" applyAlignment="1">
      <alignment horizontal="left"/>
    </xf>
    <xf numFmtId="0" fontId="97" fillId="92" borderId="0" xfId="6" applyFont="1" applyFill="1" applyAlignment="1">
      <alignment horizontal="right"/>
    </xf>
    <xf numFmtId="0" fontId="0" fillId="0" borderId="0" xfId="0" quotePrefix="1" applyAlignment="1">
      <alignment horizontal="center"/>
    </xf>
    <xf numFmtId="0" fontId="97" fillId="0" borderId="34" xfId="6" applyFont="1" applyBorder="1" applyAlignment="1">
      <alignment horizontal="center"/>
    </xf>
    <xf numFmtId="194" fontId="20" fillId="91" borderId="0" xfId="6" applyNumberFormat="1" applyFont="1" applyFill="1" applyAlignment="1">
      <alignment horizontal="center"/>
    </xf>
    <xf numFmtId="0" fontId="0" fillId="9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5" xfId="9" applyNumberFormat="1" applyFont="1" applyBorder="1"/>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92" borderId="0" xfId="9" applyNumberFormat="1" applyFont="1" applyFill="1" applyBorder="1" applyAlignment="1">
      <alignment horizontal="center"/>
    </xf>
    <xf numFmtId="39" fontId="20" fillId="92" borderId="0" xfId="9" applyNumberFormat="1" applyFont="1" applyFill="1" applyBorder="1"/>
    <xf numFmtId="194" fontId="20" fillId="91" borderId="0" xfId="47" quotePrefix="1" applyNumberFormat="1" applyFont="1" applyFill="1" applyAlignment="1">
      <alignment horizontal="center"/>
    </xf>
    <xf numFmtId="164" fontId="20" fillId="92" borderId="0" xfId="9" applyNumberFormat="1" applyFont="1" applyFill="1" applyBorder="1"/>
    <xf numFmtId="164" fontId="97" fillId="0" borderId="0" xfId="6" applyNumberFormat="1" applyFont="1" applyAlignment="1">
      <alignment horizontal="center"/>
    </xf>
    <xf numFmtId="164" fontId="97" fillId="0" borderId="34" xfId="6" applyNumberFormat="1" applyFont="1" applyBorder="1" applyAlignment="1">
      <alignment horizontal="center"/>
    </xf>
    <xf numFmtId="164" fontId="20" fillId="0" borderId="34" xfId="9" applyNumberFormat="1" applyFont="1" applyBorder="1"/>
    <xf numFmtId="164" fontId="20" fillId="0" borderId="35" xfId="9" applyNumberFormat="1" applyFont="1" applyFill="1" applyBorder="1"/>
    <xf numFmtId="164" fontId="20" fillId="92" borderId="0" xfId="9" applyNumberFormat="1" applyFont="1" applyFill="1" applyBorder="1" applyAlignment="1">
      <alignment horizontal="left" indent="1"/>
    </xf>
    <xf numFmtId="0" fontId="20" fillId="9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0" borderId="0" xfId="0" applyAlignment="1">
      <alignment wrapText="1"/>
    </xf>
    <xf numFmtId="0" fontId="0" fillId="91" borderId="0" xfId="0" applyFill="1" applyAlignment="1">
      <alignment wrapText="1"/>
    </xf>
    <xf numFmtId="0" fontId="20" fillId="0" borderId="0" xfId="0" applyFont="1" applyAlignment="1">
      <alignment horizontal="right" indent="1"/>
    </xf>
    <xf numFmtId="14" fontId="0" fillId="0" borderId="0" xfId="0" applyNumberFormat="1"/>
    <xf numFmtId="44" fontId="0" fillId="9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91" borderId="0" xfId="7" applyFont="1" applyFill="1"/>
    <xf numFmtId="164" fontId="96" fillId="91" borderId="0" xfId="7" applyNumberFormat="1" applyFont="1" applyFill="1"/>
    <xf numFmtId="164" fontId="20" fillId="91" borderId="0" xfId="7" applyNumberFormat="1" applyFont="1" applyFill="1"/>
    <xf numFmtId="0" fontId="20" fillId="9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6"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23" fillId="0" borderId="0" xfId="0" applyNumberFormat="1" applyFont="1"/>
    <xf numFmtId="10" fontId="0" fillId="0" borderId="0" xfId="1" applyNumberFormat="1" applyFont="1" applyAlignment="1">
      <alignment vertical="center"/>
    </xf>
    <xf numFmtId="0" fontId="0" fillId="0" borderId="0" xfId="0" quotePrefix="1"/>
    <xf numFmtId="0" fontId="2" fillId="0" borderId="0" xfId="47" applyFont="1" applyAlignment="1">
      <alignment horizontal="center"/>
    </xf>
    <xf numFmtId="0" fontId="20" fillId="0" borderId="37" xfId="47" applyFont="1" applyBorder="1"/>
    <xf numFmtId="0" fontId="20" fillId="0" borderId="38" xfId="47" applyFont="1" applyBorder="1"/>
    <xf numFmtId="0" fontId="20" fillId="0" borderId="6" xfId="47" applyFont="1" applyBorder="1"/>
    <xf numFmtId="0" fontId="97" fillId="0" borderId="6" xfId="47" applyFont="1" applyBorder="1"/>
    <xf numFmtId="0" fontId="97" fillId="0" borderId="38"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9" xfId="47" applyFont="1" applyBorder="1" applyAlignment="1">
      <alignment horizontal="center"/>
    </xf>
    <xf numFmtId="0" fontId="98" fillId="0" borderId="35" xfId="47" applyFont="1" applyBorder="1" applyAlignment="1">
      <alignment horizontal="center"/>
    </xf>
    <xf numFmtId="0" fontId="20" fillId="0" borderId="35"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91" borderId="0" xfId="0" quotePrefix="1" applyFill="1" applyAlignment="1">
      <alignment horizontal="center"/>
    </xf>
    <xf numFmtId="6" fontId="0" fillId="0" borderId="0" xfId="0" applyNumberFormat="1"/>
    <xf numFmtId="5" fontId="0" fillId="91" borderId="0" xfId="0" applyNumberFormat="1" applyFill="1"/>
    <xf numFmtId="5" fontId="2" fillId="0" borderId="0" xfId="0" applyNumberFormat="1" applyFont="1"/>
    <xf numFmtId="0" fontId="4" fillId="92" borderId="0" xfId="0" applyFont="1" applyFill="1" applyAlignment="1">
      <alignment horizontal="center"/>
    </xf>
    <xf numFmtId="0" fontId="4" fillId="92" borderId="0" xfId="0" applyFont="1" applyFill="1"/>
    <xf numFmtId="6" fontId="0" fillId="91" borderId="0" xfId="4" applyNumberFormat="1" applyFont="1" applyFill="1" applyBorder="1"/>
    <xf numFmtId="0" fontId="4" fillId="0" borderId="0" xfId="0" applyFont="1" applyAlignment="1">
      <alignment horizontal="left"/>
    </xf>
    <xf numFmtId="0" fontId="4" fillId="9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92" borderId="0" xfId="0" applyNumberFormat="1" applyFill="1" applyAlignment="1">
      <alignment horizontal="right"/>
    </xf>
    <xf numFmtId="10" fontId="20" fillId="92" borderId="0" xfId="9" applyNumberFormat="1" applyFont="1" applyFill="1" applyBorder="1"/>
    <xf numFmtId="5" fontId="2" fillId="0" borderId="36" xfId="0" applyNumberFormat="1" applyFont="1" applyBorder="1"/>
    <xf numFmtId="5" fontId="2" fillId="0" borderId="15" xfId="0" applyNumberFormat="1" applyFont="1" applyBorder="1"/>
    <xf numFmtId="10" fontId="2" fillId="0" borderId="0" xfId="1" applyNumberFormat="1" applyFont="1"/>
    <xf numFmtId="10" fontId="2" fillId="92" borderId="0" xfId="1" applyNumberFormat="1" applyFont="1" applyFill="1"/>
    <xf numFmtId="3" fontId="0" fillId="0" borderId="0" xfId="0" applyNumberFormat="1"/>
    <xf numFmtId="10" fontId="2" fillId="0" borderId="0" xfId="0" applyNumberFormat="1" applyFont="1"/>
    <xf numFmtId="0" fontId="0" fillId="91" borderId="0" xfId="0" quotePrefix="1" applyFill="1"/>
    <xf numFmtId="167" fontId="0" fillId="91" borderId="0" xfId="1" applyNumberFormat="1" applyFont="1" applyFill="1"/>
    <xf numFmtId="167" fontId="0" fillId="0" borderId="0" xfId="1" applyNumberFormat="1" applyFont="1" applyFill="1"/>
    <xf numFmtId="5" fontId="0" fillId="91" borderId="0" xfId="4" applyNumberFormat="1" applyFont="1" applyFill="1" applyAlignment="1">
      <alignment wrapText="1"/>
    </xf>
    <xf numFmtId="0" fontId="3" fillId="0" borderId="0" xfId="0" applyFont="1" applyAlignment="1">
      <alignment horizontal="center"/>
    </xf>
    <xf numFmtId="166" fontId="0" fillId="91" borderId="34" xfId="4" applyNumberFormat="1" applyFont="1" applyFill="1" applyBorder="1"/>
    <xf numFmtId="201" fontId="0" fillId="91" borderId="0" xfId="4" applyNumberFormat="1" applyFont="1" applyFill="1"/>
    <xf numFmtId="0" fontId="20" fillId="0" borderId="0" xfId="0" applyFont="1" applyAlignment="1">
      <alignment horizontal="center"/>
    </xf>
    <xf numFmtId="3" fontId="20" fillId="0" borderId="0" xfId="0" applyNumberFormat="1" applyFont="1"/>
    <xf numFmtId="0" fontId="105" fillId="0" borderId="0" xfId="0" applyFont="1"/>
    <xf numFmtId="0" fontId="106" fillId="0" borderId="0" xfId="0" applyFont="1"/>
    <xf numFmtId="202" fontId="20" fillId="0" borderId="0" xfId="0" applyNumberFormat="1" applyFont="1" applyAlignment="1">
      <alignment horizontal="center"/>
    </xf>
    <xf numFmtId="199" fontId="20" fillId="0" borderId="0" xfId="0" applyNumberFormat="1" applyFont="1"/>
    <xf numFmtId="164" fontId="107" fillId="0" borderId="0" xfId="0" applyNumberFormat="1" applyFont="1"/>
    <xf numFmtId="164" fontId="97" fillId="0" borderId="0" xfId="0" applyNumberFormat="1" applyFont="1"/>
    <xf numFmtId="0" fontId="97" fillId="0" borderId="0" xfId="0" applyFont="1" applyAlignment="1">
      <alignment horizontal="center"/>
    </xf>
    <xf numFmtId="202" fontId="20" fillId="0" borderId="0" xfId="0" applyNumberFormat="1" applyFont="1"/>
    <xf numFmtId="164" fontId="103" fillId="0" borderId="0" xfId="0" applyNumberFormat="1" applyFont="1"/>
    <xf numFmtId="164" fontId="103" fillId="0" borderId="0" xfId="0" applyNumberFormat="1" applyFont="1" applyAlignment="1">
      <alignment horizontal="right"/>
    </xf>
    <xf numFmtId="167" fontId="103" fillId="0" borderId="0" xfId="0" applyNumberFormat="1" applyFont="1"/>
    <xf numFmtId="167" fontId="106" fillId="0" borderId="0" xfId="0" applyNumberFormat="1" applyFont="1"/>
    <xf numFmtId="202" fontId="20" fillId="0" borderId="34" xfId="0" applyNumberFormat="1" applyFont="1" applyBorder="1" applyAlignment="1">
      <alignment horizontal="center"/>
    </xf>
    <xf numFmtId="3" fontId="20" fillId="0" borderId="34" xfId="0" applyNumberFormat="1" applyFont="1" applyBorder="1"/>
    <xf numFmtId="0" fontId="20" fillId="0" borderId="34" xfId="0" applyFont="1" applyBorder="1" applyAlignment="1">
      <alignment horizontal="center"/>
    </xf>
    <xf numFmtId="0" fontId="20" fillId="0" borderId="34" xfId="0" applyFont="1" applyBorder="1"/>
    <xf numFmtId="164" fontId="20" fillId="0" borderId="34" xfId="0" applyNumberFormat="1" applyFont="1" applyBorder="1" applyAlignment="1">
      <alignment horizontal="left"/>
    </xf>
    <xf numFmtId="164" fontId="20" fillId="0" borderId="34" xfId="0" applyNumberFormat="1" applyFont="1" applyBorder="1"/>
    <xf numFmtId="0" fontId="97" fillId="0" borderId="34" xfId="0" applyFont="1" applyBorder="1" applyAlignment="1">
      <alignment horizontal="right"/>
    </xf>
    <xf numFmtId="0" fontId="97" fillId="0" borderId="34" xfId="0" applyFont="1" applyBorder="1"/>
    <xf numFmtId="0" fontId="97" fillId="0" borderId="0" xfId="0" quotePrefix="1" applyFont="1" applyAlignment="1">
      <alignment horizontal="left"/>
    </xf>
    <xf numFmtId="199" fontId="97" fillId="0" borderId="0" xfId="0" applyNumberFormat="1" applyFont="1"/>
    <xf numFmtId="164" fontId="20" fillId="0" borderId="0" xfId="0" applyNumberFormat="1" applyFont="1" applyAlignment="1">
      <alignment horizontal="left"/>
    </xf>
    <xf numFmtId="0" fontId="20" fillId="0" borderId="0" xfId="0" applyFont="1" applyAlignment="1">
      <alignment horizontal="right"/>
    </xf>
    <xf numFmtId="3" fontId="20" fillId="91" borderId="34" xfId="0" applyNumberFormat="1" applyFont="1" applyFill="1" applyBorder="1"/>
    <xf numFmtId="202" fontId="97" fillId="0" borderId="0" xfId="0" applyNumberFormat="1" applyFont="1"/>
    <xf numFmtId="3" fontId="20" fillId="91" borderId="0" xfId="0" applyNumberFormat="1" applyFont="1" applyFill="1"/>
    <xf numFmtId="3" fontId="97" fillId="0" borderId="0" xfId="0" applyNumberFormat="1" applyFont="1"/>
    <xf numFmtId="3" fontId="20" fillId="0" borderId="0" xfId="0" applyNumberFormat="1" applyFont="1" applyAlignment="1">
      <alignment horizontal="left"/>
    </xf>
    <xf numFmtId="0" fontId="97" fillId="0" borderId="34" xfId="0" quotePrefix="1" applyFont="1" applyBorder="1" applyAlignment="1">
      <alignment horizontal="left"/>
    </xf>
    <xf numFmtId="199" fontId="97" fillId="0" borderId="34" xfId="0" applyNumberFormat="1" applyFont="1" applyBorder="1"/>
    <xf numFmtId="202" fontId="97" fillId="0" borderId="34" xfId="0" applyNumberFormat="1" applyFont="1" applyBorder="1"/>
    <xf numFmtId="0" fontId="102" fillId="0" borderId="0" xfId="0" applyFont="1" applyAlignment="1">
      <alignment horizontal="center"/>
    </xf>
    <xf numFmtId="0" fontId="20" fillId="0" borderId="0" xfId="0" applyFont="1" applyAlignment="1">
      <alignment horizontal="centerContinuous"/>
    </xf>
    <xf numFmtId="3" fontId="20" fillId="0" borderId="0" xfId="0" applyNumberFormat="1" applyFont="1" applyAlignment="1">
      <alignment horizontal="center"/>
    </xf>
    <xf numFmtId="0" fontId="20" fillId="91" borderId="0" xfId="0" applyFont="1" applyFill="1"/>
    <xf numFmtId="0" fontId="97" fillId="0" borderId="0" xfId="0" applyFont="1" applyAlignment="1">
      <alignment horizontal="left"/>
    </xf>
    <xf numFmtId="0" fontId="97" fillId="0" borderId="0" xfId="0" quotePrefix="1"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97" fillId="0" borderId="14" xfId="0" applyFont="1" applyBorder="1"/>
    <xf numFmtId="3" fontId="97" fillId="0" borderId="14" xfId="0" applyNumberFormat="1" applyFont="1" applyBorder="1"/>
    <xf numFmtId="0" fontId="97" fillId="0" borderId="40" xfId="0" applyFont="1" applyBorder="1"/>
    <xf numFmtId="10" fontId="108" fillId="0" borderId="0" xfId="0" applyNumberFormat="1" applyFont="1" applyAlignment="1">
      <alignment horizontal="center"/>
    </xf>
    <xf numFmtId="10" fontId="20" fillId="0" borderId="0" xfId="0" applyNumberFormat="1" applyFont="1" applyAlignment="1">
      <alignment horizontal="center"/>
    </xf>
    <xf numFmtId="167" fontId="20" fillId="0" borderId="0" xfId="0" applyNumberFormat="1" applyFont="1"/>
    <xf numFmtId="203" fontId="20" fillId="0" borderId="0" xfId="0" applyNumberFormat="1" applyFont="1" applyAlignment="1">
      <alignment horizontal="center"/>
    </xf>
    <xf numFmtId="3" fontId="20" fillId="0" borderId="0" xfId="0" applyNumberFormat="1" applyFont="1" applyAlignment="1">
      <alignment horizontal="right"/>
    </xf>
    <xf numFmtId="166" fontId="20" fillId="91" borderId="0" xfId="8160" applyNumberFormat="1" applyFont="1" applyFill="1" applyBorder="1"/>
    <xf numFmtId="166" fontId="20" fillId="0" borderId="0" xfId="8160" applyNumberFormat="1" applyFont="1" applyFill="1" applyBorder="1"/>
    <xf numFmtId="166" fontId="20" fillId="91" borderId="0" xfId="8160" applyNumberFormat="1" applyFont="1" applyFill="1" applyBorder="1" applyAlignment="1">
      <alignment horizontal="center"/>
    </xf>
    <xf numFmtId="166" fontId="20" fillId="0" borderId="0" xfId="8160" applyNumberFormat="1" applyFont="1" applyFill="1" applyAlignment="1">
      <alignment horizontal="center"/>
    </xf>
    <xf numFmtId="10" fontId="97" fillId="0" borderId="0" xfId="0" applyNumberFormat="1" applyFont="1" applyAlignment="1">
      <alignment horizontal="center"/>
    </xf>
    <xf numFmtId="166" fontId="20" fillId="0" borderId="0" xfId="8160" applyNumberFormat="1" applyFont="1" applyFill="1" applyBorder="1" applyAlignment="1">
      <alignment horizontal="center"/>
    </xf>
    <xf numFmtId="37" fontId="20" fillId="91" borderId="0" xfId="8160" applyNumberFormat="1" applyFont="1" applyFill="1" applyBorder="1"/>
    <xf numFmtId="37" fontId="20" fillId="0" borderId="0" xfId="8160" applyNumberFormat="1" applyFont="1" applyFill="1" applyBorder="1"/>
    <xf numFmtId="166" fontId="20" fillId="9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203" fontId="20" fillId="91" borderId="0" xfId="0" applyNumberFormat="1" applyFont="1" applyFill="1" applyAlignment="1">
      <alignment horizontal="center"/>
    </xf>
    <xf numFmtId="167" fontId="20" fillId="0" borderId="0" xfId="0" applyNumberFormat="1" applyFont="1" applyAlignment="1">
      <alignment horizontal="center"/>
    </xf>
    <xf numFmtId="0" fontId="20" fillId="0" borderId="0" xfId="0" quotePrefix="1" applyFont="1" applyAlignment="1">
      <alignment horizontal="center" vertical="center" wrapText="1"/>
    </xf>
    <xf numFmtId="3" fontId="20" fillId="0" borderId="0" xfId="0" quotePrefix="1" applyNumberFormat="1" applyFont="1" applyAlignment="1">
      <alignment horizontal="center" vertical="center"/>
    </xf>
    <xf numFmtId="0" fontId="20" fillId="0" borderId="0" xfId="0" applyFont="1" applyAlignment="1">
      <alignment horizontal="center" vertical="center"/>
    </xf>
    <xf numFmtId="3" fontId="20" fillId="0" borderId="0" xfId="0" applyNumberFormat="1" applyFont="1" applyAlignment="1">
      <alignment horizontal="centerContinuous"/>
    </xf>
    <xf numFmtId="10" fontId="20" fillId="0" borderId="0" xfId="1" applyNumberFormat="1" applyFont="1"/>
    <xf numFmtId="0" fontId="97" fillId="91" borderId="0" xfId="47" applyFont="1" applyFill="1"/>
    <xf numFmtId="10" fontId="0" fillId="0" borderId="34" xfId="1" applyNumberFormat="1" applyFont="1" applyFill="1" applyBorder="1"/>
    <xf numFmtId="17" fontId="0" fillId="0" borderId="0" xfId="0" applyNumberFormat="1"/>
    <xf numFmtId="0" fontId="98" fillId="0" borderId="0" xfId="0" applyFont="1" applyAlignment="1">
      <alignment horizontal="right"/>
    </xf>
    <xf numFmtId="37" fontId="97" fillId="0" borderId="0" xfId="0" applyNumberFormat="1" applyFont="1"/>
    <xf numFmtId="0" fontId="96" fillId="0" borderId="0" xfId="0" applyFont="1" applyAlignment="1">
      <alignment horizontal="center"/>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0" fontId="20" fillId="0" borderId="35" xfId="0" applyFont="1" applyBorder="1"/>
    <xf numFmtId="0" fontId="20" fillId="0" borderId="0" xfId="6" quotePrefix="1" applyFont="1" applyAlignment="1">
      <alignment horizontal="center" vertical="center"/>
    </xf>
    <xf numFmtId="0" fontId="2" fillId="0" borderId="41" xfId="0" applyFont="1" applyBorder="1" applyAlignment="1">
      <alignment horizontal="center"/>
    </xf>
    <xf numFmtId="0" fontId="0" fillId="0" borderId="42" xfId="0" applyBorder="1"/>
    <xf numFmtId="0" fontId="0" fillId="0" borderId="43" xfId="0" applyBorder="1"/>
    <xf numFmtId="0" fontId="0" fillId="0" borderId="41"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5" xfId="0" applyNumberFormat="1" applyFont="1" applyBorder="1"/>
    <xf numFmtId="5" fontId="20" fillId="91" borderId="0" xfId="6" applyNumberFormat="1" applyFont="1" applyFill="1"/>
    <xf numFmtId="5" fontId="0" fillId="9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5" xfId="9" applyNumberFormat="1" applyFont="1" applyBorder="1"/>
    <xf numFmtId="5" fontId="20" fillId="91" borderId="0" xfId="9" applyNumberFormat="1" applyFont="1" applyFill="1" applyBorder="1"/>
    <xf numFmtId="5" fontId="0" fillId="91" borderId="0" xfId="9" applyNumberFormat="1" applyFont="1" applyFill="1" applyBorder="1"/>
    <xf numFmtId="7" fontId="20" fillId="0" borderId="0" xfId="1" applyNumberFormat="1" applyFont="1" applyBorder="1"/>
    <xf numFmtId="5" fontId="20" fillId="0" borderId="44"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5" xfId="9" applyNumberFormat="1" applyFont="1" applyFill="1" applyBorder="1"/>
    <xf numFmtId="5" fontId="0" fillId="0" borderId="0" xfId="0" applyNumberFormat="1" applyAlignment="1">
      <alignment horizontal="right"/>
    </xf>
    <xf numFmtId="5" fontId="3" fillId="0" borderId="0" xfId="0" applyNumberFormat="1" applyFont="1"/>
    <xf numFmtId="192" fontId="0" fillId="0" borderId="0" xfId="0" applyNumberFormat="1"/>
    <xf numFmtId="5" fontId="0" fillId="0" borderId="0" xfId="0" applyNumberFormat="1" applyAlignment="1">
      <alignment vertical="center"/>
    </xf>
    <xf numFmtId="10" fontId="0" fillId="9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4" xfId="47" applyNumberFormat="1" applyFont="1" applyBorder="1"/>
    <xf numFmtId="5" fontId="97" fillId="0" borderId="0" xfId="47" applyNumberFormat="1" applyFont="1" applyAlignment="1">
      <alignment horizontal="right"/>
    </xf>
    <xf numFmtId="5" fontId="20" fillId="91" borderId="0" xfId="47" applyNumberFormat="1" applyFont="1" applyFill="1"/>
    <xf numFmtId="5" fontId="20" fillId="91" borderId="34" xfId="47" applyNumberFormat="1" applyFont="1" applyFill="1" applyBorder="1"/>
    <xf numFmtId="39" fontId="0" fillId="0" borderId="0" xfId="0" applyNumberFormat="1" applyAlignment="1">
      <alignment horizontal="left" indent="1"/>
    </xf>
    <xf numFmtId="44" fontId="0" fillId="0" borderId="0" xfId="0" applyNumberFormat="1" applyAlignment="1">
      <alignment horizontal="left"/>
    </xf>
    <xf numFmtId="44" fontId="0" fillId="92" borderId="0" xfId="0" applyNumberFormat="1" applyFill="1" applyAlignment="1">
      <alignment horizontal="left"/>
    </xf>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4" xfId="4" applyNumberFormat="1" applyFont="1" applyBorder="1"/>
    <xf numFmtId="5" fontId="20" fillId="91" borderId="0" xfId="8160" applyNumberFormat="1" applyFont="1" applyFill="1" applyBorder="1" applyProtection="1">
      <protection locked="0"/>
    </xf>
    <xf numFmtId="5" fontId="20" fillId="91" borderId="34" xfId="8160" applyNumberFormat="1" applyFont="1" applyFill="1" applyBorder="1" applyProtection="1">
      <protection locked="0"/>
    </xf>
    <xf numFmtId="5" fontId="20" fillId="91" borderId="0" xfId="0" applyNumberFormat="1" applyFont="1" applyFill="1" applyProtection="1">
      <protection locked="0"/>
    </xf>
    <xf numFmtId="5" fontId="97" fillId="0" borderId="0" xfId="0" applyNumberFormat="1" applyFont="1"/>
    <xf numFmtId="5" fontId="20" fillId="91" borderId="0" xfId="8" applyNumberFormat="1" applyFont="1" applyFill="1"/>
    <xf numFmtId="5" fontId="20" fillId="91" borderId="0" xfId="8" applyNumberFormat="1" applyFont="1" applyFill="1" applyBorder="1"/>
    <xf numFmtId="5" fontId="20" fillId="0" borderId="0" xfId="8" applyNumberFormat="1" applyFont="1" applyFill="1" applyBorder="1"/>
    <xf numFmtId="5" fontId="20" fillId="0" borderId="34" xfId="8" applyNumberFormat="1" applyFont="1" applyFill="1" applyBorder="1"/>
    <xf numFmtId="5" fontId="0" fillId="91" borderId="0" xfId="8" applyNumberFormat="1" applyFont="1" applyFill="1"/>
    <xf numFmtId="5" fontId="20" fillId="91" borderId="34" xfId="8" applyNumberFormat="1" applyFont="1" applyFill="1" applyBorder="1"/>
    <xf numFmtId="5" fontId="0" fillId="0" borderId="34" xfId="8" applyNumberFormat="1" applyFont="1" applyFill="1" applyBorder="1"/>
    <xf numFmtId="5" fontId="0" fillId="0" borderId="0" xfId="8" applyNumberFormat="1" applyFont="1" applyFill="1"/>
    <xf numFmtId="5" fontId="0" fillId="91" borderId="34"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4" xfId="9" applyNumberFormat="1" applyFont="1" applyFill="1" applyBorder="1"/>
    <xf numFmtId="5" fontId="0" fillId="91" borderId="0" xfId="9" applyNumberFormat="1" applyFont="1" applyFill="1"/>
    <xf numFmtId="5" fontId="20" fillId="91" borderId="34" xfId="9" applyNumberFormat="1" applyFont="1" applyFill="1" applyBorder="1"/>
    <xf numFmtId="5" fontId="0" fillId="0" borderId="0" xfId="9" applyNumberFormat="1" applyFont="1" applyFill="1"/>
    <xf numFmtId="5" fontId="0" fillId="91" borderId="0" xfId="8" applyNumberFormat="1" applyFont="1" applyFill="1" applyBorder="1"/>
    <xf numFmtId="5" fontId="20" fillId="0" borderId="0" xfId="0" applyNumberFormat="1" applyFont="1" applyAlignment="1">
      <alignment horizontal="center"/>
    </xf>
    <xf numFmtId="5" fontId="20" fillId="0" borderId="34" xfId="0" applyNumberFormat="1" applyFont="1" applyBorder="1" applyAlignment="1">
      <alignment horizontal="center"/>
    </xf>
    <xf numFmtId="5" fontId="113" fillId="0" borderId="0" xfId="49" applyNumberForma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9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91" borderId="34" xfId="9" applyNumberFormat="1" applyFont="1" applyFill="1" applyBorder="1" applyAlignment="1">
      <alignment horizontal="right"/>
    </xf>
    <xf numFmtId="5" fontId="20" fillId="0" borderId="34"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91" borderId="0" xfId="0" applyNumberFormat="1" applyFill="1" applyAlignment="1">
      <alignment horizontal="right"/>
    </xf>
    <xf numFmtId="5" fontId="2" fillId="91" borderId="0" xfId="0" applyNumberFormat="1" applyFont="1" applyFill="1"/>
    <xf numFmtId="5" fontId="0" fillId="91" borderId="0" xfId="4" applyNumberFormat="1" applyFont="1" applyFill="1" applyBorder="1"/>
    <xf numFmtId="5" fontId="0" fillId="0" borderId="0" xfId="4" applyNumberFormat="1" applyFont="1" applyBorder="1"/>
    <xf numFmtId="0" fontId="109" fillId="0" borderId="0" xfId="0" applyFont="1"/>
    <xf numFmtId="3" fontId="20" fillId="0" borderId="0" xfId="0" quotePrefix="1" applyNumberFormat="1" applyFont="1" applyAlignment="1">
      <alignment horizontal="center"/>
    </xf>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5" fontId="20" fillId="0" borderId="34" xfId="0" applyNumberFormat="1" applyFont="1" applyBorder="1"/>
    <xf numFmtId="10" fontId="2" fillId="0" borderId="34"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5" fontId="97" fillId="0" borderId="35"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4" xfId="0" applyFont="1" applyBorder="1" applyAlignment="1">
      <alignment horizontal="center" wrapText="1"/>
    </xf>
    <xf numFmtId="10" fontId="0" fillId="0" borderId="0" xfId="4" applyNumberFormat="1" applyFont="1" applyFill="1" applyAlignment="1">
      <alignment horizontal="right"/>
    </xf>
    <xf numFmtId="0" fontId="0" fillId="0" borderId="35" xfId="0" applyBorder="1"/>
    <xf numFmtId="0" fontId="0" fillId="91" borderId="41"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4" xfId="6" applyNumberFormat="1" applyFont="1" applyBorder="1"/>
    <xf numFmtId="166" fontId="0" fillId="0" borderId="34" xfId="4" applyNumberFormat="1" applyFont="1" applyFill="1" applyBorder="1"/>
    <xf numFmtId="5" fontId="0" fillId="0" borderId="34"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6" fontId="0" fillId="0" borderId="0" xfId="4" applyNumberFormat="1" applyFont="1" applyFill="1" applyBorder="1"/>
    <xf numFmtId="164" fontId="97" fillId="0" borderId="0" xfId="6" applyNumberFormat="1" applyFont="1"/>
    <xf numFmtId="166" fontId="2" fillId="0" borderId="0" xfId="0" applyNumberFormat="1" applyFont="1"/>
    <xf numFmtId="5" fontId="97" fillId="0" borderId="45" xfId="0" applyNumberFormat="1" applyFont="1" applyBorder="1"/>
    <xf numFmtId="6" fontId="0" fillId="0" borderId="0" xfId="4" applyNumberFormat="1" applyFont="1" applyFill="1"/>
    <xf numFmtId="5" fontId="2" fillId="0" borderId="44" xfId="0" applyNumberFormat="1" applyFont="1" applyBorder="1"/>
    <xf numFmtId="10" fontId="2" fillId="0" borderId="35" xfId="0" applyNumberFormat="1" applyFont="1" applyBorder="1"/>
    <xf numFmtId="164" fontId="2" fillId="0" borderId="0" xfId="4" applyNumberFormat="1" applyFont="1"/>
    <xf numFmtId="0" fontId="97" fillId="0" borderId="0" xfId="47" applyFont="1" applyAlignment="1">
      <alignment horizontal="left" indent="1"/>
    </xf>
    <xf numFmtId="2" fontId="97" fillId="0" borderId="0" xfId="0" applyNumberFormat="1" applyFont="1" applyAlignment="1">
      <alignment horizontal="left"/>
    </xf>
    <xf numFmtId="5" fontId="97" fillId="0" borderId="0" xfId="0" applyNumberFormat="1" applyFont="1" applyProtection="1">
      <protection locked="0"/>
    </xf>
    <xf numFmtId="2" fontId="98" fillId="0" borderId="0" xfId="0" applyNumberFormat="1" applyFont="1" applyAlignment="1">
      <alignment horizontal="left"/>
    </xf>
    <xf numFmtId="0" fontId="97" fillId="0" borderId="35" xfId="0" applyFont="1" applyBorder="1" applyAlignment="1">
      <alignment horizontal="center" vertical="center" wrapText="1"/>
    </xf>
    <xf numFmtId="5" fontId="97" fillId="0" borderId="35" xfId="8" applyNumberFormat="1" applyFont="1" applyFill="1" applyBorder="1"/>
    <xf numFmtId="0" fontId="97" fillId="0" borderId="35"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4"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4" xfId="47" applyFont="1" applyBorder="1"/>
    <xf numFmtId="0" fontId="20" fillId="0" borderId="34" xfId="47" applyFont="1" applyBorder="1" applyAlignment="1">
      <alignment horizontal="center"/>
    </xf>
    <xf numFmtId="5" fontId="20" fillId="0" borderId="34" xfId="0" applyNumberFormat="1" applyFont="1" applyBorder="1" applyAlignment="1">
      <alignment horizontal="right"/>
    </xf>
    <xf numFmtId="5" fontId="20" fillId="0" borderId="34" xfId="0" quotePrefix="1" applyNumberFormat="1" applyFont="1" applyBorder="1" applyAlignment="1">
      <alignment horizontal="center"/>
    </xf>
    <xf numFmtId="5" fontId="97" fillId="0" borderId="46" xfId="6" applyNumberFormat="1" applyFont="1" applyBorder="1" applyAlignment="1">
      <alignment horizontal="right"/>
    </xf>
    <xf numFmtId="0" fontId="0" fillId="91" borderId="0" xfId="0" applyFill="1" applyAlignment="1">
      <alignment horizontal="left"/>
    </xf>
    <xf numFmtId="10" fontId="0" fillId="0" borderId="34"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91" borderId="0" xfId="4" applyNumberFormat="1" applyFont="1" applyFill="1" applyBorder="1" applyAlignment="1">
      <alignment horizontal="right" indent="1"/>
    </xf>
    <xf numFmtId="14" fontId="20" fillId="91" borderId="0" xfId="0" applyNumberFormat="1" applyFont="1" applyFill="1" applyAlignment="1">
      <alignment horizontal="center"/>
    </xf>
    <xf numFmtId="0" fontId="20" fillId="91" borderId="0" xfId="0" applyFont="1" applyFill="1" applyAlignment="1">
      <alignment horizontal="left"/>
    </xf>
    <xf numFmtId="5" fontId="20" fillId="91" borderId="0" xfId="0" applyNumberFormat="1" applyFont="1" applyFill="1"/>
    <xf numFmtId="43" fontId="0" fillId="0" borderId="0" xfId="0" applyNumberFormat="1"/>
    <xf numFmtId="5" fontId="0" fillId="0" borderId="0" xfId="0" applyNumberFormat="1" applyAlignment="1">
      <alignment horizontal="left"/>
    </xf>
    <xf numFmtId="5" fontId="2" fillId="0" borderId="35" xfId="4" applyNumberFormat="1" applyFont="1" applyFill="1" applyBorder="1"/>
    <xf numFmtId="10" fontId="2" fillId="0" borderId="0" xfId="0" applyNumberFormat="1" applyFont="1" applyAlignment="1">
      <alignment horizontal="right"/>
    </xf>
    <xf numFmtId="5" fontId="0" fillId="0" borderId="34"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10" fontId="20" fillId="0" borderId="0" xfId="31682" applyNumberFormat="1" applyFont="1" applyAlignment="1">
      <alignment horizontal="center"/>
    </xf>
    <xf numFmtId="10" fontId="20" fillId="0" borderId="47" xfId="31682" applyNumberFormat="1" applyFont="1" applyBorder="1" applyAlignment="1">
      <alignment horizontal="center"/>
    </xf>
    <xf numFmtId="10" fontId="97" fillId="0" borderId="47" xfId="31682" applyNumberFormat="1" applyFont="1" applyBorder="1" applyAlignment="1">
      <alignment horizontal="center"/>
    </xf>
    <xf numFmtId="10" fontId="108" fillId="0" borderId="47" xfId="31682" applyNumberFormat="1" applyFont="1" applyBorder="1" applyAlignment="1">
      <alignment horizontal="center"/>
    </xf>
    <xf numFmtId="3" fontId="98" fillId="0" borderId="48" xfId="0" quotePrefix="1" applyNumberFormat="1" applyFont="1" applyBorder="1" applyAlignment="1">
      <alignment horizontal="center"/>
    </xf>
    <xf numFmtId="3" fontId="98" fillId="0" borderId="47" xfId="0" quotePrefix="1" applyNumberFormat="1" applyFont="1" applyBorder="1" applyAlignment="1">
      <alignment horizontal="center"/>
    </xf>
    <xf numFmtId="3" fontId="20" fillId="0" borderId="47" xfId="0" quotePrefix="1" applyNumberFormat="1" applyFont="1" applyBorder="1" applyAlignment="1">
      <alignment horizontal="center"/>
    </xf>
    <xf numFmtId="167" fontId="20" fillId="0" borderId="47" xfId="0" applyNumberFormat="1" applyFont="1" applyBorder="1" applyAlignment="1">
      <alignment horizontal="center"/>
    </xf>
    <xf numFmtId="167" fontId="96" fillId="0" borderId="47" xfId="0" applyNumberFormat="1" applyFont="1" applyBorder="1" applyAlignment="1">
      <alignment horizontal="center"/>
    </xf>
    <xf numFmtId="167" fontId="20" fillId="0" borderId="47" xfId="0" applyNumberFormat="1" applyFont="1" applyBorder="1"/>
    <xf numFmtId="10" fontId="20" fillId="0" borderId="47" xfId="0" applyNumberFormat="1" applyFont="1" applyBorder="1" applyAlignment="1">
      <alignment horizontal="center"/>
    </xf>
    <xf numFmtId="10" fontId="97" fillId="0" borderId="46" xfId="1" applyNumberFormat="1" applyFont="1" applyFill="1" applyBorder="1" applyAlignment="1">
      <alignment horizontal="center"/>
    </xf>
    <xf numFmtId="0" fontId="1" fillId="0" borderId="0" xfId="24911"/>
    <xf numFmtId="0" fontId="110" fillId="0" borderId="0" xfId="47" applyFont="1" applyAlignment="1">
      <alignment horizontal="center"/>
    </xf>
    <xf numFmtId="0" fontId="1" fillId="0" borderId="0" xfId="24911" applyAlignment="1">
      <alignment horizontal="center"/>
    </xf>
    <xf numFmtId="0" fontId="1" fillId="0" borderId="34" xfId="24911" applyBorder="1"/>
    <xf numFmtId="0" fontId="0" fillId="0" borderId="0" xfId="31683" applyFont="1"/>
    <xf numFmtId="0" fontId="97" fillId="0" borderId="34" xfId="31683" applyFont="1" applyBorder="1" applyAlignment="1">
      <alignment horizontal="center"/>
    </xf>
    <xf numFmtId="0" fontId="97" fillId="0" borderId="0" xfId="31683" applyFont="1" applyAlignment="1">
      <alignment horizontal="center"/>
    </xf>
    <xf numFmtId="0" fontId="97" fillId="0" borderId="15" xfId="31683" applyFont="1" applyBorder="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0" fillId="0" borderId="0" xfId="31683" quotePrefix="1" applyFont="1" applyAlignment="1">
      <alignment horizontal="center"/>
    </xf>
    <xf numFmtId="0" fontId="0" fillId="0" borderId="0" xfId="31683" applyFont="1" applyAlignment="1">
      <alignment horizontal="center"/>
    </xf>
    <xf numFmtId="39" fontId="97" fillId="0" borderId="0" xfId="31683" quotePrefix="1" applyNumberFormat="1" applyFont="1" applyAlignment="1">
      <alignment horizontal="center"/>
    </xf>
    <xf numFmtId="0" fontId="0" fillId="0" borderId="26" xfId="31683" applyFont="1" applyBorder="1"/>
    <xf numFmtId="14" fontId="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0" fillId="0" borderId="0" xfId="31683" applyNumberFormat="1" applyFont="1"/>
    <xf numFmtId="37" fontId="20" fillId="0" borderId="0" xfId="31683" applyNumberFormat="1" applyFont="1" applyAlignment="1">
      <alignment horizontal="center"/>
    </xf>
    <xf numFmtId="37" fontId="20" fillId="0" borderId="34" xfId="31683" applyNumberFormat="1" applyFont="1" applyBorder="1" applyAlignment="1">
      <alignment horizontal="right"/>
    </xf>
    <xf numFmtId="37" fontId="0" fillId="0" borderId="34" xfId="31683" applyNumberFormat="1" applyFont="1" applyBorder="1"/>
    <xf numFmtId="0" fontId="0" fillId="0" borderId="0" xfId="24911" applyFont="1"/>
    <xf numFmtId="0" fontId="0" fillId="0" borderId="34" xfId="31683" applyFont="1" applyBorder="1"/>
    <xf numFmtId="0" fontId="20" fillId="0" borderId="0" xfId="47" applyFont="1" applyAlignment="1">
      <alignment horizontal="fill"/>
    </xf>
    <xf numFmtId="37" fontId="0" fillId="0" borderId="0" xfId="31683" applyNumberFormat="1" applyFont="1" applyAlignment="1">
      <alignment horizontal="center"/>
    </xf>
    <xf numFmtId="0" fontId="20" fillId="0" borderId="34" xfId="16013" applyFont="1" applyBorder="1"/>
    <xf numFmtId="0" fontId="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0" fillId="0" borderId="0" xfId="47" applyFont="1"/>
    <xf numFmtId="0" fontId="97" fillId="91" borderId="0" xfId="0" applyFont="1" applyFill="1" applyAlignment="1">
      <alignment horizontal="left"/>
    </xf>
    <xf numFmtId="5" fontId="20" fillId="91" borderId="0" xfId="0" applyNumberFormat="1" applyFont="1" applyFill="1" applyAlignment="1">
      <alignment horizontal="right"/>
    </xf>
    <xf numFmtId="37" fontId="0" fillId="93" borderId="0" xfId="31683" applyNumberFormat="1" applyFont="1" applyFill="1"/>
    <xf numFmtId="0" fontId="0" fillId="93" borderId="0" xfId="31683" applyFont="1" applyFill="1" applyAlignment="1">
      <alignment horizontal="center"/>
    </xf>
    <xf numFmtId="0" fontId="0" fillId="93" borderId="0" xfId="31683" applyFont="1" applyFill="1" applyAlignment="1">
      <alignment horizontal="left"/>
    </xf>
    <xf numFmtId="37" fontId="0" fillId="0" borderId="34" xfId="0" applyNumberFormat="1" applyBorder="1"/>
    <xf numFmtId="5" fontId="20" fillId="91" borderId="0" xfId="7" applyNumberFormat="1" applyFont="1" applyFill="1"/>
    <xf numFmtId="5" fontId="96" fillId="91" borderId="0" xfId="7" applyNumberFormat="1" applyFont="1" applyFill="1"/>
    <xf numFmtId="5" fontId="97" fillId="0" borderId="36" xfId="7" applyNumberFormat="1" applyFont="1" applyBorder="1" applyAlignment="1">
      <alignment vertical="center"/>
    </xf>
    <xf numFmtId="5" fontId="20" fillId="0" borderId="0" xfId="7" applyNumberFormat="1" applyFont="1"/>
    <xf numFmtId="37" fontId="20" fillId="0" borderId="0" xfId="6" applyNumberFormat="1" applyFont="1"/>
    <xf numFmtId="0" fontId="20" fillId="0" borderId="0" xfId="0" applyFont="1" applyAlignment="1">
      <alignment horizontal="right" wrapText="1"/>
    </xf>
    <xf numFmtId="0" fontId="20" fillId="0" borderId="0" xfId="6" applyFont="1" applyAlignment="1">
      <alignment horizontal="left" wrapText="1"/>
    </xf>
    <xf numFmtId="37" fontId="1" fillId="0" borderId="0" xfId="24911" applyNumberFormat="1"/>
    <xf numFmtId="0" fontId="96" fillId="0" borderId="0" xfId="6" quotePrefix="1" applyFont="1" applyAlignment="1">
      <alignment horizontal="center"/>
    </xf>
    <xf numFmtId="0" fontId="97" fillId="0" borderId="35" xfId="6" applyFont="1" applyBorder="1" applyAlignment="1">
      <alignment horizontal="left"/>
    </xf>
    <xf numFmtId="0" fontId="97" fillId="0" borderId="35" xfId="6" quotePrefix="1" applyFont="1" applyBorder="1" applyAlignment="1">
      <alignment horizontal="left"/>
    </xf>
    <xf numFmtId="5" fontId="97" fillId="0" borderId="35" xfId="9" applyNumberFormat="1" applyFont="1" applyFill="1" applyBorder="1"/>
    <xf numFmtId="5" fontId="2" fillId="0" borderId="35" xfId="0" applyNumberFormat="1" applyFont="1" applyBorder="1"/>
    <xf numFmtId="6" fontId="100" fillId="0" borderId="0" xfId="0" applyNumberFormat="1" applyFont="1"/>
    <xf numFmtId="0" fontId="20" fillId="93" borderId="0" xfId="11" applyFont="1" applyFill="1" applyAlignment="1">
      <alignment horizontal="left" vertical="center"/>
    </xf>
    <xf numFmtId="5" fontId="20" fillId="0" borderId="0" xfId="6" applyNumberFormat="1" applyFont="1"/>
    <xf numFmtId="5" fontId="0" fillId="0" borderId="0" xfId="9" applyNumberFormat="1" applyFont="1"/>
    <xf numFmtId="5" fontId="20" fillId="91" borderId="0" xfId="9" applyNumberFormat="1" applyFont="1" applyFill="1"/>
    <xf numFmtId="6" fontId="20" fillId="91" borderId="0" xfId="4" applyNumberFormat="1" applyFont="1" applyFill="1"/>
    <xf numFmtId="164" fontId="20" fillId="0" borderId="49" xfId="47" applyNumberFormat="1" applyFont="1" applyBorder="1"/>
    <xf numFmtId="164" fontId="96" fillId="0" borderId="49" xfId="47" applyNumberFormat="1" applyFont="1" applyBorder="1"/>
    <xf numFmtId="164" fontId="96" fillId="0" borderId="0" xfId="47" applyNumberFormat="1" applyFont="1" applyAlignment="1">
      <alignment horizontal="right"/>
    </xf>
    <xf numFmtId="166" fontId="20" fillId="0" borderId="0" xfId="4" applyNumberFormat="1" applyFont="1"/>
    <xf numFmtId="0" fontId="0" fillId="0" borderId="6" xfId="47" applyFont="1" applyBorder="1" applyAlignment="1">
      <alignment horizontal="right"/>
    </xf>
    <xf numFmtId="5" fontId="97" fillId="0" borderId="35"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4" xfId="47" applyFont="1" applyBorder="1" applyAlignment="1">
      <alignment horizontal="right"/>
    </xf>
    <xf numFmtId="5" fontId="97" fillId="0" borderId="34" xfId="47" applyNumberFormat="1" applyFont="1" applyBorder="1"/>
    <xf numFmtId="0" fontId="20" fillId="0" borderId="34" xfId="47" applyFont="1" applyBorder="1" applyAlignment="1">
      <alignment horizontal="left" indent="1"/>
    </xf>
    <xf numFmtId="164" fontId="20" fillId="0" borderId="50" xfId="47" applyNumberFormat="1" applyFont="1" applyBorder="1"/>
    <xf numFmtId="0" fontId="20" fillId="0" borderId="35" xfId="47" applyFont="1" applyBorder="1" applyAlignment="1">
      <alignment horizontal="right"/>
    </xf>
    <xf numFmtId="164" fontId="20" fillId="0" borderId="35" xfId="47" applyNumberFormat="1" applyFont="1" applyBorder="1"/>
    <xf numFmtId="0" fontId="20" fillId="0" borderId="35" xfId="47" applyFont="1" applyBorder="1" applyAlignment="1">
      <alignment horizontal="left" indent="1"/>
    </xf>
    <xf numFmtId="164" fontId="20" fillId="0" borderId="39" xfId="47" applyNumberFormat="1" applyFont="1" applyBorder="1"/>
    <xf numFmtId="5" fontId="97" fillId="0" borderId="15" xfId="47" applyNumberFormat="1" applyFont="1" applyBorder="1"/>
    <xf numFmtId="164" fontId="96" fillId="0" borderId="50" xfId="47" applyNumberFormat="1" applyFont="1" applyBorder="1"/>
    <xf numFmtId="164" fontId="97" fillId="0" borderId="0" xfId="47" applyNumberFormat="1" applyFont="1"/>
    <xf numFmtId="164" fontId="96" fillId="0" borderId="39" xfId="47" applyNumberFormat="1" applyFont="1" applyBorder="1"/>
    <xf numFmtId="5" fontId="20" fillId="91" borderId="0" xfId="4" applyNumberFormat="1" applyFont="1" applyFill="1"/>
    <xf numFmtId="10" fontId="0" fillId="93" borderId="0" xfId="1"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91" borderId="0" xfId="4" applyNumberFormat="1" applyFont="1" applyFill="1"/>
    <xf numFmtId="5" fontId="20" fillId="0" borderId="34" xfId="4" applyNumberFormat="1" applyFont="1" applyFill="1" applyBorder="1"/>
    <xf numFmtId="5" fontId="0" fillId="91" borderId="0" xfId="1" applyNumberFormat="1" applyFont="1" applyFill="1" applyAlignment="1">
      <alignment horizontal="right"/>
    </xf>
    <xf numFmtId="5" fontId="0" fillId="93" borderId="0" xfId="4" applyNumberFormat="1" applyFont="1" applyFill="1"/>
    <xf numFmtId="7" fontId="2" fillId="0" borderId="0" xfId="0" applyNumberFormat="1" applyFont="1" applyAlignment="1">
      <alignment horizontal="right"/>
    </xf>
    <xf numFmtId="10" fontId="2" fillId="0" borderId="34" xfId="0" applyNumberFormat="1" applyFont="1" applyBorder="1" applyAlignment="1">
      <alignment horizontal="right"/>
    </xf>
    <xf numFmtId="5" fontId="2" fillId="0" borderId="35" xfId="4" applyNumberFormat="1" applyFont="1" applyBorder="1"/>
    <xf numFmtId="5" fontId="20" fillId="0" borderId="44" xfId="6" applyNumberFormat="1" applyFont="1" applyBorder="1" applyAlignment="1">
      <alignment horizontal="right"/>
    </xf>
    <xf numFmtId="0" fontId="2" fillId="91" borderId="0" xfId="0" applyFont="1" applyFill="1" applyAlignment="1">
      <alignment horizontal="center"/>
    </xf>
    <xf numFmtId="0" fontId="97" fillId="91" borderId="8" xfId="0" applyFont="1" applyFill="1" applyBorder="1" applyAlignment="1">
      <alignment horizontal="center" wrapText="1"/>
    </xf>
    <xf numFmtId="10" fontId="0" fillId="91" borderId="0" xfId="0" applyNumberFormat="1" applyFill="1"/>
    <xf numFmtId="0" fontId="0" fillId="0" borderId="34" xfId="0" applyBorder="1" applyAlignment="1">
      <alignment horizontal="left"/>
    </xf>
    <xf numFmtId="5" fontId="0" fillId="0" borderId="34"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4" xfId="0" applyFont="1" applyBorder="1" applyAlignment="1">
      <alignment horizontal="centerContinuous"/>
    </xf>
    <xf numFmtId="37" fontId="0" fillId="0" borderId="34" xfId="0" applyNumberFormat="1" applyBorder="1" applyAlignment="1">
      <alignment horizontal="center"/>
    </xf>
    <xf numFmtId="39" fontId="0" fillId="0" borderId="34" xfId="8" applyNumberFormat="1" applyFont="1" applyFill="1" applyBorder="1"/>
    <xf numFmtId="0" fontId="2" fillId="0" borderId="0" xfId="0" applyFont="1" applyAlignment="1">
      <alignment horizontal="center" vertical="center"/>
    </xf>
    <xf numFmtId="0" fontId="0" fillId="91" borderId="0" xfId="47" applyFont="1" applyFill="1" applyAlignment="1">
      <alignment horizontal="left" indent="1"/>
    </xf>
    <xf numFmtId="0" fontId="2" fillId="0" borderId="0" xfId="0" applyFont="1" applyAlignment="1">
      <alignment wrapText="1"/>
    </xf>
    <xf numFmtId="0" fontId="20" fillId="91" borderId="0" xfId="47" applyFont="1" applyFill="1" applyAlignment="1">
      <alignment horizontal="right"/>
    </xf>
    <xf numFmtId="0" fontId="20" fillId="91" borderId="6" xfId="47" applyFont="1" applyFill="1" applyBorder="1"/>
    <xf numFmtId="0" fontId="0" fillId="94" borderId="0" xfId="0" applyFill="1"/>
    <xf numFmtId="5" fontId="0" fillId="93" borderId="34" xfId="4" applyNumberFormat="1" applyFont="1" applyFill="1" applyBorder="1"/>
    <xf numFmtId="5" fontId="20" fillId="91" borderId="36" xfId="0" applyNumberFormat="1" applyFont="1" applyFill="1" applyBorder="1"/>
    <xf numFmtId="10" fontId="20" fillId="0" borderId="0" xfId="1" applyNumberFormat="1" applyFont="1" applyBorder="1"/>
    <xf numFmtId="14" fontId="20" fillId="91" borderId="0" xfId="0" quotePrefix="1" applyNumberFormat="1" applyFont="1" applyFill="1" applyAlignment="1">
      <alignment horizontal="right" vertical="center"/>
    </xf>
    <xf numFmtId="5" fontId="20" fillId="91" borderId="0" xfId="0" applyNumberFormat="1" applyFont="1" applyFill="1" applyAlignment="1">
      <alignment horizontal="center"/>
    </xf>
    <xf numFmtId="14" fontId="20" fillId="91" borderId="0" xfId="0" applyNumberFormat="1" applyFont="1" applyFill="1" applyAlignment="1">
      <alignment horizontal="right" vertical="center"/>
    </xf>
    <xf numFmtId="166" fontId="0" fillId="0" borderId="0" xfId="31685" applyNumberFormat="1" applyFont="1"/>
    <xf numFmtId="166" fontId="0" fillId="91" borderId="0" xfId="0" applyNumberFormat="1" applyFill="1"/>
    <xf numFmtId="43" fontId="20" fillId="91" borderId="0" xfId="47" applyNumberFormat="1" applyFont="1" applyFill="1"/>
    <xf numFmtId="0" fontId="20" fillId="91" borderId="0" xfId="0" applyFont="1" applyFill="1" applyAlignment="1">
      <alignment horizontal="right"/>
    </xf>
    <xf numFmtId="0" fontId="97" fillId="91" borderId="0" xfId="0" applyFont="1" applyFill="1" applyAlignment="1">
      <alignment horizontal="center" wrapText="1"/>
    </xf>
    <xf numFmtId="166" fontId="0" fillId="91" borderId="0" xfId="4" applyNumberFormat="1" applyFont="1" applyFill="1" applyAlignment="1">
      <alignment horizontal="right"/>
    </xf>
    <xf numFmtId="166" fontId="0" fillId="91" borderId="34" xfId="4" applyNumberFormat="1" applyFont="1" applyFill="1" applyBorder="1" applyAlignment="1">
      <alignment horizontal="right"/>
    </xf>
    <xf numFmtId="10" fontId="97" fillId="0" borderId="0" xfId="1" applyNumberFormat="1" applyFont="1" applyFill="1" applyBorder="1" applyProtection="1">
      <protection locked="0"/>
    </xf>
    <xf numFmtId="166" fontId="0" fillId="93" borderId="0" xfId="4" applyNumberFormat="1" applyFont="1" applyFill="1"/>
    <xf numFmtId="166" fontId="0" fillId="93" borderId="34" xfId="4" applyNumberFormat="1" applyFont="1" applyFill="1" applyBorder="1"/>
    <xf numFmtId="166" fontId="0" fillId="93" borderId="0" xfId="31683" applyNumberFormat="1" applyFont="1" applyFill="1"/>
    <xf numFmtId="166" fontId="20" fillId="93" borderId="0" xfId="31683" applyNumberFormat="1" applyFont="1" applyFill="1"/>
    <xf numFmtId="0" fontId="97" fillId="0" borderId="0" xfId="47" applyFont="1" applyAlignment="1">
      <alignment horizontal="center" vertical="top"/>
    </xf>
    <xf numFmtId="0" fontId="20" fillId="0" borderId="0" xfId="47" applyFont="1" applyAlignment="1">
      <alignment vertical="top"/>
    </xf>
    <xf numFmtId="5" fontId="97" fillId="91" borderId="0" xfId="47" applyNumberFormat="1" applyFont="1" applyFill="1" applyAlignment="1">
      <alignment vertical="top"/>
    </xf>
    <xf numFmtId="0" fontId="20" fillId="0" borderId="0" xfId="47" applyFont="1" applyAlignment="1">
      <alignment horizontal="left" vertical="top"/>
    </xf>
    <xf numFmtId="164" fontId="20" fillId="0" borderId="49" xfId="47" applyNumberFormat="1" applyFont="1" applyBorder="1" applyAlignment="1">
      <alignment vertical="top"/>
    </xf>
    <xf numFmtId="164" fontId="20" fillId="0" borderId="0" xfId="47" applyNumberFormat="1" applyFont="1" applyAlignment="1">
      <alignment horizontal="right" vertical="top"/>
    </xf>
    <xf numFmtId="10" fontId="108" fillId="0" borderId="51" xfId="0" applyNumberFormat="1" applyFont="1" applyBorder="1" applyAlignment="1">
      <alignment horizontal="center"/>
    </xf>
    <xf numFmtId="10" fontId="20" fillId="91" borderId="47" xfId="1" applyNumberFormat="1" applyFont="1" applyFill="1" applyBorder="1" applyAlignment="1">
      <alignment horizontal="center"/>
    </xf>
    <xf numFmtId="199" fontId="20" fillId="0" borderId="0" xfId="2" applyNumberFormat="1" applyFont="1" applyFill="1" applyBorder="1"/>
    <xf numFmtId="166" fontId="0" fillId="93" borderId="0" xfId="4" applyNumberFormat="1" applyFont="1" applyFill="1" applyAlignment="1">
      <alignment horizontal="left"/>
    </xf>
    <xf numFmtId="0" fontId="97" fillId="0" borderId="49" xfId="47" applyFont="1" applyBorder="1" applyAlignment="1">
      <alignment horizontal="center"/>
    </xf>
    <xf numFmtId="167" fontId="97" fillId="0" borderId="49" xfId="47" applyNumberFormat="1" applyFont="1" applyBorder="1" applyAlignment="1">
      <alignment horizontal="center"/>
    </xf>
    <xf numFmtId="0" fontId="1" fillId="0" borderId="34" xfId="24911" applyBorder="1" applyAlignment="1">
      <alignment horizontal="center"/>
    </xf>
    <xf numFmtId="0" fontId="2" fillId="0" borderId="15" xfId="0" applyFont="1" applyBorder="1" applyAlignment="1">
      <alignment horizontal="center"/>
    </xf>
    <xf numFmtId="0" fontId="2" fillId="0" borderId="8" xfId="0" applyFont="1" applyBorder="1" applyAlignment="1">
      <alignment horizontal="center"/>
    </xf>
    <xf numFmtId="0" fontId="20" fillId="91" borderId="0" xfId="0" applyFont="1" applyFill="1" applyAlignment="1">
      <alignment horizontal="left" vertical="top" wrapText="1"/>
    </xf>
    <xf numFmtId="0" fontId="0" fillId="95" borderId="0" xfId="0" applyFill="1"/>
    <xf numFmtId="0" fontId="0" fillId="95" borderId="0" xfId="0" applyFill="1" applyAlignment="1">
      <alignment horizontal="center"/>
    </xf>
    <xf numFmtId="5" fontId="0" fillId="95" borderId="0" xfId="4" applyNumberFormat="1" applyFont="1" applyFill="1"/>
    <xf numFmtId="10" fontId="0" fillId="95" borderId="0" xfId="1" applyNumberFormat="1" applyFont="1" applyFill="1"/>
    <xf numFmtId="0" fontId="2" fillId="95" borderId="0" xfId="0" applyFont="1" applyFill="1" applyAlignment="1">
      <alignment horizontal="center"/>
    </xf>
    <xf numFmtId="5" fontId="0" fillId="95" borderId="0" xfId="0" applyNumberFormat="1" applyFill="1"/>
    <xf numFmtId="5" fontId="0" fillId="94" borderId="0" xfId="4" applyNumberFormat="1" applyFont="1" applyFill="1"/>
    <xf numFmtId="0" fontId="2" fillId="96" borderId="0" xfId="0" applyFont="1" applyFill="1" applyAlignment="1">
      <alignment horizontal="center"/>
    </xf>
    <xf numFmtId="0" fontId="0" fillId="96" borderId="0" xfId="0" applyFill="1"/>
    <xf numFmtId="0" fontId="0" fillId="96" borderId="0" xfId="0" applyFill="1" applyAlignment="1">
      <alignment horizontal="center"/>
    </xf>
    <xf numFmtId="164" fontId="0" fillId="96" borderId="0" xfId="0" applyNumberFormat="1" applyFill="1"/>
    <xf numFmtId="5" fontId="0" fillId="96" borderId="0" xfId="4" applyNumberFormat="1" applyFont="1" applyFill="1"/>
    <xf numFmtId="10" fontId="0" fillId="96" borderId="0" xfId="1" applyNumberFormat="1" applyFont="1" applyFill="1"/>
    <xf numFmtId="44" fontId="20" fillId="0" borderId="0" xfId="2" applyFont="1"/>
    <xf numFmtId="44" fontId="20" fillId="0" borderId="0" xfId="2" applyFont="1" applyAlignment="1">
      <alignment vertical="top"/>
    </xf>
    <xf numFmtId="9" fontId="20" fillId="0" borderId="0" xfId="1" applyFont="1"/>
    <xf numFmtId="0" fontId="96" fillId="0" borderId="0" xfId="47" applyFont="1" applyAlignment="1">
      <alignment horizontal="center"/>
    </xf>
    <xf numFmtId="164" fontId="96" fillId="0" borderId="0" xfId="47" applyNumberFormat="1" applyFont="1" applyAlignment="1">
      <alignment horizontal="center"/>
    </xf>
    <xf numFmtId="7" fontId="20" fillId="0" borderId="0" xfId="47" applyNumberFormat="1" applyFont="1"/>
    <xf numFmtId="165" fontId="0" fillId="0" borderId="44" xfId="2" applyNumberFormat="1" applyFont="1" applyBorder="1"/>
    <xf numFmtId="0" fontId="0" fillId="0" borderId="0" xfId="0" applyAlignment="1">
      <alignment horizontal="centerContinuous"/>
    </xf>
    <xf numFmtId="5" fontId="2" fillId="0" borderId="0" xfId="0" applyNumberFormat="1" applyFont="1" applyAlignment="1">
      <alignment wrapText="1"/>
    </xf>
    <xf numFmtId="5" fontId="20" fillId="94" borderId="0" xfId="47" applyNumberFormat="1" applyFont="1" applyFill="1"/>
    <xf numFmtId="5" fontId="0" fillId="94" borderId="34" xfId="4" applyNumberFormat="1" applyFont="1" applyFill="1" applyBorder="1"/>
    <xf numFmtId="5" fontId="0" fillId="0" borderId="44" xfId="0" applyNumberFormat="1" applyBorder="1"/>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9" xfId="0" applyBorder="1" applyAlignment="1">
      <alignment horizontal="left" wrapText="1"/>
    </xf>
    <xf numFmtId="0" fontId="0" fillId="0" borderId="50"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0" fillId="0" borderId="0" xfId="0" applyAlignment="1">
      <alignment horizontal="center" wrapText="1"/>
    </xf>
    <xf numFmtId="0" fontId="20" fillId="0" borderId="0" xfId="0" applyFont="1" applyAlignment="1">
      <alignment horizontal="left" wrapText="1"/>
    </xf>
    <xf numFmtId="0" fontId="20" fillId="0" borderId="0" xfId="0" applyFont="1" applyAlignment="1">
      <alignment horizontal="left"/>
    </xf>
    <xf numFmtId="0" fontId="2" fillId="0" borderId="0" xfId="0" applyFont="1" applyAlignment="1">
      <alignment horizontal="center" wrapText="1"/>
    </xf>
    <xf numFmtId="0" fontId="20" fillId="0" borderId="0" xfId="47" applyFont="1" applyAlignment="1">
      <alignment horizontal="left"/>
    </xf>
    <xf numFmtId="0" fontId="20" fillId="91" borderId="0" xfId="0" applyFont="1" applyFill="1" applyAlignment="1">
      <alignment horizontal="left"/>
    </xf>
    <xf numFmtId="0" fontId="20" fillId="91" borderId="0" xfId="0" applyFont="1" applyFill="1" applyAlignment="1">
      <alignment horizontal="left" wrapText="1"/>
    </xf>
    <xf numFmtId="0" fontId="97" fillId="0" borderId="0" xfId="6" applyFont="1" applyAlignment="1">
      <alignment horizontal="center"/>
    </xf>
    <xf numFmtId="0" fontId="97" fillId="37" borderId="52" xfId="0" applyFont="1" applyFill="1" applyBorder="1" applyAlignment="1">
      <alignment horizontal="center"/>
    </xf>
    <xf numFmtId="0" fontId="97" fillId="37" borderId="15" xfId="0" applyFont="1" applyFill="1" applyBorder="1" applyAlignment="1">
      <alignment horizontal="center"/>
    </xf>
    <xf numFmtId="0" fontId="97" fillId="37" borderId="53" xfId="0" applyFont="1" applyFill="1" applyBorder="1" applyAlignment="1">
      <alignment horizontal="center"/>
    </xf>
    <xf numFmtId="0" fontId="97" fillId="0" borderId="34" xfId="0" applyFont="1" applyBorder="1" applyAlignment="1">
      <alignment horizontal="center"/>
    </xf>
    <xf numFmtId="0" fontId="2" fillId="0" borderId="34"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4"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1" fillId="0" borderId="34" xfId="24911" applyBorder="1" applyAlignment="1">
      <alignment horizontal="center"/>
    </xf>
    <xf numFmtId="37" fontId="97" fillId="0" borderId="15" xfId="31683" applyNumberFormat="1" applyFont="1" applyBorder="1" applyAlignment="1">
      <alignment horizontal="center"/>
    </xf>
    <xf numFmtId="0" fontId="111" fillId="0" borderId="15" xfId="0" applyFont="1" applyBorder="1" applyAlignment="1">
      <alignment horizontal="center" vertical="center" wrapText="1"/>
    </xf>
    <xf numFmtId="0" fontId="2" fillId="0" borderId="52" xfId="0" applyFont="1" applyBorder="1" applyAlignment="1">
      <alignment horizontal="center"/>
    </xf>
    <xf numFmtId="0" fontId="2" fillId="0" borderId="15" xfId="0" applyFont="1" applyBorder="1" applyAlignment="1">
      <alignment horizontal="center"/>
    </xf>
    <xf numFmtId="0" fontId="2" fillId="0" borderId="53" xfId="0" applyFont="1" applyBorder="1" applyAlignment="1">
      <alignment horizontal="center"/>
    </xf>
    <xf numFmtId="0" fontId="2" fillId="0" borderId="8" xfId="0" applyFont="1" applyBorder="1" applyAlignment="1">
      <alignment horizontal="center"/>
    </xf>
    <xf numFmtId="0" fontId="0" fillId="91" borderId="0" xfId="0" applyFill="1" applyAlignment="1">
      <alignment horizontal="left" wrapText="1"/>
    </xf>
    <xf numFmtId="0" fontId="2" fillId="0" borderId="44" xfId="0" applyFont="1" applyBorder="1" applyAlignment="1">
      <alignment horizontal="right"/>
    </xf>
    <xf numFmtId="0" fontId="2" fillId="0" borderId="41" xfId="0" applyFont="1" applyBorder="1" applyAlignment="1">
      <alignment horizontal="center" wrapText="1"/>
    </xf>
    <xf numFmtId="0" fontId="2" fillId="0" borderId="43" xfId="0" applyFont="1" applyBorder="1" applyAlignment="1">
      <alignment horizontal="center" wrapText="1"/>
    </xf>
    <xf numFmtId="0" fontId="2" fillId="0" borderId="8" xfId="0" applyFont="1" applyBorder="1" applyAlignment="1">
      <alignment horizontal="center" wrapText="1"/>
    </xf>
    <xf numFmtId="0" fontId="20" fillId="0" borderId="6" xfId="47" applyFont="1" applyBorder="1" applyAlignment="1">
      <alignment horizontal="right" vertical="top" wrapText="1"/>
    </xf>
    <xf numFmtId="0" fontId="20" fillId="0" borderId="0" xfId="47" applyFont="1" applyAlignment="1">
      <alignment horizontal="right" vertical="top" wrapText="1"/>
    </xf>
    <xf numFmtId="0" fontId="20" fillId="91" borderId="0" xfId="0" applyFont="1" applyFill="1" applyAlignment="1">
      <alignment horizontal="left" vertical="top" wrapText="1"/>
    </xf>
    <xf numFmtId="3" fontId="20" fillId="0" borderId="0" xfId="0" applyNumberFormat="1" applyFont="1" applyAlignment="1">
      <alignment horizontal="center"/>
    </xf>
    <xf numFmtId="167" fontId="97" fillId="0" borderId="40"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1712">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1686" xr:uid="{00000000-0005-0000-0000-0000C67B0000}"/>
    <cellStyle name="Comma 33" xfId="31692" xr:uid="{00000000-0005-0000-0000-0000CC7B0000}"/>
    <cellStyle name="Comma 34" xfId="31685" xr:uid="{00000000-0005-0000-0000-0000C57B0000}"/>
    <cellStyle name="Comma 35" xfId="52" xr:uid="{00000000-0005-0000-0000-000034000000}"/>
    <cellStyle name="Comma 36" xfId="31693" xr:uid="{00000000-0005-0000-0000-0000CD7B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0" xfId="31694" xr:uid="{00000000-0005-0000-0000-0000CE7B0000}"/>
    <cellStyle name="Comma 41" xfId="31695" xr:uid="{00000000-0005-0000-0000-0000CF7B0000}"/>
    <cellStyle name="Comma 42" xfId="31696" xr:uid="{00000000-0005-0000-0000-0000D07B0000}"/>
    <cellStyle name="Comma 43" xfId="31697" xr:uid="{00000000-0005-0000-0000-0000D17B0000}"/>
    <cellStyle name="Comma 44" xfId="31698" xr:uid="{00000000-0005-0000-0000-0000D27B0000}"/>
    <cellStyle name="Comma 45" xfId="31699" xr:uid="{00000000-0005-0000-0000-0000D37B0000}"/>
    <cellStyle name="Comma 46" xfId="31700" xr:uid="{00000000-0005-0000-0000-0000D47B0000}"/>
    <cellStyle name="Comma 47" xfId="31701" xr:uid="{00000000-0005-0000-0000-0000D57B0000}"/>
    <cellStyle name="Comma 48" xfId="31702" xr:uid="{00000000-0005-0000-0000-0000D67B0000}"/>
    <cellStyle name="Comma 49" xfId="31703" xr:uid="{00000000-0005-0000-0000-0000D77B0000}"/>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50" xfId="31704" xr:uid="{00000000-0005-0000-0000-0000D87B0000}"/>
    <cellStyle name="Comma 51" xfId="31705" xr:uid="{00000000-0005-0000-0000-0000D97B0000}"/>
    <cellStyle name="Comma 52" xfId="31706" xr:uid="{00000000-0005-0000-0000-0000DA7B0000}"/>
    <cellStyle name="Comma 53" xfId="31707" xr:uid="{00000000-0005-0000-0000-0000DB7B0000}"/>
    <cellStyle name="Comma 54" xfId="31708" xr:uid="{00000000-0005-0000-0000-0000DC7B0000}"/>
    <cellStyle name="Comma 55" xfId="31709" xr:uid="{00000000-0005-0000-0000-0000DD7B0000}"/>
    <cellStyle name="Comma 56" xfId="31710" xr:uid="{00000000-0005-0000-0000-0000DE7B0000}"/>
    <cellStyle name="Comma 57" xfId="31711" xr:uid="{00000000-0005-0000-0000-0000DF7B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0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1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27B0000}"/>
    <cellStyle name="Normal 8" xfId="74" xr:uid="{00000000-0005-0000-0000-00004A000000}"/>
    <cellStyle name="Normal 9" xfId="75" xr:uid="{00000000-0005-0000-0000-00004B000000}"/>
    <cellStyle name="Normal_ITC Model I Updated to May 1 2009 FLE's" xfId="31683" xr:uid="{00000000-0005-0000-0000-0000C37B0000}"/>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0000000-0005-0000-0000-0000C47B0000}"/>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Cell 2" xfId="31689" xr:uid="{00000000-0005-0000-0000-0000C97B0000}"/>
    <cellStyle name="SAPDataTotalCell" xfId="15" xr:uid="{00000000-0005-0000-0000-00000F000000}"/>
    <cellStyle name="SAPDataTotalCell 2" xfId="31691" xr:uid="{00000000-0005-0000-0000-0000CB7B0000}"/>
    <cellStyle name="SAPDimensionCell" xfId="16" xr:uid="{00000000-0005-0000-0000-000010000000}"/>
    <cellStyle name="SAPDimensionCell 2" xfId="31687" xr:uid="{00000000-0005-0000-0000-0000C77B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Cell 2" xfId="31688" xr:uid="{00000000-0005-0000-0000-0000C87B0000}"/>
    <cellStyle name="SAPMemberTotalCell" xfId="44" xr:uid="{00000000-0005-0000-0000-00002C000000}"/>
    <cellStyle name="SAPMemberTotalCell 2" xfId="31690" xr:uid="{00000000-0005-0000-0000-0000CA7B0000}"/>
    <cellStyle name="SAPReadonlyDataCell" xfId="45" xr:uid="{00000000-0005-0000-0000-00002D000000}"/>
    <cellStyle name="SAPReadonlyDataTotalCell" xfId="46" xr:uid="{00000000-0005-0000-0000-00002E000000}"/>
  </cellStyles>
  <dxfs count="7">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auto="1"/>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F17"/>
  <sheetViews>
    <sheetView view="pageBreakPreview" zoomScale="130" zoomScaleSheetLayoutView="130" workbookViewId="0">
      <selection activeCell="E21" sqref="E21"/>
    </sheetView>
  </sheetViews>
  <sheetFormatPr defaultRowHeight="14.5"/>
  <cols>
    <col min="1" max="6" width="9.1796875" customWidth="1"/>
  </cols>
  <sheetData>
    <row r="5" spans="1:6" ht="20">
      <c r="A5" s="795"/>
      <c r="B5" s="795"/>
      <c r="C5" s="795"/>
      <c r="D5" s="795"/>
      <c r="E5" s="795"/>
      <c r="F5" s="795"/>
    </row>
    <row r="6" spans="1:6" ht="20">
      <c r="A6" s="795"/>
      <c r="B6" s="795"/>
      <c r="C6" s="795"/>
      <c r="D6" s="795"/>
      <c r="E6" s="795"/>
      <c r="F6" s="795"/>
    </row>
    <row r="7" spans="1:6" ht="20">
      <c r="A7" s="795"/>
      <c r="B7" s="795"/>
      <c r="C7" s="795"/>
      <c r="D7" s="795"/>
      <c r="E7" s="795"/>
      <c r="F7" s="795"/>
    </row>
    <row r="8" spans="1:6" ht="20">
      <c r="A8" s="10"/>
      <c r="B8" s="10"/>
      <c r="C8" s="10"/>
      <c r="D8" s="10"/>
      <c r="E8" s="10"/>
      <c r="F8" s="10"/>
    </row>
    <row r="9" spans="1:6">
      <c r="A9" s="62"/>
      <c r="B9" s="62"/>
      <c r="C9" s="62"/>
      <c r="D9" s="62"/>
      <c r="E9" s="62"/>
      <c r="F9" s="62"/>
    </row>
    <row r="10" spans="1:6" ht="17.5">
      <c r="A10" s="796" t="s">
        <v>0</v>
      </c>
      <c r="B10" s="796"/>
      <c r="C10" s="796"/>
      <c r="D10" s="796"/>
      <c r="E10" s="796"/>
      <c r="F10" s="796"/>
    </row>
    <row r="11" spans="1:6" ht="17.5">
      <c r="A11" s="796" t="s">
        <v>1</v>
      </c>
      <c r="B11" s="796"/>
      <c r="C11" s="796"/>
      <c r="D11" s="796"/>
      <c r="E11" s="796"/>
      <c r="F11" s="796"/>
    </row>
    <row r="12" spans="1:6" ht="17.5">
      <c r="A12" s="9"/>
      <c r="B12" s="9"/>
      <c r="C12" s="9"/>
      <c r="D12" s="9"/>
      <c r="E12" s="9"/>
      <c r="F12" s="9"/>
    </row>
    <row r="13" spans="1:6" ht="17.5">
      <c r="A13" s="796" t="s">
        <v>2</v>
      </c>
      <c r="B13" s="796"/>
      <c r="C13" s="796"/>
      <c r="D13" s="796"/>
      <c r="E13" s="796"/>
      <c r="F13" s="796"/>
    </row>
    <row r="14" spans="1:6" ht="17.5">
      <c r="A14" s="796" t="s">
        <v>3</v>
      </c>
      <c r="B14" s="796"/>
      <c r="C14" s="796"/>
      <c r="D14" s="796"/>
      <c r="E14" s="796"/>
      <c r="F14" s="796"/>
    </row>
    <row r="15" spans="1:6" ht="20">
      <c r="A15" s="795"/>
      <c r="B15" s="795"/>
      <c r="C15" s="795"/>
      <c r="D15" s="795"/>
      <c r="E15" s="795"/>
      <c r="F15" s="795"/>
    </row>
    <row r="16" spans="1:6">
      <c r="A16" s="62"/>
      <c r="B16" s="62"/>
      <c r="C16" s="62"/>
      <c r="D16" s="62"/>
      <c r="E16" s="62"/>
      <c r="F16" s="62"/>
    </row>
    <row r="17" spans="1:6">
      <c r="A17" s="62"/>
      <c r="B17" s="62"/>
      <c r="C17" s="62"/>
      <c r="D17" s="62"/>
      <c r="E17" s="62"/>
      <c r="F17" s="62"/>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fitToHeight="0"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pageSetUpPr fitToPage="1"/>
  </sheetPr>
  <dimension ref="A1:O147"/>
  <sheetViews>
    <sheetView tabSelected="1" view="pageBreakPreview" topLeftCell="A43" zoomScale="85" zoomScaleSheetLayoutView="85" zoomScalePageLayoutView="70" workbookViewId="0">
      <selection activeCell="E21" sqref="E21"/>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6.81640625" bestFit="1" customWidth="1"/>
    <col min="11" max="11" width="17.54296875" bestFit="1" customWidth="1"/>
    <col min="12" max="12" width="4.7265625" bestFit="1" customWidth="1"/>
    <col min="13" max="13" width="9.1796875" customWidth="1"/>
    <col min="14" max="14" width="10" bestFit="1" customWidth="1"/>
    <col min="15" max="15" width="9" bestFit="1" customWidth="1"/>
  </cols>
  <sheetData>
    <row r="1" spans="1:12">
      <c r="B1" s="12" t="s">
        <v>14</v>
      </c>
      <c r="K1" s="15" t="s">
        <v>521</v>
      </c>
    </row>
    <row r="2" spans="1:12">
      <c r="B2" s="42" t="s">
        <v>130</v>
      </c>
      <c r="K2" s="15" t="s">
        <v>368</v>
      </c>
    </row>
    <row r="4" spans="1:12">
      <c r="B4" s="52" t="s">
        <v>411</v>
      </c>
      <c r="C4" s="219"/>
      <c r="D4" s="219"/>
      <c r="E4" s="219"/>
      <c r="F4" s="219"/>
      <c r="G4" s="219"/>
      <c r="H4" s="219"/>
      <c r="I4" s="219"/>
      <c r="J4" s="219"/>
      <c r="K4" s="219"/>
    </row>
    <row r="5" spans="1:12">
      <c r="B5" s="16" t="s">
        <v>350</v>
      </c>
    </row>
    <row r="6" spans="1:12">
      <c r="B6" s="801" t="s">
        <v>412</v>
      </c>
      <c r="C6" s="801"/>
      <c r="D6" s="801"/>
      <c r="E6" s="801"/>
      <c r="F6" s="801"/>
      <c r="G6" s="801"/>
      <c r="H6" s="801"/>
      <c r="I6" s="801"/>
      <c r="J6" s="801"/>
      <c r="K6" s="801"/>
    </row>
    <row r="7" spans="1:12">
      <c r="B7" s="801" t="s">
        <v>522</v>
      </c>
      <c r="C7" s="801"/>
      <c r="D7" s="801"/>
      <c r="E7" s="801"/>
      <c r="F7" s="801"/>
      <c r="G7" s="801"/>
      <c r="H7" s="801"/>
      <c r="I7" s="801"/>
      <c r="J7" s="801"/>
      <c r="K7" s="801"/>
    </row>
    <row r="8" spans="1:12">
      <c r="B8" s="304"/>
      <c r="C8" s="304"/>
      <c r="D8" s="304"/>
      <c r="E8" s="304"/>
      <c r="F8" s="304"/>
      <c r="G8" s="304"/>
      <c r="H8" s="304"/>
      <c r="I8" s="304"/>
      <c r="J8" s="304"/>
      <c r="K8" s="304"/>
    </row>
    <row r="9" spans="1:12">
      <c r="B9" s="12"/>
      <c r="C9" s="13" t="s">
        <v>413</v>
      </c>
      <c r="D9" s="13" t="s">
        <v>414</v>
      </c>
      <c r="E9" s="13" t="s">
        <v>415</v>
      </c>
      <c r="F9" s="13" t="s">
        <v>416</v>
      </c>
      <c r="G9" s="13" t="s">
        <v>417</v>
      </c>
      <c r="H9" s="13" t="s">
        <v>418</v>
      </c>
      <c r="I9" s="13" t="s">
        <v>419</v>
      </c>
      <c r="J9" s="13" t="s">
        <v>420</v>
      </c>
    </row>
    <row r="10" spans="1:12">
      <c r="B10" s="12"/>
      <c r="C10" s="35" t="s">
        <v>110</v>
      </c>
      <c r="D10" s="35" t="s">
        <v>202</v>
      </c>
      <c r="E10" s="8"/>
      <c r="F10" s="8"/>
      <c r="G10" s="8"/>
      <c r="H10" s="8"/>
      <c r="I10" s="8"/>
      <c r="J10" s="35" t="s">
        <v>421</v>
      </c>
    </row>
    <row r="11" spans="1:12">
      <c r="B11" s="12"/>
      <c r="C11" s="8" t="s">
        <v>422</v>
      </c>
      <c r="D11" s="8" t="s">
        <v>423</v>
      </c>
      <c r="E11" s="8"/>
      <c r="F11" s="8"/>
      <c r="G11" s="8" t="s">
        <v>424</v>
      </c>
      <c r="H11" s="8" t="s">
        <v>425</v>
      </c>
      <c r="I11" s="8"/>
      <c r="J11" s="35"/>
    </row>
    <row r="12" spans="1:12">
      <c r="A12" s="13" t="s">
        <v>99</v>
      </c>
      <c r="B12" s="13" t="s">
        <v>426</v>
      </c>
      <c r="C12" s="13" t="s">
        <v>427</v>
      </c>
      <c r="D12" s="13" t="s">
        <v>427</v>
      </c>
      <c r="E12" s="13" t="s">
        <v>428</v>
      </c>
      <c r="F12" s="13" t="s">
        <v>429</v>
      </c>
      <c r="G12" s="13" t="s">
        <v>430</v>
      </c>
      <c r="H12" s="13" t="s">
        <v>431</v>
      </c>
      <c r="I12" s="13" t="s">
        <v>423</v>
      </c>
      <c r="J12" s="13" t="s">
        <v>432</v>
      </c>
      <c r="K12" s="13"/>
      <c r="L12" s="13" t="s">
        <v>99</v>
      </c>
    </row>
    <row r="13" spans="1:12">
      <c r="A13" s="8">
        <v>100</v>
      </c>
      <c r="B13" t="s">
        <v>433</v>
      </c>
      <c r="C13" s="46">
        <v>165549599.62</v>
      </c>
      <c r="D13" s="46">
        <v>18557500</v>
      </c>
      <c r="E13" s="46">
        <v>312426972</v>
      </c>
      <c r="F13" s="46">
        <v>366404827.99999994</v>
      </c>
      <c r="G13" s="46">
        <v>72161804</v>
      </c>
      <c r="H13" s="46">
        <v>5724508</v>
      </c>
      <c r="I13" s="46">
        <v>34309335</v>
      </c>
      <c r="J13" s="22">
        <v>975134546.61999989</v>
      </c>
      <c r="K13" s="32"/>
      <c r="L13" s="8">
        <v>100</v>
      </c>
    </row>
    <row r="14" spans="1:12">
      <c r="A14" s="8">
        <v>101</v>
      </c>
      <c r="B14" t="s">
        <v>434</v>
      </c>
      <c r="C14" s="46">
        <v>155143268.62</v>
      </c>
      <c r="D14" s="46">
        <v>15114267</v>
      </c>
      <c r="E14" s="46">
        <v>266096814</v>
      </c>
      <c r="F14" s="46">
        <v>311129990</v>
      </c>
      <c r="G14" s="46">
        <v>62850872</v>
      </c>
      <c r="H14" s="46">
        <v>5023267</v>
      </c>
      <c r="I14" s="46">
        <v>32270708</v>
      </c>
      <c r="J14" s="22">
        <v>847629186.62</v>
      </c>
      <c r="K14" s="32"/>
      <c r="L14" s="8">
        <v>101</v>
      </c>
    </row>
    <row r="15" spans="1:12">
      <c r="A15" s="8">
        <v>102</v>
      </c>
      <c r="B15" t="s">
        <v>435</v>
      </c>
      <c r="C15" s="46">
        <v>169705457.62</v>
      </c>
      <c r="D15" s="46">
        <v>16210348</v>
      </c>
      <c r="E15" s="46">
        <v>275123683</v>
      </c>
      <c r="F15" s="46">
        <v>342134050</v>
      </c>
      <c r="G15" s="46">
        <v>68076881</v>
      </c>
      <c r="H15" s="46">
        <v>5444346</v>
      </c>
      <c r="I15" s="46">
        <v>35247499</v>
      </c>
      <c r="J15" s="22">
        <v>911942264.62</v>
      </c>
      <c r="K15" s="32"/>
      <c r="L15" s="8">
        <v>102</v>
      </c>
    </row>
    <row r="16" spans="1:12">
      <c r="A16" s="8">
        <v>103</v>
      </c>
      <c r="B16" t="s">
        <v>436</v>
      </c>
      <c r="C16" s="46">
        <v>167849819.62</v>
      </c>
      <c r="D16" s="46">
        <v>15787681</v>
      </c>
      <c r="E16" s="46">
        <v>72026530</v>
      </c>
      <c r="F16" s="46">
        <v>327630349</v>
      </c>
      <c r="G16" s="46">
        <v>66619274</v>
      </c>
      <c r="H16" s="46">
        <v>5366897</v>
      </c>
      <c r="I16" s="46">
        <v>34328045</v>
      </c>
      <c r="J16" s="22">
        <v>689608595.62</v>
      </c>
      <c r="K16" s="32"/>
      <c r="L16" s="8">
        <v>103</v>
      </c>
    </row>
    <row r="17" spans="1:12">
      <c r="A17" s="8">
        <v>104</v>
      </c>
      <c r="B17" t="s">
        <v>437</v>
      </c>
      <c r="C17" s="46">
        <v>159359744.62</v>
      </c>
      <c r="D17" s="46">
        <v>15167257</v>
      </c>
      <c r="E17" s="46">
        <v>219974843</v>
      </c>
      <c r="F17" s="46">
        <v>362426507</v>
      </c>
      <c r="G17" s="46">
        <v>64895211</v>
      </c>
      <c r="H17" s="46">
        <v>5421148</v>
      </c>
      <c r="I17" s="46">
        <v>32716136</v>
      </c>
      <c r="J17" s="22">
        <v>859960846.62</v>
      </c>
      <c r="K17" s="32"/>
      <c r="L17" s="8">
        <v>104</v>
      </c>
    </row>
    <row r="18" spans="1:12">
      <c r="A18" s="8">
        <v>105</v>
      </c>
      <c r="B18" t="s">
        <v>438</v>
      </c>
      <c r="C18" s="46">
        <v>197897671.62</v>
      </c>
      <c r="D18" s="46">
        <v>18508918</v>
      </c>
      <c r="E18" s="46">
        <v>361556426</v>
      </c>
      <c r="F18" s="46">
        <v>537179912</v>
      </c>
      <c r="G18" s="46">
        <v>82349957</v>
      </c>
      <c r="H18" s="46">
        <v>7158494</v>
      </c>
      <c r="I18" s="46">
        <v>40005639</v>
      </c>
      <c r="J18" s="22">
        <v>1244657017.6199999</v>
      </c>
      <c r="K18" s="32"/>
      <c r="L18" s="8">
        <v>105</v>
      </c>
    </row>
    <row r="19" spans="1:12">
      <c r="A19" s="8">
        <v>106</v>
      </c>
      <c r="B19" t="s">
        <v>439</v>
      </c>
      <c r="C19" s="46">
        <v>221834538.62</v>
      </c>
      <c r="D19" s="46">
        <v>20642439</v>
      </c>
      <c r="E19" s="46">
        <v>501080879</v>
      </c>
      <c r="F19" s="46">
        <v>623593004</v>
      </c>
      <c r="G19" s="46">
        <v>91356647</v>
      </c>
      <c r="H19" s="46">
        <v>7991568</v>
      </c>
      <c r="I19" s="46">
        <v>43986504</v>
      </c>
      <c r="J19" s="22">
        <v>1510485579.6199999</v>
      </c>
      <c r="K19" s="32"/>
      <c r="L19" s="8">
        <v>106</v>
      </c>
    </row>
    <row r="20" spans="1:12">
      <c r="A20" s="8">
        <v>107</v>
      </c>
      <c r="B20" t="s">
        <v>440</v>
      </c>
      <c r="C20" s="46">
        <v>211766208.62</v>
      </c>
      <c r="D20" s="46">
        <v>19930661</v>
      </c>
      <c r="E20" s="46">
        <v>480536825</v>
      </c>
      <c r="F20" s="46">
        <v>611980701</v>
      </c>
      <c r="G20" s="46">
        <v>87584605</v>
      </c>
      <c r="H20" s="46">
        <v>7697863</v>
      </c>
      <c r="I20" s="46">
        <v>42067006</v>
      </c>
      <c r="J20" s="22">
        <v>1461563869.6199999</v>
      </c>
      <c r="K20" s="32"/>
      <c r="L20" s="8">
        <v>107</v>
      </c>
    </row>
    <row r="21" spans="1:12">
      <c r="A21" s="8">
        <v>108</v>
      </c>
      <c r="B21" t="s">
        <v>441</v>
      </c>
      <c r="C21" s="46">
        <v>218039873.62</v>
      </c>
      <c r="D21" s="46">
        <v>20197257</v>
      </c>
      <c r="E21" s="46">
        <v>493481900.91000003</v>
      </c>
      <c r="F21" s="46">
        <v>610446905</v>
      </c>
      <c r="G21" s="46">
        <v>88816201</v>
      </c>
      <c r="H21" s="46">
        <v>7808014</v>
      </c>
      <c r="I21" s="46">
        <v>42661110</v>
      </c>
      <c r="J21" s="22">
        <v>1481451261.53</v>
      </c>
      <c r="K21" s="32"/>
      <c r="L21" s="8">
        <v>108</v>
      </c>
    </row>
    <row r="22" spans="1:12">
      <c r="A22" s="8">
        <v>109</v>
      </c>
      <c r="B22" t="s">
        <v>442</v>
      </c>
      <c r="C22" s="46">
        <v>194721404.62</v>
      </c>
      <c r="D22" s="46">
        <v>18475661</v>
      </c>
      <c r="E22" s="46">
        <v>433414466</v>
      </c>
      <c r="F22" s="46">
        <v>526700248</v>
      </c>
      <c r="G22" s="46">
        <v>81507004</v>
      </c>
      <c r="H22" s="46">
        <v>7123114</v>
      </c>
      <c r="I22" s="46">
        <v>41304174</v>
      </c>
      <c r="J22" s="22">
        <v>1303246071.6199999</v>
      </c>
      <c r="K22" s="32"/>
      <c r="L22" s="8">
        <v>109</v>
      </c>
    </row>
    <row r="23" spans="1:12">
      <c r="A23" s="8">
        <v>110</v>
      </c>
      <c r="B23" t="s">
        <v>443</v>
      </c>
      <c r="C23" s="46">
        <v>155262455.62</v>
      </c>
      <c r="D23" s="46">
        <v>14759516</v>
      </c>
      <c r="E23" s="46">
        <v>314787779</v>
      </c>
      <c r="F23" s="46">
        <v>387833558.00000006</v>
      </c>
      <c r="G23" s="46">
        <v>65435225</v>
      </c>
      <c r="H23" s="46">
        <v>5703264</v>
      </c>
      <c r="I23" s="46">
        <v>35101828</v>
      </c>
      <c r="J23" s="22">
        <v>978883625.62000012</v>
      </c>
      <c r="K23" s="32"/>
      <c r="L23" s="8">
        <v>110</v>
      </c>
    </row>
    <row r="24" spans="1:12">
      <c r="A24" s="8">
        <v>111</v>
      </c>
      <c r="B24" t="s">
        <v>444</v>
      </c>
      <c r="C24" s="46">
        <v>184886690.62</v>
      </c>
      <c r="D24" s="46">
        <v>17315014</v>
      </c>
      <c r="E24" s="46">
        <v>332516159</v>
      </c>
      <c r="F24" s="46">
        <v>415900014</v>
      </c>
      <c r="G24" s="46">
        <v>76743506</v>
      </c>
      <c r="H24" s="46">
        <v>6707850</v>
      </c>
      <c r="I24" s="46">
        <v>40895827.090000004</v>
      </c>
      <c r="J24" s="22">
        <v>1074965060.71</v>
      </c>
      <c r="K24" s="32"/>
      <c r="L24" s="8">
        <v>111</v>
      </c>
    </row>
    <row r="25" spans="1:12">
      <c r="A25" s="8">
        <v>112</v>
      </c>
      <c r="B25" t="s">
        <v>445</v>
      </c>
      <c r="C25" s="24">
        <v>2202016733.4399996</v>
      </c>
      <c r="D25" s="24">
        <v>210666519</v>
      </c>
      <c r="E25" s="24">
        <v>4063023276.9099998</v>
      </c>
      <c r="F25" s="24">
        <v>5423360066</v>
      </c>
      <c r="G25" s="24">
        <v>908397187</v>
      </c>
      <c r="H25" s="24">
        <v>77170333</v>
      </c>
      <c r="I25" s="24">
        <v>454893811.09000003</v>
      </c>
      <c r="J25" s="24">
        <v>13339527926.440002</v>
      </c>
      <c r="K25" s="32"/>
      <c r="L25" s="8">
        <v>112</v>
      </c>
    </row>
    <row r="26" spans="1:12">
      <c r="A26" s="8"/>
      <c r="L26" s="8"/>
    </row>
    <row r="27" spans="1:12">
      <c r="A27" s="8">
        <v>113</v>
      </c>
      <c r="I27" s="15" t="s">
        <v>446</v>
      </c>
      <c r="J27" s="46">
        <v>13366378507</v>
      </c>
      <c r="K27" s="30"/>
      <c r="L27" s="8">
        <v>113</v>
      </c>
    </row>
    <row r="28" spans="1:12">
      <c r="L28" s="8"/>
    </row>
    <row r="29" spans="1:12">
      <c r="B29" s="52" t="s">
        <v>447</v>
      </c>
      <c r="C29" s="219"/>
      <c r="D29" s="219"/>
      <c r="E29" s="219"/>
      <c r="F29" s="219"/>
      <c r="G29" s="219"/>
      <c r="H29" s="219"/>
      <c r="I29" s="219"/>
      <c r="J29" s="219"/>
      <c r="K29" s="219"/>
    </row>
    <row r="30" spans="1:12">
      <c r="B30" s="16" t="s">
        <v>350</v>
      </c>
    </row>
    <row r="31" spans="1:12">
      <c r="B31" s="800" t="s">
        <v>523</v>
      </c>
      <c r="C31" s="800"/>
      <c r="D31" s="800"/>
      <c r="E31" s="800"/>
      <c r="F31" s="800"/>
      <c r="G31" s="800"/>
      <c r="H31" s="800"/>
      <c r="I31" s="800"/>
      <c r="J31" s="800"/>
      <c r="K31" s="800"/>
    </row>
    <row r="32" spans="1:12">
      <c r="B32" s="800"/>
      <c r="C32" s="800"/>
      <c r="D32" s="800"/>
      <c r="E32" s="800"/>
      <c r="F32" s="800"/>
      <c r="G32" s="800"/>
      <c r="H32" s="800"/>
      <c r="I32" s="800"/>
      <c r="J32" s="800"/>
      <c r="K32" s="800"/>
    </row>
    <row r="33" spans="1:12">
      <c r="B33" s="801" t="s">
        <v>448</v>
      </c>
      <c r="C33" s="801"/>
      <c r="D33" s="801"/>
      <c r="E33" s="801"/>
      <c r="F33" s="801"/>
      <c r="G33" s="801"/>
      <c r="H33" s="801"/>
      <c r="I33" s="801"/>
      <c r="J33" s="801"/>
      <c r="K33" s="801"/>
    </row>
    <row r="34" spans="1:12">
      <c r="B34" s="12"/>
    </row>
    <row r="35" spans="1:12">
      <c r="A35" s="13" t="s">
        <v>99</v>
      </c>
      <c r="B35" s="13" t="s">
        <v>449</v>
      </c>
      <c r="C35" s="13" t="s">
        <v>450</v>
      </c>
      <c r="L35" s="13" t="s">
        <v>99</v>
      </c>
    </row>
    <row r="36" spans="1:12">
      <c r="A36" s="8">
        <v>200</v>
      </c>
      <c r="B36" s="41">
        <v>2341671826.9735928</v>
      </c>
      <c r="C36" s="6" t="s">
        <v>524</v>
      </c>
      <c r="L36" s="8">
        <v>200</v>
      </c>
    </row>
    <row r="37" spans="1:12">
      <c r="A37" s="8"/>
    </row>
    <row r="38" spans="1:12">
      <c r="A38" s="8"/>
      <c r="B38" s="8"/>
      <c r="C38" s="13" t="s">
        <v>413</v>
      </c>
      <c r="D38" s="13" t="s">
        <v>414</v>
      </c>
      <c r="E38" s="13" t="s">
        <v>415</v>
      </c>
      <c r="F38" s="13" t="s">
        <v>416</v>
      </c>
      <c r="G38" s="13" t="s">
        <v>417</v>
      </c>
      <c r="H38" s="13" t="s">
        <v>418</v>
      </c>
      <c r="I38" s="13" t="s">
        <v>419</v>
      </c>
      <c r="J38" s="13" t="s">
        <v>420</v>
      </c>
      <c r="K38" s="13" t="s">
        <v>451</v>
      </c>
    </row>
    <row r="39" spans="1:12">
      <c r="A39" s="8"/>
      <c r="B39" s="8"/>
      <c r="C39" s="8"/>
      <c r="D39" s="371" t="s">
        <v>249</v>
      </c>
      <c r="E39" s="35" t="s">
        <v>285</v>
      </c>
      <c r="F39" s="35" t="s">
        <v>525</v>
      </c>
      <c r="G39" s="35" t="s">
        <v>452</v>
      </c>
      <c r="H39" s="35" t="s">
        <v>453</v>
      </c>
      <c r="I39" s="35" t="s">
        <v>454</v>
      </c>
      <c r="J39" s="35" t="s">
        <v>455</v>
      </c>
      <c r="K39" s="35" t="s">
        <v>526</v>
      </c>
    </row>
    <row r="40" spans="1:12">
      <c r="A40" s="8"/>
      <c r="B40" s="8"/>
      <c r="C40" s="8"/>
      <c r="D40" s="8"/>
      <c r="E40" s="8"/>
      <c r="F40" s="8"/>
      <c r="G40" s="8" t="s">
        <v>456</v>
      </c>
      <c r="H40" s="8"/>
      <c r="I40" s="8"/>
      <c r="J40" s="8"/>
      <c r="K40" s="8" t="s">
        <v>456</v>
      </c>
    </row>
    <row r="41" spans="1:12">
      <c r="A41" s="8"/>
      <c r="B41" s="8"/>
      <c r="C41" s="8"/>
      <c r="D41" s="8" t="s">
        <v>422</v>
      </c>
      <c r="E41" s="8" t="s">
        <v>422</v>
      </c>
      <c r="F41" s="8" t="s">
        <v>422</v>
      </c>
      <c r="G41" s="8" t="s">
        <v>457</v>
      </c>
      <c r="H41" s="8"/>
      <c r="I41" s="8"/>
      <c r="J41" s="8"/>
      <c r="K41" s="8" t="s">
        <v>457</v>
      </c>
    </row>
    <row r="42" spans="1:12">
      <c r="A42" s="8"/>
      <c r="B42" s="8"/>
      <c r="C42" s="8"/>
      <c r="D42" s="8" t="s">
        <v>458</v>
      </c>
      <c r="E42" s="8" t="s">
        <v>427</v>
      </c>
      <c r="F42" s="8" t="s">
        <v>459</v>
      </c>
      <c r="G42" s="8" t="s">
        <v>460</v>
      </c>
      <c r="H42" s="8" t="s">
        <v>458</v>
      </c>
      <c r="I42" s="8" t="s">
        <v>458</v>
      </c>
      <c r="J42" s="8" t="s">
        <v>461</v>
      </c>
      <c r="K42" s="8" t="s">
        <v>460</v>
      </c>
    </row>
    <row r="43" spans="1:12">
      <c r="A43" s="8"/>
      <c r="B43" s="13" t="s">
        <v>426</v>
      </c>
      <c r="C43" s="13" t="s">
        <v>462</v>
      </c>
      <c r="D43" s="13" t="s">
        <v>463</v>
      </c>
      <c r="E43" s="13" t="s">
        <v>464</v>
      </c>
      <c r="F43" s="13" t="s">
        <v>465</v>
      </c>
      <c r="G43" s="13" t="s">
        <v>466</v>
      </c>
      <c r="H43" s="13" t="s">
        <v>467</v>
      </c>
      <c r="I43" s="13" t="s">
        <v>468</v>
      </c>
      <c r="J43" s="13" t="s">
        <v>468</v>
      </c>
      <c r="K43" s="13" t="s">
        <v>469</v>
      </c>
    </row>
    <row r="44" spans="1:12">
      <c r="A44" s="8">
        <v>201</v>
      </c>
      <c r="B44" t="s">
        <v>470</v>
      </c>
      <c r="C44" s="35">
        <v>2019</v>
      </c>
      <c r="D44" s="35" t="s">
        <v>471</v>
      </c>
      <c r="E44" s="35" t="s">
        <v>471</v>
      </c>
      <c r="F44" s="35" t="s">
        <v>471</v>
      </c>
      <c r="G44" s="46">
        <v>-12429137.985378623</v>
      </c>
      <c r="H44" s="35" t="s">
        <v>471</v>
      </c>
      <c r="I44" s="35" t="s">
        <v>471</v>
      </c>
      <c r="J44" s="46">
        <v>-235069.05</v>
      </c>
      <c r="K44" s="22">
        <v>-12664207.039999999</v>
      </c>
      <c r="L44" s="8">
        <v>201</v>
      </c>
    </row>
    <row r="45" spans="1:12">
      <c r="A45" s="8">
        <v>202</v>
      </c>
      <c r="B45" t="s">
        <v>472</v>
      </c>
      <c r="C45" s="35">
        <v>2020</v>
      </c>
      <c r="D45" s="22">
        <v>186607961.62988177</v>
      </c>
      <c r="E45" s="22">
        <v>165549599.62</v>
      </c>
      <c r="F45" s="22">
        <v>21058362.009881765</v>
      </c>
      <c r="G45" s="22">
        <v>8629224.0245031416</v>
      </c>
      <c r="H45" s="709">
        <v>4.1333333333333335E-3</v>
      </c>
      <c r="I45" s="22">
        <v>-8824.77</v>
      </c>
      <c r="J45" s="22">
        <v>-243893.81999999998</v>
      </c>
      <c r="K45" s="22">
        <v>8385330.2000000002</v>
      </c>
      <c r="L45" s="8">
        <v>202</v>
      </c>
    </row>
    <row r="46" spans="1:12">
      <c r="A46" s="8">
        <v>203</v>
      </c>
      <c r="B46" t="s">
        <v>473</v>
      </c>
      <c r="C46" s="35">
        <v>2020</v>
      </c>
      <c r="D46" s="22">
        <v>169008460.74203432</v>
      </c>
      <c r="E46" s="22">
        <v>155143268.62</v>
      </c>
      <c r="F46" s="22">
        <v>13865192.122034311</v>
      </c>
      <c r="G46" s="22">
        <v>22494416.146537453</v>
      </c>
      <c r="H46" s="709">
        <v>4.1333333333333335E-3</v>
      </c>
      <c r="I46" s="22">
        <v>63314.1</v>
      </c>
      <c r="J46" s="22">
        <v>-180579.71999999997</v>
      </c>
      <c r="K46" s="22">
        <v>22313836.43</v>
      </c>
      <c r="L46" s="8">
        <v>203</v>
      </c>
    </row>
    <row r="47" spans="1:12">
      <c r="A47" s="8">
        <v>204</v>
      </c>
      <c r="B47" t="s">
        <v>474</v>
      </c>
      <c r="C47" s="35">
        <v>2020</v>
      </c>
      <c r="D47" s="22">
        <v>175825341.18356732</v>
      </c>
      <c r="E47" s="22">
        <v>169705457.62</v>
      </c>
      <c r="F47" s="22">
        <v>6119883.5635673106</v>
      </c>
      <c r="G47" s="22">
        <v>28614299.710104764</v>
      </c>
      <c r="H47" s="709">
        <v>4.1333333333333335E-3</v>
      </c>
      <c r="I47" s="22">
        <v>104878.28</v>
      </c>
      <c r="J47" s="22">
        <v>-75701.439999999973</v>
      </c>
      <c r="K47" s="22">
        <v>28538598.27</v>
      </c>
      <c r="L47" s="8">
        <v>204</v>
      </c>
    </row>
    <row r="48" spans="1:12">
      <c r="A48" s="8">
        <v>205</v>
      </c>
      <c r="B48" t="s">
        <v>475</v>
      </c>
      <c r="C48" s="35">
        <v>2020</v>
      </c>
      <c r="D48" s="22">
        <v>162164798.2766715</v>
      </c>
      <c r="E48" s="22">
        <v>167849819.62</v>
      </c>
      <c r="F48" s="22">
        <v>-5685021.3433285058</v>
      </c>
      <c r="G48" s="22">
        <v>22929278.366776258</v>
      </c>
      <c r="H48" s="709">
        <v>3.9583333333333337E-3</v>
      </c>
      <c r="I48" s="22">
        <v>101713.68</v>
      </c>
      <c r="J48" s="22">
        <v>26012.24000000002</v>
      </c>
      <c r="K48" s="22">
        <v>22955290.609999999</v>
      </c>
      <c r="L48" s="8">
        <v>205</v>
      </c>
    </row>
    <row r="49" spans="1:15">
      <c r="A49" s="8">
        <v>206</v>
      </c>
      <c r="B49" t="s">
        <v>437</v>
      </c>
      <c r="C49" s="35">
        <v>2020</v>
      </c>
      <c r="D49" s="22">
        <v>186650489.55883723</v>
      </c>
      <c r="E49" s="22">
        <v>159359744.62</v>
      </c>
      <c r="F49" s="22">
        <v>27290744.93883723</v>
      </c>
      <c r="G49" s="22">
        <v>50220023.305613488</v>
      </c>
      <c r="H49" s="709">
        <v>3.9583333333333337E-3</v>
      </c>
      <c r="I49" s="22">
        <v>144877.62</v>
      </c>
      <c r="J49" s="22">
        <v>170889.86000000002</v>
      </c>
      <c r="K49" s="22">
        <v>50390913.170000002</v>
      </c>
      <c r="L49" s="8">
        <v>206</v>
      </c>
    </row>
    <row r="50" spans="1:15">
      <c r="A50" s="8">
        <v>207</v>
      </c>
      <c r="B50" t="s">
        <v>476</v>
      </c>
      <c r="C50" s="35">
        <v>2020</v>
      </c>
      <c r="D50" s="22">
        <v>207640707.02462876</v>
      </c>
      <c r="E50" s="22">
        <v>197897671.62</v>
      </c>
      <c r="F50" s="22">
        <v>9743035.4046287537</v>
      </c>
      <c r="G50" s="22">
        <v>59963058.710242242</v>
      </c>
      <c r="H50" s="709">
        <v>3.9583333333333337E-3</v>
      </c>
      <c r="I50" s="22">
        <v>218747.12</v>
      </c>
      <c r="J50" s="22">
        <v>389636.98</v>
      </c>
      <c r="K50" s="22">
        <v>60352695.689999998</v>
      </c>
      <c r="L50" s="8">
        <v>207</v>
      </c>
    </row>
    <row r="51" spans="1:15">
      <c r="A51" s="8">
        <v>208</v>
      </c>
      <c r="B51" t="s">
        <v>477</v>
      </c>
      <c r="C51" s="35">
        <v>2020</v>
      </c>
      <c r="D51" s="22">
        <v>228349957.38958505</v>
      </c>
      <c r="E51" s="22">
        <v>221834538.62</v>
      </c>
      <c r="F51" s="22">
        <v>6515418.7695850432</v>
      </c>
      <c r="G51" s="22">
        <v>66478477.479827285</v>
      </c>
      <c r="H51" s="709">
        <v>2.858333333333333E-3</v>
      </c>
      <c r="I51" s="22">
        <v>181819.74</v>
      </c>
      <c r="J51" s="22">
        <v>571456.72</v>
      </c>
      <c r="K51" s="22">
        <v>67049934.200000003</v>
      </c>
      <c r="L51" s="8">
        <v>208</v>
      </c>
    </row>
    <row r="52" spans="1:15">
      <c r="A52" s="8">
        <v>209</v>
      </c>
      <c r="B52" t="s">
        <v>478</v>
      </c>
      <c r="C52" s="35">
        <v>2020</v>
      </c>
      <c r="D52" s="22">
        <v>244933199.57864538</v>
      </c>
      <c r="E52" s="22">
        <v>211766208.62</v>
      </c>
      <c r="F52" s="22">
        <v>33166990.958645374</v>
      </c>
      <c r="G52" s="22">
        <v>99645468.438472658</v>
      </c>
      <c r="H52" s="709">
        <v>2.858333333333333E-3</v>
      </c>
      <c r="I52" s="22">
        <v>239052.22</v>
      </c>
      <c r="J52" s="22">
        <v>810508.94</v>
      </c>
      <c r="K52" s="22">
        <v>100455977.38</v>
      </c>
      <c r="L52" s="8">
        <v>209</v>
      </c>
      <c r="N52" s="807" t="s">
        <v>479</v>
      </c>
      <c r="O52" s="807"/>
    </row>
    <row r="53" spans="1:15">
      <c r="A53" s="8">
        <v>210</v>
      </c>
      <c r="B53" t="s">
        <v>480</v>
      </c>
      <c r="C53" s="35">
        <v>2020</v>
      </c>
      <c r="D53" s="22">
        <v>214090060.25385976</v>
      </c>
      <c r="E53" s="22">
        <v>218039873.62</v>
      </c>
      <c r="F53" s="22">
        <v>-3949813.3661402464</v>
      </c>
      <c r="G53" s="22">
        <v>95695655.072332412</v>
      </c>
      <c r="H53" s="709">
        <v>2.858333333333333E-3</v>
      </c>
      <c r="I53" s="22">
        <v>281491.73</v>
      </c>
      <c r="J53" s="22">
        <v>1092000.67</v>
      </c>
      <c r="K53" s="22">
        <v>96787655.739999995</v>
      </c>
      <c r="L53" s="8">
        <v>210</v>
      </c>
      <c r="N53" s="807"/>
      <c r="O53" s="807"/>
    </row>
    <row r="54" spans="1:15">
      <c r="A54" s="8">
        <v>211</v>
      </c>
      <c r="B54" t="s">
        <v>481</v>
      </c>
      <c r="C54" s="35">
        <v>2020</v>
      </c>
      <c r="D54" s="22">
        <v>198473468.09024534</v>
      </c>
      <c r="E54" s="22">
        <v>194721404.62</v>
      </c>
      <c r="F54" s="22">
        <v>3752063.4702453315</v>
      </c>
      <c r="G54" s="22">
        <v>99447718.542577744</v>
      </c>
      <c r="H54" s="709">
        <v>2.7083333333333334E-3</v>
      </c>
      <c r="I54" s="22">
        <v>267214.15000000002</v>
      </c>
      <c r="J54" s="22">
        <v>1359214.8199999998</v>
      </c>
      <c r="K54" s="22">
        <v>100806933.36</v>
      </c>
      <c r="L54" s="8">
        <v>211</v>
      </c>
      <c r="N54" s="807"/>
      <c r="O54" s="807"/>
    </row>
    <row r="55" spans="1:15">
      <c r="A55" s="8">
        <v>212</v>
      </c>
      <c r="B55" t="s">
        <v>482</v>
      </c>
      <c r="C55" s="35">
        <v>2020</v>
      </c>
      <c r="D55" s="22">
        <v>177223365.45085257</v>
      </c>
      <c r="E55" s="22">
        <v>155262455.62</v>
      </c>
      <c r="F55" s="22">
        <v>21960909.830852568</v>
      </c>
      <c r="G55" s="22">
        <v>121408628.37343031</v>
      </c>
      <c r="H55" s="709">
        <v>2.7083333333333334E-3</v>
      </c>
      <c r="I55" s="22">
        <v>302757.51</v>
      </c>
      <c r="J55" s="22">
        <v>1661972.3299999998</v>
      </c>
      <c r="K55" s="22">
        <v>123070600.7</v>
      </c>
      <c r="L55" s="8">
        <v>212</v>
      </c>
      <c r="N55" s="12" t="s">
        <v>417</v>
      </c>
      <c r="O55" s="12" t="s">
        <v>420</v>
      </c>
    </row>
    <row r="56" spans="1:15">
      <c r="A56" s="8">
        <v>213</v>
      </c>
      <c r="B56" s="770" t="s">
        <v>470</v>
      </c>
      <c r="C56" s="771">
        <v>2020</v>
      </c>
      <c r="D56" s="772">
        <v>190704017.7947835</v>
      </c>
      <c r="E56" s="772">
        <v>184886690.62</v>
      </c>
      <c r="F56" s="772">
        <v>5817327.174783498</v>
      </c>
      <c r="G56" s="772">
        <v>127225955.54821381</v>
      </c>
      <c r="H56" s="773">
        <v>2.7083333333333334E-3</v>
      </c>
      <c r="I56" s="772">
        <v>341193.84</v>
      </c>
      <c r="J56" s="772">
        <v>2003166.17</v>
      </c>
      <c r="K56" s="772">
        <v>129229121.72</v>
      </c>
      <c r="L56" s="774">
        <v>213</v>
      </c>
      <c r="M56" s="770"/>
      <c r="N56" s="775">
        <f>G56-'4-ATA Orig'!G56</f>
        <v>-434066.33821153641</v>
      </c>
      <c r="O56" s="775">
        <f>J56-'4-ATA Orig'!J56</f>
        <v>-7842.3199999998324</v>
      </c>
    </row>
    <row r="57" spans="1:15">
      <c r="A57" s="8">
        <v>214</v>
      </c>
      <c r="B57" t="s">
        <v>472</v>
      </c>
      <c r="C57" s="35">
        <v>2021</v>
      </c>
      <c r="D57" s="35" t="s">
        <v>471</v>
      </c>
      <c r="E57" s="35" t="s">
        <v>471</v>
      </c>
      <c r="F57" s="20">
        <v>0</v>
      </c>
      <c r="G57" s="22">
        <v>127225955.54821381</v>
      </c>
      <c r="H57" s="709">
        <v>2.7083333333333334E-3</v>
      </c>
      <c r="I57" s="22">
        <v>349995.54</v>
      </c>
      <c r="J57" s="22">
        <v>2353161.71</v>
      </c>
      <c r="K57" s="22">
        <v>129579117.26000001</v>
      </c>
      <c r="L57" s="8">
        <v>214</v>
      </c>
      <c r="N57" t="s">
        <v>483</v>
      </c>
    </row>
    <row r="58" spans="1:15">
      <c r="A58" s="8">
        <v>215</v>
      </c>
      <c r="B58" t="s">
        <v>473</v>
      </c>
      <c r="C58" s="35">
        <v>2021</v>
      </c>
      <c r="D58" s="35" t="s">
        <v>471</v>
      </c>
      <c r="E58" s="35" t="s">
        <v>471</v>
      </c>
      <c r="F58" s="20">
        <v>0</v>
      </c>
      <c r="G58" s="22">
        <v>127225955.54821381</v>
      </c>
      <c r="H58" s="709">
        <v>2.7083333333333334E-3</v>
      </c>
      <c r="I58" s="22">
        <v>350943.44</v>
      </c>
      <c r="J58" s="22">
        <v>2704105.15</v>
      </c>
      <c r="K58" s="22">
        <v>129930060.7</v>
      </c>
      <c r="L58" s="8">
        <v>215</v>
      </c>
    </row>
    <row r="59" spans="1:15">
      <c r="A59" s="8">
        <v>216</v>
      </c>
      <c r="B59" t="s">
        <v>474</v>
      </c>
      <c r="C59" s="35">
        <v>2021</v>
      </c>
      <c r="D59" s="35" t="s">
        <v>471</v>
      </c>
      <c r="E59" s="35" t="s">
        <v>471</v>
      </c>
      <c r="F59" s="20">
        <v>0</v>
      </c>
      <c r="G59" s="22">
        <v>127225955.54821381</v>
      </c>
      <c r="H59" s="709">
        <v>2.7083333333333334E-3</v>
      </c>
      <c r="I59" s="22">
        <v>351893.91</v>
      </c>
      <c r="J59" s="22">
        <v>3055999.06</v>
      </c>
      <c r="K59" s="22">
        <v>130281954.61</v>
      </c>
      <c r="L59" s="8">
        <v>216</v>
      </c>
    </row>
    <row r="60" spans="1:15">
      <c r="A60" s="8">
        <v>217</v>
      </c>
      <c r="B60" t="s">
        <v>475</v>
      </c>
      <c r="C60" s="35">
        <v>2021</v>
      </c>
      <c r="D60" s="35" t="s">
        <v>471</v>
      </c>
      <c r="E60" s="35" t="s">
        <v>471</v>
      </c>
      <c r="F60" s="20">
        <v>0</v>
      </c>
      <c r="G60" s="22">
        <v>127225955.54821381</v>
      </c>
      <c r="H60" s="709">
        <v>2.7083333333333334E-3</v>
      </c>
      <c r="I60" s="22">
        <v>352846.96</v>
      </c>
      <c r="J60" s="22">
        <v>3408846.02</v>
      </c>
      <c r="K60" s="22">
        <v>130634801.56999999</v>
      </c>
      <c r="L60" s="8">
        <v>217</v>
      </c>
    </row>
    <row r="61" spans="1:15">
      <c r="A61" s="8">
        <v>218</v>
      </c>
      <c r="B61" t="s">
        <v>437</v>
      </c>
      <c r="C61" s="35">
        <v>2021</v>
      </c>
      <c r="D61" s="35" t="s">
        <v>471</v>
      </c>
      <c r="E61" s="35" t="s">
        <v>471</v>
      </c>
      <c r="F61" s="20">
        <v>0</v>
      </c>
      <c r="G61" s="22">
        <v>127225955.54821381</v>
      </c>
      <c r="H61" s="709">
        <v>2.7083333333333334E-3</v>
      </c>
      <c r="I61" s="22">
        <v>353802.59</v>
      </c>
      <c r="J61" s="22">
        <v>3762648.61</v>
      </c>
      <c r="K61" s="22">
        <v>130988604.16</v>
      </c>
      <c r="L61" s="8">
        <v>218</v>
      </c>
    </row>
    <row r="62" spans="1:15">
      <c r="A62" s="8">
        <v>219</v>
      </c>
      <c r="B62" t="s">
        <v>476</v>
      </c>
      <c r="C62" s="35">
        <v>2021</v>
      </c>
      <c r="D62" s="35" t="s">
        <v>471</v>
      </c>
      <c r="E62" s="35" t="s">
        <v>471</v>
      </c>
      <c r="F62" s="20">
        <v>0</v>
      </c>
      <c r="G62" s="22">
        <v>127225955.54821381</v>
      </c>
      <c r="H62" s="709">
        <v>2.7083333333333334E-3</v>
      </c>
      <c r="I62" s="22">
        <v>354760.8</v>
      </c>
      <c r="J62" s="22">
        <v>4117409.4099999997</v>
      </c>
      <c r="K62" s="22">
        <v>131343364.95999999</v>
      </c>
      <c r="L62" s="8">
        <v>219</v>
      </c>
    </row>
    <row r="63" spans="1:15">
      <c r="A63" s="8">
        <v>220</v>
      </c>
      <c r="B63" t="s">
        <v>477</v>
      </c>
      <c r="C63" s="35">
        <v>2021</v>
      </c>
      <c r="D63" s="35" t="s">
        <v>471</v>
      </c>
      <c r="E63" s="35" t="s">
        <v>471</v>
      </c>
      <c r="F63" s="20">
        <v>0</v>
      </c>
      <c r="G63" s="22">
        <v>127225955.54821381</v>
      </c>
      <c r="H63" s="709">
        <v>2.7083333333333334E-3</v>
      </c>
      <c r="I63" s="22">
        <v>355721.61</v>
      </c>
      <c r="J63" s="22">
        <v>4473131.0199999996</v>
      </c>
      <c r="K63" s="22">
        <v>131699086.56999999</v>
      </c>
      <c r="L63" s="8">
        <v>220</v>
      </c>
    </row>
    <row r="64" spans="1:15">
      <c r="A64" s="8">
        <v>221</v>
      </c>
      <c r="B64" t="s">
        <v>478</v>
      </c>
      <c r="C64" s="35">
        <v>2021</v>
      </c>
      <c r="D64" s="35" t="s">
        <v>471</v>
      </c>
      <c r="E64" s="35" t="s">
        <v>471</v>
      </c>
      <c r="F64" s="20">
        <v>0</v>
      </c>
      <c r="G64" s="22">
        <v>127225955.54821381</v>
      </c>
      <c r="H64" s="709">
        <v>2.7083333333333334E-3</v>
      </c>
      <c r="I64" s="22">
        <v>356685.03</v>
      </c>
      <c r="J64" s="22">
        <v>4829816.05</v>
      </c>
      <c r="K64" s="22">
        <v>132055771.59999999</v>
      </c>
      <c r="L64" s="8">
        <v>221</v>
      </c>
    </row>
    <row r="65" spans="1:12" ht="15" customHeight="1">
      <c r="A65" s="8">
        <v>222</v>
      </c>
      <c r="B65" t="s">
        <v>480</v>
      </c>
      <c r="C65" s="35">
        <v>2021</v>
      </c>
      <c r="D65" s="35" t="s">
        <v>471</v>
      </c>
      <c r="E65" s="35" t="s">
        <v>471</v>
      </c>
      <c r="F65" s="20">
        <v>0</v>
      </c>
      <c r="G65" s="22">
        <v>127225955.54821381</v>
      </c>
      <c r="H65" s="709">
        <v>2.7083333333333334E-3</v>
      </c>
      <c r="I65" s="22">
        <v>357651.05</v>
      </c>
      <c r="J65" s="22">
        <v>5187467.0999999996</v>
      </c>
      <c r="K65" s="22">
        <v>132413422.65000001</v>
      </c>
      <c r="L65" s="8">
        <v>222</v>
      </c>
    </row>
    <row r="66" spans="1:12" ht="15" customHeight="1">
      <c r="A66" s="8">
        <v>223</v>
      </c>
      <c r="B66" t="s">
        <v>481</v>
      </c>
      <c r="C66" s="35">
        <v>2021</v>
      </c>
      <c r="D66" s="35" t="s">
        <v>471</v>
      </c>
      <c r="E66" s="35" t="s">
        <v>471</v>
      </c>
      <c r="F66" s="20">
        <v>0</v>
      </c>
      <c r="G66" s="22">
        <v>127225955.54821381</v>
      </c>
      <c r="H66" s="709">
        <v>2.7083333333333334E-3</v>
      </c>
      <c r="I66" s="22">
        <v>358619.69</v>
      </c>
      <c r="J66" s="22">
        <v>5546086.79</v>
      </c>
      <c r="K66" s="22">
        <v>132772042.34</v>
      </c>
      <c r="L66" s="8">
        <v>223</v>
      </c>
    </row>
    <row r="67" spans="1:12">
      <c r="A67" s="8">
        <v>224</v>
      </c>
      <c r="B67" t="s">
        <v>482</v>
      </c>
      <c r="C67" s="35">
        <v>2021</v>
      </c>
      <c r="D67" s="35" t="s">
        <v>471</v>
      </c>
      <c r="E67" s="35" t="s">
        <v>471</v>
      </c>
      <c r="F67" s="20">
        <v>0</v>
      </c>
      <c r="G67" s="22">
        <v>127225955.54821381</v>
      </c>
      <c r="H67" s="709">
        <v>2.7083333333333334E-3</v>
      </c>
      <c r="I67" s="22">
        <v>359590.95</v>
      </c>
      <c r="J67" s="22">
        <v>5905677.7400000002</v>
      </c>
      <c r="K67" s="22">
        <v>133131633.29000001</v>
      </c>
      <c r="L67" s="8">
        <v>224</v>
      </c>
    </row>
    <row r="68" spans="1:12">
      <c r="A68" s="8">
        <v>225</v>
      </c>
      <c r="B68" t="s">
        <v>470</v>
      </c>
      <c r="C68" s="35">
        <v>2021</v>
      </c>
      <c r="D68" s="35" t="s">
        <v>471</v>
      </c>
      <c r="E68" s="35" t="s">
        <v>471</v>
      </c>
      <c r="F68" s="20">
        <v>0</v>
      </c>
      <c r="G68" s="29">
        <v>127225955.54821381</v>
      </c>
      <c r="H68" s="709">
        <v>2.7083333333333334E-3</v>
      </c>
      <c r="I68" s="29">
        <v>360564.84</v>
      </c>
      <c r="J68" s="29">
        <v>6266242.5800000001</v>
      </c>
      <c r="K68" s="29">
        <v>133492198.13</v>
      </c>
      <c r="L68" s="8">
        <v>225</v>
      </c>
    </row>
    <row r="69" spans="1:12">
      <c r="A69" s="8"/>
      <c r="D69" s="37"/>
      <c r="E69" s="20"/>
      <c r="G69" s="20"/>
      <c r="I69" s="20"/>
      <c r="J69" s="20"/>
      <c r="K69" s="20"/>
    </row>
    <row r="70" spans="1:12">
      <c r="A70" s="8"/>
      <c r="B70" s="52" t="s">
        <v>484</v>
      </c>
      <c r="C70" s="219"/>
      <c r="D70" s="219"/>
      <c r="E70" s="219"/>
      <c r="F70" s="219"/>
      <c r="G70" s="219"/>
      <c r="H70" s="219"/>
      <c r="I70" s="219"/>
      <c r="J70" s="219"/>
      <c r="K70" s="219"/>
    </row>
    <row r="71" spans="1:12">
      <c r="A71" s="8"/>
      <c r="B71" s="11" t="s">
        <v>485</v>
      </c>
    </row>
    <row r="72" spans="1:12">
      <c r="A72" s="8"/>
      <c r="B72" s="800" t="s">
        <v>527</v>
      </c>
      <c r="C72" s="800"/>
      <c r="D72" s="800"/>
      <c r="E72" s="800"/>
      <c r="F72" s="800"/>
      <c r="G72" s="800"/>
      <c r="H72" s="800"/>
      <c r="I72" s="800"/>
      <c r="J72" s="800"/>
      <c r="K72" s="800"/>
    </row>
    <row r="73" spans="1:12">
      <c r="A73" s="8"/>
      <c r="B73" s="800"/>
      <c r="C73" s="800"/>
      <c r="D73" s="800"/>
      <c r="E73" s="800"/>
      <c r="F73" s="800"/>
      <c r="G73" s="800"/>
      <c r="H73" s="800"/>
      <c r="I73" s="800"/>
      <c r="J73" s="800"/>
      <c r="K73" s="800"/>
    </row>
    <row r="74" spans="1:12">
      <c r="C74" s="13" t="s">
        <v>413</v>
      </c>
      <c r="D74" s="13" t="s">
        <v>414</v>
      </c>
      <c r="E74" s="13" t="s">
        <v>415</v>
      </c>
      <c r="F74" s="13" t="s">
        <v>416</v>
      </c>
      <c r="G74" s="13" t="s">
        <v>417</v>
      </c>
      <c r="H74" s="13" t="s">
        <v>418</v>
      </c>
      <c r="I74" s="13" t="s">
        <v>419</v>
      </c>
    </row>
    <row r="75" spans="1:12">
      <c r="C75" s="35"/>
      <c r="D75" s="35" t="s">
        <v>486</v>
      </c>
      <c r="E75" s="35"/>
      <c r="F75" s="35" t="s">
        <v>528</v>
      </c>
      <c r="G75" s="35" t="s">
        <v>487</v>
      </c>
      <c r="H75" s="35" t="s">
        <v>488</v>
      </c>
      <c r="I75" s="35" t="s">
        <v>529</v>
      </c>
    </row>
    <row r="76" spans="1:12">
      <c r="B76" s="8"/>
      <c r="C76" s="8"/>
      <c r="D76" s="8" t="s">
        <v>426</v>
      </c>
      <c r="E76" s="59"/>
      <c r="F76" s="8" t="s">
        <v>426</v>
      </c>
      <c r="G76" s="8"/>
      <c r="H76" s="8"/>
      <c r="I76" s="8"/>
    </row>
    <row r="77" spans="1:12">
      <c r="B77" s="8"/>
      <c r="C77" s="8"/>
      <c r="D77" s="8" t="s">
        <v>489</v>
      </c>
      <c r="E77" s="59"/>
      <c r="F77" s="8" t="s">
        <v>490</v>
      </c>
      <c r="G77" s="8" t="s">
        <v>491</v>
      </c>
      <c r="H77" s="8" t="s">
        <v>458</v>
      </c>
      <c r="I77" s="8" t="s">
        <v>426</v>
      </c>
    </row>
    <row r="78" spans="1:12">
      <c r="A78" s="13" t="s">
        <v>99</v>
      </c>
      <c r="B78" s="13" t="s">
        <v>426</v>
      </c>
      <c r="C78" s="13" t="s">
        <v>462</v>
      </c>
      <c r="D78" s="13" t="s">
        <v>492</v>
      </c>
      <c r="E78" s="13" t="s">
        <v>493</v>
      </c>
      <c r="F78" s="13" t="s">
        <v>466</v>
      </c>
      <c r="G78" s="13" t="s">
        <v>494</v>
      </c>
      <c r="H78" s="13" t="s">
        <v>467</v>
      </c>
      <c r="I78" s="13" t="s">
        <v>490</v>
      </c>
      <c r="L78" s="13" t="s">
        <v>99</v>
      </c>
    </row>
    <row r="79" spans="1:12">
      <c r="A79" s="8">
        <v>300</v>
      </c>
      <c r="B79" t="s">
        <v>472</v>
      </c>
      <c r="C79" s="35">
        <v>2022</v>
      </c>
      <c r="D79" s="22">
        <v>133492198.13</v>
      </c>
      <c r="E79" s="22">
        <v>-11344507</v>
      </c>
      <c r="F79" s="22">
        <v>122147691.13</v>
      </c>
      <c r="G79" s="22">
        <v>346179.02</v>
      </c>
      <c r="H79" s="60">
        <v>2.7083333333333334E-3</v>
      </c>
      <c r="I79" s="22">
        <v>122493870.15000001</v>
      </c>
      <c r="L79" s="8">
        <v>300</v>
      </c>
    </row>
    <row r="80" spans="1:12">
      <c r="A80" s="8">
        <v>301</v>
      </c>
      <c r="B80" t="s">
        <v>473</v>
      </c>
      <c r="C80" s="35">
        <v>2022</v>
      </c>
      <c r="D80" s="22">
        <v>122493870.15000001</v>
      </c>
      <c r="E80" s="22">
        <v>-11344507</v>
      </c>
      <c r="F80" s="22">
        <v>111149363.15000001</v>
      </c>
      <c r="G80" s="22">
        <v>316391.88</v>
      </c>
      <c r="H80" s="60">
        <v>2.7083333333333334E-3</v>
      </c>
      <c r="I80" s="22">
        <v>111465755.03</v>
      </c>
      <c r="L80" s="8">
        <v>301</v>
      </c>
    </row>
    <row r="81" spans="1:12">
      <c r="A81" s="8">
        <v>302</v>
      </c>
      <c r="B81" t="s">
        <v>474</v>
      </c>
      <c r="C81" s="35">
        <v>2022</v>
      </c>
      <c r="D81" s="22">
        <v>111465755.03</v>
      </c>
      <c r="E81" s="22">
        <v>-11344507</v>
      </c>
      <c r="F81" s="22">
        <v>100121248.03</v>
      </c>
      <c r="G81" s="22">
        <v>286524.07</v>
      </c>
      <c r="H81" s="60">
        <v>2.7083333333333334E-3</v>
      </c>
      <c r="I81" s="22">
        <v>100407772.09999999</v>
      </c>
      <c r="L81" s="8">
        <v>302</v>
      </c>
    </row>
    <row r="82" spans="1:12">
      <c r="A82" s="8">
        <v>303</v>
      </c>
      <c r="B82" t="s">
        <v>475</v>
      </c>
      <c r="C82" s="35">
        <v>2022</v>
      </c>
      <c r="D82" s="22">
        <v>100407772.09999999</v>
      </c>
      <c r="E82" s="22">
        <v>-11344507</v>
      </c>
      <c r="F82" s="22">
        <v>89063265.099999994</v>
      </c>
      <c r="G82" s="22">
        <v>256575.35999999999</v>
      </c>
      <c r="H82" s="60">
        <v>2.7083333333333334E-3</v>
      </c>
      <c r="I82" s="22">
        <v>89319840.459999993</v>
      </c>
      <c r="L82" s="8">
        <v>303</v>
      </c>
    </row>
    <row r="83" spans="1:12">
      <c r="A83" s="8">
        <v>304</v>
      </c>
      <c r="B83" t="s">
        <v>437</v>
      </c>
      <c r="C83" s="35">
        <v>2022</v>
      </c>
      <c r="D83" s="22">
        <v>89319840.459999993</v>
      </c>
      <c r="E83" s="22">
        <v>-11344507</v>
      </c>
      <c r="F83" s="22">
        <v>77975333.459999993</v>
      </c>
      <c r="G83" s="22">
        <v>226545.55</v>
      </c>
      <c r="H83" s="60">
        <v>2.7083333333333334E-3</v>
      </c>
      <c r="I83" s="22">
        <v>78201879.010000005</v>
      </c>
      <c r="L83" s="8">
        <v>304</v>
      </c>
    </row>
    <row r="84" spans="1:12">
      <c r="A84" s="8">
        <v>305</v>
      </c>
      <c r="B84" t="s">
        <v>476</v>
      </c>
      <c r="C84" s="35">
        <v>2022</v>
      </c>
      <c r="D84" s="22">
        <v>78201879.010000005</v>
      </c>
      <c r="E84" s="22">
        <v>-11344507</v>
      </c>
      <c r="F84" s="22">
        <v>66857372.010000005</v>
      </c>
      <c r="G84" s="22">
        <v>196434.4</v>
      </c>
      <c r="H84" s="60">
        <v>2.7083333333333334E-3</v>
      </c>
      <c r="I84" s="22">
        <v>67053806.409999996</v>
      </c>
      <c r="L84" s="8">
        <v>305</v>
      </c>
    </row>
    <row r="85" spans="1:12">
      <c r="A85" s="8">
        <v>306</v>
      </c>
      <c r="B85" t="s">
        <v>477</v>
      </c>
      <c r="C85" s="35">
        <v>2022</v>
      </c>
      <c r="D85" s="22">
        <v>67053806.409999996</v>
      </c>
      <c r="E85" s="22">
        <v>-11344507</v>
      </c>
      <c r="F85" s="22">
        <v>55709299.409999996</v>
      </c>
      <c r="G85" s="22">
        <v>166241.71</v>
      </c>
      <c r="H85" s="60">
        <v>2.7083333333333334E-3</v>
      </c>
      <c r="I85" s="22">
        <v>55875541.119999997</v>
      </c>
      <c r="L85" s="8">
        <v>306</v>
      </c>
    </row>
    <row r="86" spans="1:12">
      <c r="A86" s="8">
        <v>307</v>
      </c>
      <c r="B86" t="s">
        <v>478</v>
      </c>
      <c r="C86" s="35">
        <v>2022</v>
      </c>
      <c r="D86" s="22">
        <v>55875541.119999997</v>
      </c>
      <c r="E86" s="22">
        <v>-11344507</v>
      </c>
      <c r="F86" s="22">
        <v>44531034.119999997</v>
      </c>
      <c r="G86" s="22">
        <v>135967.24</v>
      </c>
      <c r="H86" s="60">
        <v>2.7083333333333334E-3</v>
      </c>
      <c r="I86" s="22">
        <v>44667001.359999999</v>
      </c>
      <c r="L86" s="8">
        <v>307</v>
      </c>
    </row>
    <row r="87" spans="1:12">
      <c r="A87" s="8">
        <v>308</v>
      </c>
      <c r="B87" t="s">
        <v>480</v>
      </c>
      <c r="C87" s="35">
        <v>2022</v>
      </c>
      <c r="D87" s="22">
        <v>44667001.359999999</v>
      </c>
      <c r="E87" s="22">
        <v>-11344507</v>
      </c>
      <c r="F87" s="22">
        <v>33322494.359999999</v>
      </c>
      <c r="G87" s="22">
        <v>105610.78</v>
      </c>
      <c r="H87" s="60">
        <v>2.7083333333333334E-3</v>
      </c>
      <c r="I87" s="22">
        <v>33428105.140000001</v>
      </c>
      <c r="L87" s="8">
        <v>308</v>
      </c>
    </row>
    <row r="88" spans="1:12">
      <c r="A88" s="8">
        <v>309</v>
      </c>
      <c r="B88" t="s">
        <v>481</v>
      </c>
      <c r="C88" s="35">
        <v>2022</v>
      </c>
      <c r="D88" s="22">
        <v>33428105.140000001</v>
      </c>
      <c r="E88" s="22">
        <v>-11344507</v>
      </c>
      <c r="F88" s="22">
        <v>22083598.140000001</v>
      </c>
      <c r="G88" s="22">
        <v>75172.100000000006</v>
      </c>
      <c r="H88" s="60">
        <v>2.7083333333333334E-3</v>
      </c>
      <c r="I88" s="22">
        <v>22158770.239999998</v>
      </c>
      <c r="L88" s="8">
        <v>309</v>
      </c>
    </row>
    <row r="89" spans="1:12">
      <c r="A89" s="8">
        <v>310</v>
      </c>
      <c r="B89" t="s">
        <v>482</v>
      </c>
      <c r="C89" s="35">
        <v>2022</v>
      </c>
      <c r="D89" s="22">
        <v>22158770.239999998</v>
      </c>
      <c r="E89" s="22">
        <v>-11344507</v>
      </c>
      <c r="F89" s="22">
        <v>10814263.239999998</v>
      </c>
      <c r="G89" s="22">
        <v>44650.98</v>
      </c>
      <c r="H89" s="60">
        <v>2.7083333333333334E-3</v>
      </c>
      <c r="I89" s="22">
        <v>10858914.220000001</v>
      </c>
      <c r="L89" s="8">
        <v>310</v>
      </c>
    </row>
    <row r="90" spans="1:12">
      <c r="A90" s="8">
        <v>311</v>
      </c>
      <c r="B90" t="s">
        <v>470</v>
      </c>
      <c r="C90" s="35">
        <v>2022</v>
      </c>
      <c r="D90" s="22">
        <v>10858914.220000001</v>
      </c>
      <c r="E90" s="22">
        <v>-11344507</v>
      </c>
      <c r="F90" s="22">
        <v>-485592.77999999933</v>
      </c>
      <c r="G90" s="22">
        <v>14047.21</v>
      </c>
      <c r="H90" s="60">
        <v>2.7083333333333334E-3</v>
      </c>
      <c r="I90" s="22">
        <v>-471545.57</v>
      </c>
      <c r="L90" s="8">
        <v>311</v>
      </c>
    </row>
    <row r="91" spans="1:12">
      <c r="A91" s="8">
        <v>312</v>
      </c>
      <c r="D91" s="15" t="s">
        <v>495</v>
      </c>
      <c r="E91" s="714">
        <v>-136134084</v>
      </c>
      <c r="G91" s="33"/>
      <c r="H91" s="61"/>
      <c r="L91" s="8">
        <v>312</v>
      </c>
    </row>
    <row r="93" spans="1:12">
      <c r="B93" s="52" t="s">
        <v>496</v>
      </c>
      <c r="C93" s="219"/>
      <c r="D93" s="219"/>
      <c r="E93" s="219"/>
      <c r="F93" s="219"/>
      <c r="G93" s="219"/>
      <c r="H93" s="219"/>
      <c r="I93" s="219"/>
      <c r="J93" s="219"/>
      <c r="K93" s="219"/>
    </row>
    <row r="94" spans="1:12">
      <c r="A94" s="13" t="s">
        <v>99</v>
      </c>
      <c r="B94" s="13" t="s">
        <v>497</v>
      </c>
      <c r="C94" s="13" t="s">
        <v>134</v>
      </c>
      <c r="L94" s="13" t="s">
        <v>99</v>
      </c>
    </row>
    <row r="95" spans="1:12">
      <c r="A95" s="8">
        <v>400</v>
      </c>
      <c r="B95" s="22">
        <v>136134084</v>
      </c>
      <c r="C95" t="s">
        <v>530</v>
      </c>
      <c r="L95" s="8">
        <v>400</v>
      </c>
    </row>
    <row r="97" spans="1:12">
      <c r="A97" s="8"/>
      <c r="B97" s="52" t="s">
        <v>498</v>
      </c>
      <c r="C97" s="219"/>
      <c r="D97" s="53"/>
      <c r="E97" s="54"/>
      <c r="F97" s="219"/>
      <c r="G97" s="54"/>
      <c r="H97" s="219"/>
      <c r="I97" s="54"/>
      <c r="J97" s="54"/>
      <c r="K97" s="54"/>
    </row>
    <row r="98" spans="1:12">
      <c r="A98" s="8"/>
      <c r="B98" s="11" t="s">
        <v>485</v>
      </c>
      <c r="D98" s="37"/>
      <c r="E98" s="20"/>
      <c r="G98" s="20"/>
      <c r="I98" s="20"/>
      <c r="J98" s="20"/>
      <c r="K98" s="20"/>
    </row>
    <row r="99" spans="1:12">
      <c r="A99" s="8"/>
      <c r="B99" s="801" t="s">
        <v>531</v>
      </c>
      <c r="C99" s="801"/>
      <c r="D99" s="801"/>
      <c r="E99" s="801"/>
      <c r="F99" s="801"/>
      <c r="G99" s="801"/>
      <c r="H99" s="801"/>
      <c r="I99" s="801"/>
      <c r="J99" s="801"/>
      <c r="K99" s="801"/>
    </row>
    <row r="100" spans="1:12">
      <c r="A100" s="8"/>
      <c r="B100" s="801" t="s">
        <v>532</v>
      </c>
      <c r="C100" s="801"/>
      <c r="D100" s="801"/>
      <c r="E100" s="801"/>
      <c r="F100" s="801"/>
      <c r="G100" s="801"/>
      <c r="H100" s="801"/>
      <c r="I100" s="801"/>
      <c r="J100" s="801"/>
      <c r="K100" s="801"/>
    </row>
    <row r="101" spans="1:12">
      <c r="A101" s="13" t="s">
        <v>99</v>
      </c>
      <c r="D101" s="37"/>
      <c r="E101" s="20"/>
      <c r="G101" s="20"/>
      <c r="I101" s="20"/>
      <c r="J101" s="20"/>
      <c r="K101" s="20"/>
      <c r="L101" s="13" t="s">
        <v>99</v>
      </c>
    </row>
    <row r="102" spans="1:12">
      <c r="A102" s="8">
        <v>500</v>
      </c>
      <c r="B102" s="14" t="s">
        <v>499</v>
      </c>
      <c r="D102" s="50" t="s">
        <v>500</v>
      </c>
      <c r="L102" s="8">
        <v>500</v>
      </c>
    </row>
    <row r="103" spans="1:12">
      <c r="A103" s="8"/>
      <c r="D103" s="37"/>
      <c r="E103" s="20"/>
      <c r="G103" s="20"/>
      <c r="I103" s="20"/>
      <c r="J103" s="20"/>
      <c r="K103" s="20"/>
    </row>
    <row r="104" spans="1:12">
      <c r="A104" s="8"/>
      <c r="C104" s="8" t="s">
        <v>413</v>
      </c>
      <c r="D104" s="8" t="s">
        <v>414</v>
      </c>
      <c r="E104" s="8" t="s">
        <v>415</v>
      </c>
      <c r="F104" s="8" t="s">
        <v>416</v>
      </c>
      <c r="I104" s="20"/>
      <c r="J104" s="20"/>
      <c r="K104" s="20"/>
    </row>
    <row r="105" spans="1:12">
      <c r="A105" s="8"/>
      <c r="C105" s="8"/>
      <c r="D105" s="35" t="s">
        <v>501</v>
      </c>
      <c r="E105" s="35" t="s">
        <v>502</v>
      </c>
      <c r="F105" s="35"/>
      <c r="I105" s="20"/>
      <c r="J105" s="20"/>
      <c r="K105" s="20"/>
    </row>
    <row r="106" spans="1:12">
      <c r="A106" s="8"/>
      <c r="B106" s="12"/>
      <c r="C106" s="8"/>
      <c r="D106" s="55" t="s">
        <v>463</v>
      </c>
      <c r="E106" s="8" t="s">
        <v>503</v>
      </c>
      <c r="F106" s="59" t="s">
        <v>504</v>
      </c>
      <c r="I106" s="20"/>
      <c r="J106" s="20"/>
      <c r="K106" s="20"/>
    </row>
    <row r="107" spans="1:12">
      <c r="B107" s="13" t="s">
        <v>426</v>
      </c>
      <c r="C107" s="13" t="s">
        <v>505</v>
      </c>
      <c r="D107" s="13" t="s">
        <v>506</v>
      </c>
      <c r="E107" s="309" t="s">
        <v>507</v>
      </c>
      <c r="F107" s="56" t="s">
        <v>508</v>
      </c>
      <c r="H107" s="20"/>
      <c r="J107" s="20"/>
      <c r="K107" s="20"/>
    </row>
    <row r="108" spans="1:12">
      <c r="A108" s="8">
        <v>501</v>
      </c>
      <c r="B108" t="s">
        <v>472</v>
      </c>
      <c r="C108" s="35">
        <v>2020</v>
      </c>
      <c r="D108" s="548">
        <v>7.969005711233941E-2</v>
      </c>
      <c r="E108" s="747">
        <v>6707443.2715321099</v>
      </c>
      <c r="F108" s="57"/>
      <c r="H108" s="20"/>
      <c r="J108" s="20"/>
      <c r="K108" s="20"/>
      <c r="L108" s="8">
        <v>501</v>
      </c>
    </row>
    <row r="109" spans="1:12">
      <c r="A109" s="8">
        <v>502</v>
      </c>
      <c r="B109" t="s">
        <v>473</v>
      </c>
      <c r="C109" s="35">
        <v>2020</v>
      </c>
      <c r="D109" s="548">
        <v>7.2174272583901328E-2</v>
      </c>
      <c r="E109" s="747">
        <v>6074846.1798461098</v>
      </c>
      <c r="F109" s="57"/>
      <c r="H109" s="20"/>
      <c r="J109" s="20"/>
      <c r="K109" s="20"/>
      <c r="L109" s="8">
        <v>502</v>
      </c>
    </row>
    <row r="110" spans="1:12">
      <c r="A110" s="8">
        <v>503</v>
      </c>
      <c r="B110" t="s">
        <v>474</v>
      </c>
      <c r="C110" s="35">
        <v>2020</v>
      </c>
      <c r="D110" s="548">
        <v>7.5085389488930343E-2</v>
      </c>
      <c r="E110" s="747">
        <v>6319872.37514365</v>
      </c>
      <c r="F110" s="57"/>
      <c r="H110" s="20"/>
      <c r="J110" s="20"/>
      <c r="K110" s="20"/>
      <c r="L110" s="8">
        <v>503</v>
      </c>
    </row>
    <row r="111" spans="1:12">
      <c r="A111" s="8">
        <v>504</v>
      </c>
      <c r="B111" t="s">
        <v>475</v>
      </c>
      <c r="C111" s="35">
        <v>2020</v>
      </c>
      <c r="D111" s="548">
        <v>6.9251718540874876E-2</v>
      </c>
      <c r="E111" s="747">
        <v>5828857.3305226304</v>
      </c>
      <c r="F111" s="57"/>
      <c r="H111" s="20"/>
      <c r="J111" s="20"/>
      <c r="K111" s="20"/>
      <c r="L111" s="8">
        <v>504</v>
      </c>
    </row>
    <row r="112" spans="1:12">
      <c r="A112" s="8">
        <v>505</v>
      </c>
      <c r="B112" t="s">
        <v>437</v>
      </c>
      <c r="C112" s="35">
        <v>2020</v>
      </c>
      <c r="D112" s="548">
        <v>7.9708218465465663E-2</v>
      </c>
      <c r="E112" s="747">
        <v>6708971.8969371198</v>
      </c>
      <c r="F112" s="57"/>
      <c r="H112" s="20"/>
      <c r="J112" s="20"/>
      <c r="K112" s="20"/>
      <c r="L112" s="8">
        <v>505</v>
      </c>
    </row>
    <row r="113" spans="1:12">
      <c r="A113" s="8">
        <v>506</v>
      </c>
      <c r="B113" t="s">
        <v>476</v>
      </c>
      <c r="C113" s="35">
        <v>2020</v>
      </c>
      <c r="D113" s="548">
        <v>8.8671992647657349E-2</v>
      </c>
      <c r="E113" s="747">
        <v>7463445.0270180497</v>
      </c>
      <c r="F113" s="57"/>
      <c r="H113" s="20"/>
      <c r="J113" s="20"/>
      <c r="K113" s="20"/>
      <c r="L113" s="8">
        <v>506</v>
      </c>
    </row>
    <row r="114" spans="1:12">
      <c r="A114" s="8">
        <v>507</v>
      </c>
      <c r="B114" t="s">
        <v>477</v>
      </c>
      <c r="C114" s="35">
        <v>2020</v>
      </c>
      <c r="D114" s="548">
        <v>9.7515781143725638E-2</v>
      </c>
      <c r="E114" s="747">
        <v>8207819.0655406201</v>
      </c>
      <c r="F114" s="57"/>
      <c r="H114" s="20"/>
      <c r="J114" s="20"/>
      <c r="K114" s="20"/>
      <c r="L114" s="8">
        <v>507</v>
      </c>
    </row>
    <row r="115" spans="1:12">
      <c r="A115" s="8">
        <v>508</v>
      </c>
      <c r="B115" t="s">
        <v>478</v>
      </c>
      <c r="C115" s="35">
        <v>2020</v>
      </c>
      <c r="D115" s="548">
        <v>0.1045975771486307</v>
      </c>
      <c r="E115" s="747">
        <v>8803887.7180765495</v>
      </c>
      <c r="F115" s="57"/>
      <c r="H115" s="20"/>
      <c r="J115" s="20"/>
      <c r="K115" s="20"/>
      <c r="L115" s="8">
        <v>508</v>
      </c>
    </row>
    <row r="116" spans="1:12">
      <c r="A116" s="8">
        <v>509</v>
      </c>
      <c r="B116" t="s">
        <v>480</v>
      </c>
      <c r="C116" s="35">
        <v>2020</v>
      </c>
      <c r="D116" s="548">
        <v>9.1426158775865934E-2</v>
      </c>
      <c r="E116" s="747">
        <v>7695260.8110034</v>
      </c>
      <c r="F116" s="57"/>
      <c r="H116" s="20"/>
      <c r="J116" s="20"/>
      <c r="K116" s="20"/>
      <c r="L116" s="8">
        <v>509</v>
      </c>
    </row>
    <row r="117" spans="1:12">
      <c r="A117" s="8">
        <v>510</v>
      </c>
      <c r="B117" t="s">
        <v>481</v>
      </c>
      <c r="C117" s="35">
        <v>2020</v>
      </c>
      <c r="D117" s="548">
        <v>8.475716614259951E-2</v>
      </c>
      <c r="E117" s="747">
        <v>7133937.4616821501</v>
      </c>
      <c r="F117" s="57"/>
      <c r="L117" s="8">
        <v>510</v>
      </c>
    </row>
    <row r="118" spans="1:12">
      <c r="A118" s="8">
        <v>511</v>
      </c>
      <c r="B118" t="s">
        <v>482</v>
      </c>
      <c r="C118" s="35">
        <v>2020</v>
      </c>
      <c r="D118" s="548">
        <v>7.5682409212694146E-2</v>
      </c>
      <c r="E118" s="747">
        <v>6370123.0095921401</v>
      </c>
      <c r="F118" s="57"/>
      <c r="L118" s="8">
        <v>511</v>
      </c>
    </row>
    <row r="119" spans="1:12">
      <c r="A119" s="8">
        <v>512</v>
      </c>
      <c r="B119" t="s">
        <v>470</v>
      </c>
      <c r="C119" s="35">
        <v>2020</v>
      </c>
      <c r="D119" s="600">
        <v>8.1439258737314987E-2</v>
      </c>
      <c r="E119" s="748">
        <v>6854672.0613603797</v>
      </c>
      <c r="F119" s="57"/>
      <c r="L119" s="8">
        <v>512</v>
      </c>
    </row>
    <row r="120" spans="1:12">
      <c r="A120" s="8">
        <v>513</v>
      </c>
      <c r="B120" s="15" t="s">
        <v>509</v>
      </c>
      <c r="D120" s="610">
        <v>0.99999999999999978</v>
      </c>
      <c r="E120" s="21">
        <v>84169136.208254918</v>
      </c>
      <c r="L120" s="8">
        <v>513</v>
      </c>
    </row>
    <row r="122" spans="1:12">
      <c r="B122" s="52" t="s">
        <v>510</v>
      </c>
      <c r="C122" s="219"/>
      <c r="D122" s="219"/>
      <c r="E122" s="219"/>
      <c r="F122" s="219"/>
      <c r="G122" s="219"/>
      <c r="H122" s="219"/>
      <c r="I122" s="219"/>
      <c r="J122" s="219"/>
      <c r="K122" s="219"/>
    </row>
    <row r="123" spans="1:12">
      <c r="B123" s="11" t="s">
        <v>485</v>
      </c>
    </row>
    <row r="124" spans="1:12">
      <c r="B124" s="805" t="s">
        <v>511</v>
      </c>
      <c r="C124" s="805"/>
      <c r="D124" s="805"/>
      <c r="E124" s="805"/>
      <c r="F124" s="805"/>
      <c r="G124" s="805"/>
      <c r="H124" s="805"/>
      <c r="I124" s="805"/>
      <c r="J124" s="805"/>
      <c r="K124" s="805"/>
    </row>
    <row r="125" spans="1:12">
      <c r="B125" s="805"/>
      <c r="C125" s="805"/>
      <c r="D125" s="805"/>
      <c r="E125" s="805"/>
      <c r="F125" s="805"/>
      <c r="G125" s="805"/>
      <c r="H125" s="805"/>
      <c r="I125" s="805"/>
      <c r="J125" s="805"/>
      <c r="K125" s="805"/>
    </row>
    <row r="126" spans="1:12">
      <c r="B126" s="806" t="s">
        <v>512</v>
      </c>
      <c r="C126" s="806"/>
      <c r="D126" s="806"/>
      <c r="E126" s="806"/>
      <c r="F126" s="806"/>
      <c r="G126" s="806"/>
      <c r="H126" s="806"/>
      <c r="I126" s="806"/>
      <c r="J126" s="806"/>
      <c r="K126" s="806"/>
    </row>
    <row r="129" spans="2:11">
      <c r="B129" s="16" t="s">
        <v>304</v>
      </c>
    </row>
    <row r="130" spans="2:11">
      <c r="B130" s="800" t="s">
        <v>513</v>
      </c>
      <c r="C130" s="800"/>
      <c r="D130" s="800"/>
      <c r="E130" s="800"/>
      <c r="F130" s="800"/>
      <c r="G130" s="800"/>
      <c r="H130" s="800"/>
      <c r="I130" s="800"/>
      <c r="J130" s="800"/>
      <c r="K130" s="800"/>
    </row>
    <row r="131" spans="2:11">
      <c r="B131" s="800"/>
      <c r="C131" s="800"/>
      <c r="D131" s="800"/>
      <c r="E131" s="800"/>
      <c r="F131" s="800"/>
      <c r="G131" s="800"/>
      <c r="H131" s="800"/>
      <c r="I131" s="800"/>
      <c r="J131" s="800"/>
      <c r="K131" s="800"/>
    </row>
    <row r="132" spans="2:11">
      <c r="B132" s="800" t="s">
        <v>514</v>
      </c>
      <c r="C132" s="800"/>
      <c r="D132" s="800"/>
      <c r="E132" s="800"/>
      <c r="F132" s="800"/>
      <c r="G132" s="800"/>
      <c r="H132" s="800"/>
      <c r="I132" s="800"/>
      <c r="J132" s="800"/>
      <c r="K132" s="800"/>
    </row>
    <row r="133" spans="2:11">
      <c r="B133" s="800"/>
      <c r="C133" s="800"/>
      <c r="D133" s="800"/>
      <c r="E133" s="800"/>
      <c r="F133" s="800"/>
      <c r="G133" s="800"/>
      <c r="H133" s="800"/>
      <c r="I133" s="800"/>
      <c r="J133" s="800"/>
      <c r="K133" s="800"/>
    </row>
    <row r="134" spans="2:11" ht="15" customHeight="1">
      <c r="B134" s="800" t="s">
        <v>533</v>
      </c>
      <c r="C134" s="800"/>
      <c r="D134" s="800"/>
      <c r="E134" s="800"/>
      <c r="F134" s="800"/>
      <c r="G134" s="800"/>
      <c r="H134" s="800"/>
      <c r="I134" s="800"/>
      <c r="J134" s="800"/>
      <c r="K134" s="800"/>
    </row>
    <row r="135" spans="2:11" ht="15" customHeight="1">
      <c r="B135" s="800" t="s">
        <v>534</v>
      </c>
      <c r="C135" s="800"/>
      <c r="D135" s="800"/>
      <c r="E135" s="800"/>
      <c r="F135" s="800"/>
      <c r="G135" s="800"/>
      <c r="H135" s="800"/>
      <c r="I135" s="800"/>
      <c r="J135" s="800"/>
      <c r="K135" s="800"/>
    </row>
    <row r="136" spans="2:11">
      <c r="B136" s="800"/>
      <c r="C136" s="800"/>
      <c r="D136" s="800"/>
      <c r="E136" s="800"/>
      <c r="F136" s="800"/>
      <c r="G136" s="800"/>
      <c r="H136" s="800"/>
      <c r="I136" s="800"/>
      <c r="J136" s="800"/>
      <c r="K136" s="800"/>
    </row>
    <row r="137" spans="2:11">
      <c r="B137" s="801" t="s">
        <v>515</v>
      </c>
      <c r="C137" s="801"/>
      <c r="D137" s="801"/>
      <c r="E137" s="801"/>
      <c r="F137" s="801"/>
      <c r="G137" s="801"/>
      <c r="H137" s="801"/>
      <c r="I137" s="801"/>
      <c r="J137" s="801"/>
      <c r="K137" s="801"/>
    </row>
    <row r="138" spans="2:11">
      <c r="B138" s="801" t="s">
        <v>516</v>
      </c>
      <c r="C138" s="801"/>
      <c r="D138" s="801"/>
      <c r="E138" s="801"/>
      <c r="F138" s="801"/>
      <c r="G138" s="801"/>
      <c r="H138" s="801"/>
      <c r="I138" s="801"/>
      <c r="J138" s="801"/>
      <c r="K138" s="801"/>
    </row>
    <row r="139" spans="2:11">
      <c r="B139" s="800" t="s">
        <v>517</v>
      </c>
      <c r="C139" s="800"/>
      <c r="D139" s="800"/>
      <c r="E139" s="800"/>
      <c r="F139" s="800"/>
      <c r="G139" s="800"/>
      <c r="H139" s="800"/>
      <c r="I139" s="800"/>
      <c r="J139" s="800"/>
      <c r="K139" s="800"/>
    </row>
    <row r="140" spans="2:11">
      <c r="B140" s="800"/>
      <c r="C140" s="800"/>
      <c r="D140" s="800"/>
      <c r="E140" s="800"/>
      <c r="F140" s="800"/>
      <c r="G140" s="800"/>
      <c r="H140" s="800"/>
      <c r="I140" s="800"/>
      <c r="J140" s="800"/>
      <c r="K140" s="800"/>
    </row>
    <row r="141" spans="2:11">
      <c r="B141" s="801" t="s">
        <v>518</v>
      </c>
      <c r="C141" s="801"/>
      <c r="D141" s="801"/>
      <c r="E141" s="801"/>
      <c r="F141" s="801"/>
      <c r="G141" s="801"/>
      <c r="H141" s="801"/>
      <c r="I141" s="801"/>
      <c r="J141" s="801"/>
      <c r="K141" s="801"/>
    </row>
    <row r="142" spans="2:11">
      <c r="B142" s="801" t="s">
        <v>535</v>
      </c>
      <c r="C142" s="801"/>
      <c r="D142" s="801"/>
      <c r="E142" s="801"/>
      <c r="F142" s="801"/>
      <c r="G142" s="801"/>
      <c r="H142" s="801"/>
      <c r="I142" s="801"/>
      <c r="J142" s="801"/>
      <c r="K142" s="801"/>
    </row>
    <row r="143" spans="2:11">
      <c r="B143" s="800" t="s">
        <v>536</v>
      </c>
      <c r="C143" s="800"/>
      <c r="D143" s="800"/>
      <c r="E143" s="800"/>
      <c r="F143" s="800"/>
      <c r="G143" s="800"/>
      <c r="H143" s="800"/>
      <c r="I143" s="800"/>
      <c r="J143" s="800"/>
      <c r="K143" s="800"/>
    </row>
    <row r="144" spans="2:11">
      <c r="B144" s="800"/>
      <c r="C144" s="800"/>
      <c r="D144" s="800"/>
      <c r="E144" s="800"/>
      <c r="F144" s="800"/>
      <c r="G144" s="800"/>
      <c r="H144" s="800"/>
      <c r="I144" s="800"/>
      <c r="J144" s="800"/>
      <c r="K144" s="800"/>
    </row>
    <row r="145" spans="2:11">
      <c r="B145" s="801" t="s">
        <v>537</v>
      </c>
      <c r="C145" s="801"/>
      <c r="D145" s="801"/>
      <c r="E145" s="801"/>
      <c r="F145" s="801"/>
      <c r="G145" s="801"/>
      <c r="H145" s="801"/>
      <c r="I145" s="801"/>
      <c r="J145" s="801"/>
      <c r="K145" s="801"/>
    </row>
    <row r="146" spans="2:11" ht="15" customHeight="1">
      <c r="B146" s="805" t="s">
        <v>519</v>
      </c>
      <c r="C146" s="805"/>
      <c r="D146" s="805"/>
      <c r="E146" s="805"/>
      <c r="F146" s="805"/>
      <c r="G146" s="805"/>
      <c r="H146" s="805"/>
      <c r="I146" s="805"/>
      <c r="J146" s="805"/>
      <c r="K146" s="805"/>
    </row>
    <row r="147" spans="2:11">
      <c r="B147" s="800" t="s">
        <v>520</v>
      </c>
      <c r="C147" s="800"/>
      <c r="D147" s="800"/>
      <c r="E147" s="800"/>
      <c r="F147" s="800"/>
      <c r="G147" s="800"/>
      <c r="H147" s="800"/>
      <c r="I147" s="800"/>
      <c r="J147" s="800"/>
      <c r="K147" s="800"/>
    </row>
  </sheetData>
  <mergeCells count="23">
    <mergeCell ref="N52:O54"/>
    <mergeCell ref="B134:K134"/>
    <mergeCell ref="B146:K146"/>
    <mergeCell ref="B147:K147"/>
    <mergeCell ref="B100:K100"/>
    <mergeCell ref="B124:K125"/>
    <mergeCell ref="B126:K126"/>
    <mergeCell ref="B130:K131"/>
    <mergeCell ref="B145:K145"/>
    <mergeCell ref="B142:K142"/>
    <mergeCell ref="B143:K144"/>
    <mergeCell ref="B139:K140"/>
    <mergeCell ref="B137:K137"/>
    <mergeCell ref="B138:K138"/>
    <mergeCell ref="B141:K141"/>
    <mergeCell ref="B132:K133"/>
    <mergeCell ref="B135:K136"/>
    <mergeCell ref="B99:K99"/>
    <mergeCell ref="B6:K6"/>
    <mergeCell ref="B7:K7"/>
    <mergeCell ref="B31:K32"/>
    <mergeCell ref="B33:K33"/>
    <mergeCell ref="B72:K73"/>
  </mergeCells>
  <printOptions horizontalCentered="1"/>
  <pageMargins left="1" right="1" top="1" bottom="1" header="0.5" footer="0.5"/>
  <pageSetup scale="48"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5" max="17" man="1"/>
  </row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741A8-B6E5-4416-ADD3-38619EC42766}">
  <sheetPr>
    <tabColor rgb="FFC00000"/>
    <pageSetUpPr fitToPage="1"/>
  </sheetPr>
  <dimension ref="A1:L147"/>
  <sheetViews>
    <sheetView tabSelected="1" view="pageBreakPreview" topLeftCell="A124" zoomScale="85" zoomScaleSheetLayoutView="85" zoomScalePageLayoutView="70" workbookViewId="0">
      <selection activeCell="E21" sqref="E21"/>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6.81640625" bestFit="1" customWidth="1"/>
    <col min="11" max="11" width="17.54296875" bestFit="1" customWidth="1"/>
    <col min="12" max="12" width="4.7265625" bestFit="1" customWidth="1"/>
  </cols>
  <sheetData>
    <row r="1" spans="1:12">
      <c r="B1" s="12" t="s">
        <v>14</v>
      </c>
      <c r="K1" s="15" t="s">
        <v>521</v>
      </c>
    </row>
    <row r="2" spans="1:12">
      <c r="B2" s="42" t="s">
        <v>130</v>
      </c>
      <c r="K2" s="15" t="s">
        <v>368</v>
      </c>
    </row>
    <row r="4" spans="1:12">
      <c r="B4" s="52" t="s">
        <v>411</v>
      </c>
      <c r="C4" s="219"/>
      <c r="D4" s="219"/>
      <c r="E4" s="219"/>
      <c r="F4" s="219"/>
      <c r="G4" s="219"/>
      <c r="H4" s="219"/>
      <c r="I4" s="219"/>
      <c r="J4" s="219"/>
      <c r="K4" s="219"/>
    </row>
    <row r="5" spans="1:12">
      <c r="B5" s="16" t="s">
        <v>350</v>
      </c>
    </row>
    <row r="6" spans="1:12">
      <c r="B6" s="801" t="s">
        <v>412</v>
      </c>
      <c r="C6" s="801"/>
      <c r="D6" s="801"/>
      <c r="E6" s="801"/>
      <c r="F6" s="801"/>
      <c r="G6" s="801"/>
      <c r="H6" s="801"/>
      <c r="I6" s="801"/>
      <c r="J6" s="801"/>
      <c r="K6" s="801"/>
    </row>
    <row r="7" spans="1:12">
      <c r="B7" s="801" t="s">
        <v>522</v>
      </c>
      <c r="C7" s="801"/>
      <c r="D7" s="801"/>
      <c r="E7" s="801"/>
      <c r="F7" s="801"/>
      <c r="G7" s="801"/>
      <c r="H7" s="801"/>
      <c r="I7" s="801"/>
      <c r="J7" s="801"/>
      <c r="K7" s="801"/>
    </row>
    <row r="8" spans="1:12">
      <c r="B8" s="304"/>
      <c r="C8" s="304"/>
      <c r="D8" s="304"/>
      <c r="E8" s="304"/>
      <c r="F8" s="304"/>
      <c r="G8" s="304"/>
      <c r="H8" s="304"/>
      <c r="I8" s="304"/>
      <c r="J8" s="304"/>
      <c r="K8" s="304"/>
    </row>
    <row r="9" spans="1:12">
      <c r="B9" s="12"/>
      <c r="C9" s="13" t="s">
        <v>413</v>
      </c>
      <c r="D9" s="13" t="s">
        <v>414</v>
      </c>
      <c r="E9" s="13" t="s">
        <v>415</v>
      </c>
      <c r="F9" s="13" t="s">
        <v>416</v>
      </c>
      <c r="G9" s="13" t="s">
        <v>417</v>
      </c>
      <c r="H9" s="13" t="s">
        <v>418</v>
      </c>
      <c r="I9" s="13" t="s">
        <v>419</v>
      </c>
      <c r="J9" s="13" t="s">
        <v>420</v>
      </c>
    </row>
    <row r="10" spans="1:12">
      <c r="B10" s="12"/>
      <c r="C10" s="35" t="s">
        <v>110</v>
      </c>
      <c r="D10" s="35" t="s">
        <v>202</v>
      </c>
      <c r="E10" s="8"/>
      <c r="F10" s="8"/>
      <c r="G10" s="8"/>
      <c r="H10" s="8"/>
      <c r="I10" s="8"/>
      <c r="J10" s="35" t="s">
        <v>421</v>
      </c>
    </row>
    <row r="11" spans="1:12">
      <c r="B11" s="12"/>
      <c r="C11" s="8" t="s">
        <v>422</v>
      </c>
      <c r="D11" s="8" t="s">
        <v>423</v>
      </c>
      <c r="E11" s="8"/>
      <c r="F11" s="8"/>
      <c r="G11" s="8" t="s">
        <v>424</v>
      </c>
      <c r="H11" s="8" t="s">
        <v>425</v>
      </c>
      <c r="I11" s="8"/>
      <c r="J11" s="35"/>
    </row>
    <row r="12" spans="1:12">
      <c r="A12" s="13" t="s">
        <v>99</v>
      </c>
      <c r="B12" s="13" t="s">
        <v>426</v>
      </c>
      <c r="C12" s="13" t="s">
        <v>427</v>
      </c>
      <c r="D12" s="13" t="s">
        <v>427</v>
      </c>
      <c r="E12" s="13" t="s">
        <v>428</v>
      </c>
      <c r="F12" s="13" t="s">
        <v>429</v>
      </c>
      <c r="G12" s="13" t="s">
        <v>430</v>
      </c>
      <c r="H12" s="13" t="s">
        <v>431</v>
      </c>
      <c r="I12" s="13" t="s">
        <v>423</v>
      </c>
      <c r="J12" s="13" t="s">
        <v>432</v>
      </c>
      <c r="K12" s="13"/>
      <c r="L12" s="13" t="s">
        <v>99</v>
      </c>
    </row>
    <row r="13" spans="1:12">
      <c r="A13" s="8">
        <v>100</v>
      </c>
      <c r="B13" t="s">
        <v>433</v>
      </c>
      <c r="C13" s="46">
        <v>165549599.62</v>
      </c>
      <c r="D13" s="46">
        <v>18557500</v>
      </c>
      <c r="E13" s="46">
        <v>312426972</v>
      </c>
      <c r="F13" s="46">
        <v>366404827.99999994</v>
      </c>
      <c r="G13" s="46">
        <v>72161804</v>
      </c>
      <c r="H13" s="46">
        <v>5724508</v>
      </c>
      <c r="I13" s="46">
        <v>34309335</v>
      </c>
      <c r="J13" s="22">
        <v>975134546.61999989</v>
      </c>
      <c r="K13" s="32"/>
      <c r="L13" s="8">
        <v>100</v>
      </c>
    </row>
    <row r="14" spans="1:12">
      <c r="A14" s="8">
        <v>101</v>
      </c>
      <c r="B14" t="s">
        <v>434</v>
      </c>
      <c r="C14" s="46">
        <v>155143268.62</v>
      </c>
      <c r="D14" s="46">
        <v>15114267</v>
      </c>
      <c r="E14" s="46">
        <v>266096814</v>
      </c>
      <c r="F14" s="46">
        <v>311129990</v>
      </c>
      <c r="G14" s="46">
        <v>62850872</v>
      </c>
      <c r="H14" s="46">
        <v>5023267</v>
      </c>
      <c r="I14" s="46">
        <v>32270708</v>
      </c>
      <c r="J14" s="22">
        <v>847629186.62</v>
      </c>
      <c r="K14" s="32"/>
      <c r="L14" s="8">
        <v>101</v>
      </c>
    </row>
    <row r="15" spans="1:12">
      <c r="A15" s="8">
        <v>102</v>
      </c>
      <c r="B15" t="s">
        <v>435</v>
      </c>
      <c r="C15" s="46">
        <v>169705457.62</v>
      </c>
      <c r="D15" s="46">
        <v>16210348</v>
      </c>
      <c r="E15" s="46">
        <v>275123683</v>
      </c>
      <c r="F15" s="46">
        <v>342134050</v>
      </c>
      <c r="G15" s="46">
        <v>68076881</v>
      </c>
      <c r="H15" s="46">
        <v>5444346</v>
      </c>
      <c r="I15" s="46">
        <v>35247499</v>
      </c>
      <c r="J15" s="22">
        <v>911942264.62</v>
      </c>
      <c r="K15" s="32"/>
      <c r="L15" s="8">
        <v>102</v>
      </c>
    </row>
    <row r="16" spans="1:12">
      <c r="A16" s="8">
        <v>103</v>
      </c>
      <c r="B16" t="s">
        <v>436</v>
      </c>
      <c r="C16" s="46">
        <v>167849819.62</v>
      </c>
      <c r="D16" s="46">
        <v>15787681</v>
      </c>
      <c r="E16" s="46">
        <v>72026530</v>
      </c>
      <c r="F16" s="46">
        <v>327630349</v>
      </c>
      <c r="G16" s="46">
        <v>66619274</v>
      </c>
      <c r="H16" s="46">
        <v>5366897</v>
      </c>
      <c r="I16" s="46">
        <v>34328045</v>
      </c>
      <c r="J16" s="22">
        <v>689608595.62</v>
      </c>
      <c r="K16" s="32"/>
      <c r="L16" s="8">
        <v>103</v>
      </c>
    </row>
    <row r="17" spans="1:12">
      <c r="A17" s="8">
        <v>104</v>
      </c>
      <c r="B17" t="s">
        <v>437</v>
      </c>
      <c r="C17" s="46">
        <v>159359744.62</v>
      </c>
      <c r="D17" s="46">
        <v>15167257</v>
      </c>
      <c r="E17" s="46">
        <v>219974843</v>
      </c>
      <c r="F17" s="46">
        <v>362426507</v>
      </c>
      <c r="G17" s="46">
        <v>64895211</v>
      </c>
      <c r="H17" s="46">
        <v>5421148</v>
      </c>
      <c r="I17" s="46">
        <v>32716136</v>
      </c>
      <c r="J17" s="22">
        <v>859960846.62</v>
      </c>
      <c r="K17" s="32"/>
      <c r="L17" s="8">
        <v>104</v>
      </c>
    </row>
    <row r="18" spans="1:12">
      <c r="A18" s="8">
        <v>105</v>
      </c>
      <c r="B18" t="s">
        <v>438</v>
      </c>
      <c r="C18" s="46">
        <v>197897671.62</v>
      </c>
      <c r="D18" s="46">
        <v>18508918</v>
      </c>
      <c r="E18" s="46">
        <v>361556426</v>
      </c>
      <c r="F18" s="46">
        <v>537179912</v>
      </c>
      <c r="G18" s="46">
        <v>82349957</v>
      </c>
      <c r="H18" s="46">
        <v>7158494</v>
      </c>
      <c r="I18" s="46">
        <v>40005639</v>
      </c>
      <c r="J18" s="22">
        <v>1244657017.6199999</v>
      </c>
      <c r="K18" s="32"/>
      <c r="L18" s="8">
        <v>105</v>
      </c>
    </row>
    <row r="19" spans="1:12">
      <c r="A19" s="8">
        <v>106</v>
      </c>
      <c r="B19" t="s">
        <v>439</v>
      </c>
      <c r="C19" s="46">
        <v>221834538.62</v>
      </c>
      <c r="D19" s="46">
        <v>20642439</v>
      </c>
      <c r="E19" s="46">
        <v>501080879</v>
      </c>
      <c r="F19" s="46">
        <v>623593004</v>
      </c>
      <c r="G19" s="46">
        <v>91356647</v>
      </c>
      <c r="H19" s="46">
        <v>7991568</v>
      </c>
      <c r="I19" s="46">
        <v>43986504</v>
      </c>
      <c r="J19" s="22">
        <v>1510485579.6199999</v>
      </c>
      <c r="K19" s="32"/>
      <c r="L19" s="8">
        <v>106</v>
      </c>
    </row>
    <row r="20" spans="1:12">
      <c r="A20" s="8">
        <v>107</v>
      </c>
      <c r="B20" t="s">
        <v>440</v>
      </c>
      <c r="C20" s="46">
        <v>211766208.62</v>
      </c>
      <c r="D20" s="46">
        <v>19930661</v>
      </c>
      <c r="E20" s="46">
        <v>480536825</v>
      </c>
      <c r="F20" s="46">
        <v>611980701</v>
      </c>
      <c r="G20" s="46">
        <v>87584605</v>
      </c>
      <c r="H20" s="46">
        <v>7697863</v>
      </c>
      <c r="I20" s="46">
        <v>42067006</v>
      </c>
      <c r="J20" s="22">
        <v>1461563869.6199999</v>
      </c>
      <c r="K20" s="32"/>
      <c r="L20" s="8">
        <v>107</v>
      </c>
    </row>
    <row r="21" spans="1:12">
      <c r="A21" s="8">
        <v>108</v>
      </c>
      <c r="B21" t="s">
        <v>441</v>
      </c>
      <c r="C21" s="46">
        <v>218039873.62</v>
      </c>
      <c r="D21" s="46">
        <v>20197257</v>
      </c>
      <c r="E21" s="46">
        <v>493481900.91000003</v>
      </c>
      <c r="F21" s="46">
        <v>610446905</v>
      </c>
      <c r="G21" s="46">
        <v>88816201</v>
      </c>
      <c r="H21" s="46">
        <v>7808014</v>
      </c>
      <c r="I21" s="46">
        <v>42661110</v>
      </c>
      <c r="J21" s="22">
        <v>1481451261.53</v>
      </c>
      <c r="K21" s="32"/>
      <c r="L21" s="8">
        <v>108</v>
      </c>
    </row>
    <row r="22" spans="1:12">
      <c r="A22" s="8">
        <v>109</v>
      </c>
      <c r="B22" t="s">
        <v>442</v>
      </c>
      <c r="C22" s="46">
        <v>194721404.62</v>
      </c>
      <c r="D22" s="46">
        <v>18475661</v>
      </c>
      <c r="E22" s="46">
        <v>433414466</v>
      </c>
      <c r="F22" s="46">
        <v>526700248</v>
      </c>
      <c r="G22" s="46">
        <v>81507004</v>
      </c>
      <c r="H22" s="46">
        <v>7123114</v>
      </c>
      <c r="I22" s="46">
        <v>41304174</v>
      </c>
      <c r="J22" s="22">
        <v>1303246071.6199999</v>
      </c>
      <c r="K22" s="32"/>
      <c r="L22" s="8">
        <v>109</v>
      </c>
    </row>
    <row r="23" spans="1:12">
      <c r="A23" s="8">
        <v>110</v>
      </c>
      <c r="B23" t="s">
        <v>443</v>
      </c>
      <c r="C23" s="46">
        <v>155262455.62</v>
      </c>
      <c r="D23" s="46">
        <v>14759516</v>
      </c>
      <c r="E23" s="46">
        <v>314787779</v>
      </c>
      <c r="F23" s="46">
        <v>387833558.00000006</v>
      </c>
      <c r="G23" s="46">
        <v>65435225</v>
      </c>
      <c r="H23" s="46">
        <v>5703264</v>
      </c>
      <c r="I23" s="46">
        <v>35101828</v>
      </c>
      <c r="J23" s="22">
        <v>978883625.62000012</v>
      </c>
      <c r="K23" s="32"/>
      <c r="L23" s="8">
        <v>110</v>
      </c>
    </row>
    <row r="24" spans="1:12">
      <c r="A24" s="8">
        <v>111</v>
      </c>
      <c r="B24" t="s">
        <v>444</v>
      </c>
      <c r="C24" s="46">
        <v>184886690.62</v>
      </c>
      <c r="D24" s="46">
        <v>17315014</v>
      </c>
      <c r="E24" s="46">
        <v>332516159</v>
      </c>
      <c r="F24" s="46">
        <v>415900014</v>
      </c>
      <c r="G24" s="46">
        <v>76743506</v>
      </c>
      <c r="H24" s="46">
        <v>6707850</v>
      </c>
      <c r="I24" s="46">
        <v>40895827.090000004</v>
      </c>
      <c r="J24" s="22">
        <v>1074965060.71</v>
      </c>
      <c r="K24" s="32"/>
      <c r="L24" s="8">
        <v>111</v>
      </c>
    </row>
    <row r="25" spans="1:12">
      <c r="A25" s="8">
        <v>112</v>
      </c>
      <c r="B25" t="s">
        <v>445</v>
      </c>
      <c r="C25" s="24">
        <v>2202016733.4399996</v>
      </c>
      <c r="D25" s="24">
        <v>210666519</v>
      </c>
      <c r="E25" s="24">
        <v>4063023276.9099998</v>
      </c>
      <c r="F25" s="24">
        <v>5423360066</v>
      </c>
      <c r="G25" s="24">
        <v>908397187</v>
      </c>
      <c r="H25" s="24">
        <v>77170333</v>
      </c>
      <c r="I25" s="24">
        <v>454893811.09000003</v>
      </c>
      <c r="J25" s="24">
        <v>13339527926.440002</v>
      </c>
      <c r="K25" s="32"/>
      <c r="L25" s="8">
        <v>112</v>
      </c>
    </row>
    <row r="26" spans="1:12">
      <c r="A26" s="8"/>
      <c r="L26" s="8"/>
    </row>
    <row r="27" spans="1:12">
      <c r="A27" s="8">
        <v>113</v>
      </c>
      <c r="I27" s="15" t="s">
        <v>446</v>
      </c>
      <c r="J27" s="46">
        <v>13366378507</v>
      </c>
      <c r="K27" s="30"/>
      <c r="L27" s="8">
        <v>113</v>
      </c>
    </row>
    <row r="28" spans="1:12">
      <c r="L28" s="8"/>
    </row>
    <row r="29" spans="1:12">
      <c r="B29" s="52" t="s">
        <v>447</v>
      </c>
      <c r="C29" s="219"/>
      <c r="D29" s="219"/>
      <c r="E29" s="219"/>
      <c r="F29" s="219"/>
      <c r="G29" s="219"/>
      <c r="H29" s="219"/>
      <c r="I29" s="219"/>
      <c r="J29" s="219"/>
      <c r="K29" s="219"/>
    </row>
    <row r="30" spans="1:12">
      <c r="B30" s="16" t="s">
        <v>350</v>
      </c>
    </row>
    <row r="31" spans="1:12">
      <c r="B31" s="800" t="s">
        <v>523</v>
      </c>
      <c r="C31" s="800"/>
      <c r="D31" s="800"/>
      <c r="E31" s="800"/>
      <c r="F31" s="800"/>
      <c r="G31" s="800"/>
      <c r="H31" s="800"/>
      <c r="I31" s="800"/>
      <c r="J31" s="800"/>
      <c r="K31" s="800"/>
    </row>
    <row r="32" spans="1:12">
      <c r="B32" s="800"/>
      <c r="C32" s="800"/>
      <c r="D32" s="800"/>
      <c r="E32" s="800"/>
      <c r="F32" s="800"/>
      <c r="G32" s="800"/>
      <c r="H32" s="800"/>
      <c r="I32" s="800"/>
      <c r="J32" s="800"/>
      <c r="K32" s="800"/>
    </row>
    <row r="33" spans="1:12">
      <c r="B33" s="801" t="s">
        <v>448</v>
      </c>
      <c r="C33" s="801"/>
      <c r="D33" s="801"/>
      <c r="E33" s="801"/>
      <c r="F33" s="801"/>
      <c r="G33" s="801"/>
      <c r="H33" s="801"/>
      <c r="I33" s="801"/>
      <c r="J33" s="801"/>
      <c r="K33" s="801"/>
    </row>
    <row r="34" spans="1:12">
      <c r="B34" s="12"/>
    </row>
    <row r="35" spans="1:12">
      <c r="A35" s="13" t="s">
        <v>99</v>
      </c>
      <c r="B35" s="13" t="s">
        <v>449</v>
      </c>
      <c r="C35" s="13" t="s">
        <v>450</v>
      </c>
      <c r="L35" s="13" t="s">
        <v>99</v>
      </c>
    </row>
    <row r="36" spans="1:12">
      <c r="A36" s="8">
        <v>200</v>
      </c>
      <c r="B36" s="41">
        <v>2342105893.3118043</v>
      </c>
      <c r="C36" s="6" t="s">
        <v>524</v>
      </c>
      <c r="L36" s="8">
        <v>200</v>
      </c>
    </row>
    <row r="37" spans="1:12">
      <c r="A37" s="8"/>
    </row>
    <row r="38" spans="1:12">
      <c r="A38" s="8"/>
      <c r="B38" s="8"/>
      <c r="C38" s="13" t="s">
        <v>413</v>
      </c>
      <c r="D38" s="13" t="s">
        <v>414</v>
      </c>
      <c r="E38" s="13" t="s">
        <v>415</v>
      </c>
      <c r="F38" s="13" t="s">
        <v>416</v>
      </c>
      <c r="G38" s="13" t="s">
        <v>417</v>
      </c>
      <c r="H38" s="13" t="s">
        <v>418</v>
      </c>
      <c r="I38" s="13" t="s">
        <v>419</v>
      </c>
      <c r="J38" s="13" t="s">
        <v>420</v>
      </c>
      <c r="K38" s="13" t="s">
        <v>451</v>
      </c>
    </row>
    <row r="39" spans="1:12">
      <c r="A39" s="8"/>
      <c r="B39" s="8"/>
      <c r="C39" s="8"/>
      <c r="D39" s="371" t="s">
        <v>249</v>
      </c>
      <c r="E39" s="35" t="s">
        <v>285</v>
      </c>
      <c r="F39" s="35" t="s">
        <v>525</v>
      </c>
      <c r="G39" s="35" t="s">
        <v>452</v>
      </c>
      <c r="H39" s="35" t="s">
        <v>453</v>
      </c>
      <c r="I39" s="35" t="s">
        <v>454</v>
      </c>
      <c r="J39" s="35" t="s">
        <v>455</v>
      </c>
      <c r="K39" s="35" t="s">
        <v>526</v>
      </c>
    </row>
    <row r="40" spans="1:12">
      <c r="A40" s="8"/>
      <c r="B40" s="8"/>
      <c r="C40" s="8"/>
      <c r="D40" s="8"/>
      <c r="E40" s="8"/>
      <c r="F40" s="8"/>
      <c r="G40" s="8" t="s">
        <v>456</v>
      </c>
      <c r="H40" s="8"/>
      <c r="I40" s="8"/>
      <c r="J40" s="8"/>
      <c r="K40" s="8" t="s">
        <v>456</v>
      </c>
    </row>
    <row r="41" spans="1:12">
      <c r="A41" s="8"/>
      <c r="B41" s="8"/>
      <c r="C41" s="8"/>
      <c r="D41" s="8" t="s">
        <v>422</v>
      </c>
      <c r="E41" s="8" t="s">
        <v>422</v>
      </c>
      <c r="F41" s="8" t="s">
        <v>422</v>
      </c>
      <c r="G41" s="8" t="s">
        <v>457</v>
      </c>
      <c r="H41" s="8"/>
      <c r="I41" s="8"/>
      <c r="J41" s="8"/>
      <c r="K41" s="8" t="s">
        <v>457</v>
      </c>
    </row>
    <row r="42" spans="1:12">
      <c r="A42" s="8"/>
      <c r="B42" s="8"/>
      <c r="C42" s="8"/>
      <c r="D42" s="8" t="s">
        <v>458</v>
      </c>
      <c r="E42" s="8" t="s">
        <v>427</v>
      </c>
      <c r="F42" s="8" t="s">
        <v>459</v>
      </c>
      <c r="G42" s="8" t="s">
        <v>460</v>
      </c>
      <c r="H42" s="8" t="s">
        <v>458</v>
      </c>
      <c r="I42" s="8" t="s">
        <v>458</v>
      </c>
      <c r="J42" s="8" t="s">
        <v>461</v>
      </c>
      <c r="K42" s="8" t="s">
        <v>460</v>
      </c>
    </row>
    <row r="43" spans="1:12">
      <c r="A43" s="8"/>
      <c r="B43" s="13" t="s">
        <v>426</v>
      </c>
      <c r="C43" s="13" t="s">
        <v>462</v>
      </c>
      <c r="D43" s="13" t="s">
        <v>463</v>
      </c>
      <c r="E43" s="13" t="s">
        <v>464</v>
      </c>
      <c r="F43" s="13" t="s">
        <v>465</v>
      </c>
      <c r="G43" s="13" t="s">
        <v>466</v>
      </c>
      <c r="H43" s="13" t="s">
        <v>467</v>
      </c>
      <c r="I43" s="13" t="s">
        <v>468</v>
      </c>
      <c r="J43" s="13" t="s">
        <v>468</v>
      </c>
      <c r="K43" s="13" t="s">
        <v>469</v>
      </c>
    </row>
    <row r="44" spans="1:12">
      <c r="A44" s="8">
        <v>201</v>
      </c>
      <c r="B44" t="s">
        <v>470</v>
      </c>
      <c r="C44" s="35">
        <v>2019</v>
      </c>
      <c r="D44" s="35" t="s">
        <v>471</v>
      </c>
      <c r="E44" s="35" t="s">
        <v>471</v>
      </c>
      <c r="F44" s="35" t="s">
        <v>471</v>
      </c>
      <c r="G44" s="46">
        <v>-12429137.985378623</v>
      </c>
      <c r="H44" s="35" t="s">
        <v>471</v>
      </c>
      <c r="I44" s="35" t="s">
        <v>471</v>
      </c>
      <c r="J44" s="46">
        <v>-235069.05</v>
      </c>
      <c r="K44" s="22">
        <v>-12664207.039999999</v>
      </c>
      <c r="L44" s="8">
        <v>201</v>
      </c>
    </row>
    <row r="45" spans="1:12">
      <c r="A45" s="8">
        <v>202</v>
      </c>
      <c r="B45" t="s">
        <v>472</v>
      </c>
      <c r="C45" s="35">
        <v>2020</v>
      </c>
      <c r="D45" s="22">
        <v>186642552.40116441</v>
      </c>
      <c r="E45" s="22">
        <v>165549599.62</v>
      </c>
      <c r="F45" s="22">
        <v>21092952.781164408</v>
      </c>
      <c r="G45" s="22">
        <v>8663814.7957857847</v>
      </c>
      <c r="H45" s="709">
        <v>4.1333333333333335E-3</v>
      </c>
      <c r="I45" s="22">
        <v>-8753.2900000000009</v>
      </c>
      <c r="J45" s="22">
        <v>-243822.34</v>
      </c>
      <c r="K45" s="22">
        <v>8419992.4600000009</v>
      </c>
      <c r="L45" s="8">
        <v>202</v>
      </c>
    </row>
    <row r="46" spans="1:12">
      <c r="A46" s="8">
        <v>203</v>
      </c>
      <c r="B46" t="s">
        <v>473</v>
      </c>
      <c r="C46" s="35">
        <v>2020</v>
      </c>
      <c r="D46" s="22">
        <v>169039789.16424787</v>
      </c>
      <c r="E46" s="22">
        <v>155143268.62</v>
      </c>
      <c r="F46" s="22">
        <v>13896520.544247866</v>
      </c>
      <c r="G46" s="22">
        <v>22560335.34003365</v>
      </c>
      <c r="H46" s="709">
        <v>4.1333333333333335E-3</v>
      </c>
      <c r="I46" s="22">
        <v>63522.11</v>
      </c>
      <c r="J46" s="22">
        <v>-180300.22999999998</v>
      </c>
      <c r="K46" s="22">
        <v>22380035.109999999</v>
      </c>
      <c r="L46" s="8">
        <v>203</v>
      </c>
    </row>
    <row r="47" spans="1:12">
      <c r="A47" s="8">
        <v>204</v>
      </c>
      <c r="B47" t="s">
        <v>474</v>
      </c>
      <c r="C47" s="35">
        <v>2020</v>
      </c>
      <c r="D47" s="22">
        <v>175857933.22363597</v>
      </c>
      <c r="E47" s="22">
        <v>169705457.62</v>
      </c>
      <c r="F47" s="22">
        <v>6152475.6036359668</v>
      </c>
      <c r="G47" s="22">
        <v>28712810.943669617</v>
      </c>
      <c r="H47" s="709">
        <v>4.1333333333333335E-3</v>
      </c>
      <c r="I47" s="22">
        <v>105219.26</v>
      </c>
      <c r="J47" s="22">
        <v>-75080.969999999987</v>
      </c>
      <c r="K47" s="22">
        <v>28637729.969999999</v>
      </c>
      <c r="L47" s="8">
        <v>204</v>
      </c>
    </row>
    <row r="48" spans="1:12">
      <c r="A48" s="8">
        <v>205</v>
      </c>
      <c r="B48" t="s">
        <v>475</v>
      </c>
      <c r="C48" s="35">
        <v>2020</v>
      </c>
      <c r="D48" s="22">
        <v>162194858.1165534</v>
      </c>
      <c r="E48" s="22">
        <v>167849819.62</v>
      </c>
      <c r="F48" s="22">
        <v>-5654961.5034466088</v>
      </c>
      <c r="G48" s="22">
        <v>23057849.440223008</v>
      </c>
      <c r="H48" s="709">
        <v>3.9583333333333337E-3</v>
      </c>
      <c r="I48" s="22">
        <v>102165.57</v>
      </c>
      <c r="J48" s="22">
        <v>27084.60000000002</v>
      </c>
      <c r="K48" s="22">
        <v>23084934.039999999</v>
      </c>
      <c r="L48" s="8">
        <v>205</v>
      </c>
    </row>
    <row r="49" spans="1:12">
      <c r="A49" s="8">
        <v>206</v>
      </c>
      <c r="B49" t="s">
        <v>437</v>
      </c>
      <c r="C49" s="35">
        <v>2020</v>
      </c>
      <c r="D49" s="22">
        <v>186685088.21335191</v>
      </c>
      <c r="E49" s="22">
        <v>159359744.62</v>
      </c>
      <c r="F49" s="22">
        <v>27325343.593351901</v>
      </c>
      <c r="G49" s="22">
        <v>50383193.033574909</v>
      </c>
      <c r="H49" s="709">
        <v>3.9583333333333337E-3</v>
      </c>
      <c r="I49" s="22">
        <v>145459.26999999999</v>
      </c>
      <c r="J49" s="22">
        <v>172543.87</v>
      </c>
      <c r="K49" s="22">
        <v>50555736.899999999</v>
      </c>
      <c r="L49" s="8">
        <v>206</v>
      </c>
    </row>
    <row r="50" spans="1:12">
      <c r="A50" s="8">
        <v>207</v>
      </c>
      <c r="B50" t="s">
        <v>476</v>
      </c>
      <c r="C50" s="35">
        <v>2020</v>
      </c>
      <c r="D50" s="22">
        <v>207679196.55177927</v>
      </c>
      <c r="E50" s="22">
        <v>197897671.62</v>
      </c>
      <c r="F50" s="22">
        <v>9781524.9317792654</v>
      </c>
      <c r="G50" s="22">
        <v>60164717.965354174</v>
      </c>
      <c r="H50" s="709">
        <v>3.9583333333333337E-3</v>
      </c>
      <c r="I50" s="22">
        <v>219475.73</v>
      </c>
      <c r="J50" s="22">
        <v>392019.6</v>
      </c>
      <c r="K50" s="22">
        <v>60556737.57</v>
      </c>
      <c r="L50" s="8">
        <v>207</v>
      </c>
    </row>
    <row r="51" spans="1:12">
      <c r="A51" s="8">
        <v>208</v>
      </c>
      <c r="B51" t="s">
        <v>477</v>
      </c>
      <c r="C51" s="35">
        <v>2020</v>
      </c>
      <c r="D51" s="22">
        <v>228392285.70762393</v>
      </c>
      <c r="E51" s="22">
        <v>221834538.62</v>
      </c>
      <c r="F51" s="22">
        <v>6557747.087623924</v>
      </c>
      <c r="G51" s="22">
        <v>66722465.052978098</v>
      </c>
      <c r="H51" s="709">
        <v>2.858333333333333E-3</v>
      </c>
      <c r="I51" s="22">
        <v>182463.46</v>
      </c>
      <c r="J51" s="22">
        <v>574483.05999999994</v>
      </c>
      <c r="K51" s="22">
        <v>67296948.109999999</v>
      </c>
      <c r="L51" s="8">
        <v>208</v>
      </c>
    </row>
    <row r="52" spans="1:12">
      <c r="A52" s="8">
        <v>209</v>
      </c>
      <c r="B52" t="s">
        <v>478</v>
      </c>
      <c r="C52" s="35">
        <v>2020</v>
      </c>
      <c r="D52" s="22">
        <v>244978601.86594409</v>
      </c>
      <c r="E52" s="22">
        <v>211766208.62</v>
      </c>
      <c r="F52" s="22">
        <v>33212393.245944083</v>
      </c>
      <c r="G52" s="22">
        <v>99934858.298922181</v>
      </c>
      <c r="H52" s="709">
        <v>2.858333333333333E-3</v>
      </c>
      <c r="I52" s="22">
        <v>239823.16</v>
      </c>
      <c r="J52" s="22">
        <v>814306.22</v>
      </c>
      <c r="K52" s="22">
        <v>100749164.52</v>
      </c>
      <c r="L52" s="8">
        <v>209</v>
      </c>
    </row>
    <row r="53" spans="1:12">
      <c r="A53" s="8">
        <v>210</v>
      </c>
      <c r="B53" t="s">
        <v>480</v>
      </c>
      <c r="C53" s="35">
        <v>2020</v>
      </c>
      <c r="D53" s="22">
        <v>214129745.27181634</v>
      </c>
      <c r="E53" s="22">
        <v>218039873.62</v>
      </c>
      <c r="F53" s="22">
        <v>-3910128.3481836617</v>
      </c>
      <c r="G53" s="22">
        <v>96024729.950738519</v>
      </c>
      <c r="H53" s="709">
        <v>2.858333333333333E-3</v>
      </c>
      <c r="I53" s="22">
        <v>282386.46999999997</v>
      </c>
      <c r="J53" s="22">
        <v>1096692.69</v>
      </c>
      <c r="K53" s="22">
        <v>97121422.640000001</v>
      </c>
      <c r="L53" s="8">
        <v>210</v>
      </c>
    </row>
    <row r="54" spans="1:12">
      <c r="A54" s="8">
        <v>211</v>
      </c>
      <c r="B54" t="s">
        <v>481</v>
      </c>
      <c r="C54" s="35">
        <v>2020</v>
      </c>
      <c r="D54" s="22">
        <v>198510258.32299003</v>
      </c>
      <c r="E54" s="22">
        <v>194721404.62</v>
      </c>
      <c r="F54" s="22">
        <v>3788853.7029900253</v>
      </c>
      <c r="G54" s="22">
        <v>99813583.653728545</v>
      </c>
      <c r="H54" s="709">
        <v>2.7083333333333334E-3</v>
      </c>
      <c r="I54" s="22">
        <v>268167.93</v>
      </c>
      <c r="J54" s="22">
        <v>1364860.6199999999</v>
      </c>
      <c r="K54" s="22">
        <v>101178444.27</v>
      </c>
      <c r="L54" s="8">
        <v>211</v>
      </c>
    </row>
    <row r="55" spans="1:12">
      <c r="A55" s="8">
        <v>212</v>
      </c>
      <c r="B55" t="s">
        <v>482</v>
      </c>
      <c r="C55" s="35">
        <v>2020</v>
      </c>
      <c r="D55" s="22">
        <v>177256216.63708654</v>
      </c>
      <c r="E55" s="22">
        <v>155262455.62</v>
      </c>
      <c r="F55" s="22">
        <v>21993761.017086536</v>
      </c>
      <c r="G55" s="22">
        <v>121807344.67081508</v>
      </c>
      <c r="H55" s="709">
        <v>2.7083333333333334E-3</v>
      </c>
      <c r="I55" s="22">
        <v>303808.17</v>
      </c>
      <c r="J55" s="22">
        <v>1668668.7899999998</v>
      </c>
      <c r="K55" s="22">
        <v>123476013.45999999</v>
      </c>
      <c r="L55" s="8">
        <v>212</v>
      </c>
    </row>
    <row r="56" spans="1:12">
      <c r="A56" s="8">
        <v>213</v>
      </c>
      <c r="B56" t="s">
        <v>470</v>
      </c>
      <c r="C56" s="35">
        <v>2020</v>
      </c>
      <c r="D56" s="22">
        <v>190739367.83561027</v>
      </c>
      <c r="E56" s="22">
        <v>184886690.62</v>
      </c>
      <c r="F56" s="22">
        <v>5852677.2156102657</v>
      </c>
      <c r="G56" s="22">
        <v>127660021.88642535</v>
      </c>
      <c r="H56" s="709">
        <v>2.7083333333333334E-3</v>
      </c>
      <c r="I56" s="22">
        <v>342339.7</v>
      </c>
      <c r="J56" s="22">
        <v>2011008.4899999998</v>
      </c>
      <c r="K56" s="22">
        <v>129671030.38</v>
      </c>
      <c r="L56" s="8">
        <v>213</v>
      </c>
    </row>
    <row r="57" spans="1:12">
      <c r="A57" s="8">
        <v>214</v>
      </c>
      <c r="B57" t="s">
        <v>472</v>
      </c>
      <c r="C57" s="35">
        <v>2021</v>
      </c>
      <c r="D57" s="35" t="s">
        <v>471</v>
      </c>
      <c r="E57" s="35" t="s">
        <v>471</v>
      </c>
      <c r="F57" s="20">
        <v>0</v>
      </c>
      <c r="G57" s="22">
        <v>127660021.88642535</v>
      </c>
      <c r="H57" s="709">
        <v>2.7083333333333334E-3</v>
      </c>
      <c r="I57" s="22">
        <v>351192.37</v>
      </c>
      <c r="J57" s="22">
        <v>2362200.86</v>
      </c>
      <c r="K57" s="22">
        <v>130022222.75</v>
      </c>
      <c r="L57" s="8">
        <v>214</v>
      </c>
    </row>
    <row r="58" spans="1:12">
      <c r="A58" s="8">
        <v>215</v>
      </c>
      <c r="B58" t="s">
        <v>473</v>
      </c>
      <c r="C58" s="35">
        <v>2021</v>
      </c>
      <c r="D58" s="35" t="s">
        <v>471</v>
      </c>
      <c r="E58" s="35" t="s">
        <v>471</v>
      </c>
      <c r="F58" s="20">
        <v>0</v>
      </c>
      <c r="G58" s="22">
        <v>127660021.88642535</v>
      </c>
      <c r="H58" s="709">
        <v>2.7083333333333334E-3</v>
      </c>
      <c r="I58" s="22">
        <v>352143.52</v>
      </c>
      <c r="J58" s="22">
        <v>2714344.38</v>
      </c>
      <c r="K58" s="22">
        <v>130374366.27</v>
      </c>
      <c r="L58" s="8">
        <v>215</v>
      </c>
    </row>
    <row r="59" spans="1:12">
      <c r="A59" s="8">
        <v>216</v>
      </c>
      <c r="B59" t="s">
        <v>474</v>
      </c>
      <c r="C59" s="35">
        <v>2021</v>
      </c>
      <c r="D59" s="35" t="s">
        <v>471</v>
      </c>
      <c r="E59" s="35" t="s">
        <v>471</v>
      </c>
      <c r="F59" s="20">
        <v>0</v>
      </c>
      <c r="G59" s="22">
        <v>127660021.88642535</v>
      </c>
      <c r="H59" s="709">
        <v>2.7083333333333334E-3</v>
      </c>
      <c r="I59" s="22">
        <v>353097.24</v>
      </c>
      <c r="J59" s="22">
        <v>3067441.62</v>
      </c>
      <c r="K59" s="22">
        <v>130727463.51000001</v>
      </c>
      <c r="L59" s="8">
        <v>216</v>
      </c>
    </row>
    <row r="60" spans="1:12">
      <c r="A60" s="8">
        <v>217</v>
      </c>
      <c r="B60" t="s">
        <v>475</v>
      </c>
      <c r="C60" s="35">
        <v>2021</v>
      </c>
      <c r="D60" s="35" t="s">
        <v>471</v>
      </c>
      <c r="E60" s="35" t="s">
        <v>471</v>
      </c>
      <c r="F60" s="20">
        <v>0</v>
      </c>
      <c r="G60" s="22">
        <v>127660021.88642535</v>
      </c>
      <c r="H60" s="709">
        <v>2.7083333333333334E-3</v>
      </c>
      <c r="I60" s="22">
        <v>354053.55</v>
      </c>
      <c r="J60" s="22">
        <v>3421495.17</v>
      </c>
      <c r="K60" s="22">
        <v>131081517.06</v>
      </c>
      <c r="L60" s="8">
        <v>217</v>
      </c>
    </row>
    <row r="61" spans="1:12">
      <c r="A61" s="8">
        <v>218</v>
      </c>
      <c r="B61" t="s">
        <v>437</v>
      </c>
      <c r="C61" s="35">
        <v>2021</v>
      </c>
      <c r="D61" s="35" t="s">
        <v>471</v>
      </c>
      <c r="E61" s="35" t="s">
        <v>471</v>
      </c>
      <c r="F61" s="20">
        <v>0</v>
      </c>
      <c r="G61" s="22">
        <v>127660021.88642535</v>
      </c>
      <c r="H61" s="709">
        <v>2.7083333333333334E-3</v>
      </c>
      <c r="I61" s="22">
        <v>355012.44</v>
      </c>
      <c r="J61" s="22">
        <v>3776507.61</v>
      </c>
      <c r="K61" s="22">
        <v>131436529.5</v>
      </c>
      <c r="L61" s="8">
        <v>218</v>
      </c>
    </row>
    <row r="62" spans="1:12">
      <c r="A62" s="8">
        <v>219</v>
      </c>
      <c r="B62" t="s">
        <v>476</v>
      </c>
      <c r="C62" s="35">
        <v>2021</v>
      </c>
      <c r="D62" s="35" t="s">
        <v>471</v>
      </c>
      <c r="E62" s="35" t="s">
        <v>471</v>
      </c>
      <c r="F62" s="20">
        <v>0</v>
      </c>
      <c r="G62" s="22">
        <v>127660021.88642535</v>
      </c>
      <c r="H62" s="709">
        <v>2.7083333333333334E-3</v>
      </c>
      <c r="I62" s="22">
        <v>355973.93</v>
      </c>
      <c r="J62" s="22">
        <v>4132481.54</v>
      </c>
      <c r="K62" s="22">
        <v>131792503.43000001</v>
      </c>
      <c r="L62" s="8">
        <v>219</v>
      </c>
    </row>
    <row r="63" spans="1:12">
      <c r="A63" s="8">
        <v>220</v>
      </c>
      <c r="B63" t="s">
        <v>477</v>
      </c>
      <c r="C63" s="35">
        <v>2021</v>
      </c>
      <c r="D63" s="35" t="s">
        <v>471</v>
      </c>
      <c r="E63" s="35" t="s">
        <v>471</v>
      </c>
      <c r="F63" s="20">
        <v>0</v>
      </c>
      <c r="G63" s="22">
        <v>127660021.88642535</v>
      </c>
      <c r="H63" s="709">
        <v>2.7083333333333334E-3</v>
      </c>
      <c r="I63" s="22">
        <v>356938.03</v>
      </c>
      <c r="J63" s="22">
        <v>4489419.57</v>
      </c>
      <c r="K63" s="22">
        <v>132149441.45999999</v>
      </c>
      <c r="L63" s="8">
        <v>220</v>
      </c>
    </row>
    <row r="64" spans="1:12">
      <c r="A64" s="8">
        <v>221</v>
      </c>
      <c r="B64" t="s">
        <v>478</v>
      </c>
      <c r="C64" s="35">
        <v>2021</v>
      </c>
      <c r="D64" s="35" t="s">
        <v>471</v>
      </c>
      <c r="E64" s="35" t="s">
        <v>471</v>
      </c>
      <c r="F64" s="20">
        <v>0</v>
      </c>
      <c r="G64" s="22">
        <v>127660021.88642535</v>
      </c>
      <c r="H64" s="709">
        <v>2.7083333333333334E-3</v>
      </c>
      <c r="I64" s="22">
        <v>357904.74</v>
      </c>
      <c r="J64" s="22">
        <v>4847324.3100000005</v>
      </c>
      <c r="K64" s="22">
        <v>132507346.2</v>
      </c>
      <c r="L64" s="8">
        <v>221</v>
      </c>
    </row>
    <row r="65" spans="1:12">
      <c r="A65" s="8">
        <v>222</v>
      </c>
      <c r="B65" t="s">
        <v>480</v>
      </c>
      <c r="C65" s="35">
        <v>2021</v>
      </c>
      <c r="D65" s="35" t="s">
        <v>471</v>
      </c>
      <c r="E65" s="35" t="s">
        <v>471</v>
      </c>
      <c r="F65" s="20">
        <v>0</v>
      </c>
      <c r="G65" s="22">
        <v>127660021.88642535</v>
      </c>
      <c r="H65" s="709">
        <v>2.7083333333333334E-3</v>
      </c>
      <c r="I65" s="22">
        <v>358874.06</v>
      </c>
      <c r="J65" s="22">
        <v>5206198.37</v>
      </c>
      <c r="K65" s="22">
        <v>132866220.26000001</v>
      </c>
      <c r="L65" s="8">
        <v>222</v>
      </c>
    </row>
    <row r="66" spans="1:12">
      <c r="A66" s="8">
        <v>223</v>
      </c>
      <c r="B66" t="s">
        <v>481</v>
      </c>
      <c r="C66" s="35">
        <v>2021</v>
      </c>
      <c r="D66" s="35" t="s">
        <v>471</v>
      </c>
      <c r="E66" s="35" t="s">
        <v>471</v>
      </c>
      <c r="F66" s="20">
        <v>0</v>
      </c>
      <c r="G66" s="22">
        <v>127660021.88642535</v>
      </c>
      <c r="H66" s="709">
        <v>2.7083333333333334E-3</v>
      </c>
      <c r="I66" s="22">
        <v>359846.01</v>
      </c>
      <c r="J66" s="22">
        <v>5566044.3799999999</v>
      </c>
      <c r="K66" s="22">
        <v>133226066.27</v>
      </c>
      <c r="L66" s="8">
        <v>223</v>
      </c>
    </row>
    <row r="67" spans="1:12">
      <c r="A67" s="8">
        <v>224</v>
      </c>
      <c r="B67" t="s">
        <v>482</v>
      </c>
      <c r="C67" s="35">
        <v>2021</v>
      </c>
      <c r="D67" s="35" t="s">
        <v>471</v>
      </c>
      <c r="E67" s="35" t="s">
        <v>471</v>
      </c>
      <c r="F67" s="20">
        <v>0</v>
      </c>
      <c r="G67" s="22">
        <v>127660021.88642535</v>
      </c>
      <c r="H67" s="709">
        <v>2.7083333333333334E-3</v>
      </c>
      <c r="I67" s="22">
        <v>360820.6</v>
      </c>
      <c r="J67" s="22">
        <v>5926864.9799999995</v>
      </c>
      <c r="K67" s="22">
        <v>133586886.87</v>
      </c>
      <c r="L67" s="8">
        <v>224</v>
      </c>
    </row>
    <row r="68" spans="1:12">
      <c r="A68" s="8">
        <v>225</v>
      </c>
      <c r="B68" t="s">
        <v>470</v>
      </c>
      <c r="C68" s="35">
        <v>2021</v>
      </c>
      <c r="D68" s="35" t="s">
        <v>471</v>
      </c>
      <c r="E68" s="35" t="s">
        <v>471</v>
      </c>
      <c r="F68" s="20">
        <v>0</v>
      </c>
      <c r="G68" s="22">
        <v>127660021.88642535</v>
      </c>
      <c r="H68" s="709">
        <v>2.7083333333333334E-3</v>
      </c>
      <c r="I68" s="22">
        <v>361797.82</v>
      </c>
      <c r="J68" s="22">
        <v>6288662.7999999998</v>
      </c>
      <c r="K68" s="22">
        <v>133948684.69</v>
      </c>
      <c r="L68" s="8">
        <v>225</v>
      </c>
    </row>
    <row r="69" spans="1:12">
      <c r="A69" s="8"/>
      <c r="D69" s="37"/>
      <c r="E69" s="20"/>
      <c r="G69" s="20"/>
      <c r="I69" s="20"/>
      <c r="J69" s="20"/>
      <c r="K69" s="20"/>
    </row>
    <row r="70" spans="1:12">
      <c r="A70" s="8"/>
      <c r="B70" s="52" t="s">
        <v>484</v>
      </c>
      <c r="C70" s="219"/>
      <c r="D70" s="219"/>
      <c r="E70" s="219"/>
      <c r="F70" s="219"/>
      <c r="G70" s="219"/>
      <c r="H70" s="219"/>
      <c r="I70" s="219"/>
      <c r="J70" s="219"/>
      <c r="K70" s="219"/>
    </row>
    <row r="71" spans="1:12">
      <c r="A71" s="8"/>
      <c r="B71" s="11" t="s">
        <v>485</v>
      </c>
    </row>
    <row r="72" spans="1:12">
      <c r="A72" s="8"/>
      <c r="B72" s="800" t="s">
        <v>527</v>
      </c>
      <c r="C72" s="800"/>
      <c r="D72" s="800"/>
      <c r="E72" s="800"/>
      <c r="F72" s="800"/>
      <c r="G72" s="800"/>
      <c r="H72" s="800"/>
      <c r="I72" s="800"/>
      <c r="J72" s="800"/>
      <c r="K72" s="800"/>
    </row>
    <row r="73" spans="1:12">
      <c r="A73" s="8"/>
      <c r="B73" s="800"/>
      <c r="C73" s="800"/>
      <c r="D73" s="800"/>
      <c r="E73" s="800"/>
      <c r="F73" s="800"/>
      <c r="G73" s="800"/>
      <c r="H73" s="800"/>
      <c r="I73" s="800"/>
      <c r="J73" s="800"/>
      <c r="K73" s="800"/>
    </row>
    <row r="74" spans="1:12">
      <c r="C74" s="13" t="s">
        <v>413</v>
      </c>
      <c r="D74" s="13" t="s">
        <v>414</v>
      </c>
      <c r="E74" s="13" t="s">
        <v>415</v>
      </c>
      <c r="F74" s="13" t="s">
        <v>416</v>
      </c>
      <c r="G74" s="13" t="s">
        <v>417</v>
      </c>
      <c r="H74" s="13" t="s">
        <v>418</v>
      </c>
      <c r="I74" s="13" t="s">
        <v>419</v>
      </c>
    </row>
    <row r="75" spans="1:12">
      <c r="C75" s="35"/>
      <c r="D75" s="35" t="s">
        <v>486</v>
      </c>
      <c r="E75" s="35"/>
      <c r="F75" s="35" t="s">
        <v>528</v>
      </c>
      <c r="G75" s="35" t="s">
        <v>487</v>
      </c>
      <c r="H75" s="35" t="s">
        <v>488</v>
      </c>
      <c r="I75" s="35" t="s">
        <v>529</v>
      </c>
    </row>
    <row r="76" spans="1:12">
      <c r="B76" s="8"/>
      <c r="C76" s="8"/>
      <c r="D76" s="8" t="s">
        <v>426</v>
      </c>
      <c r="E76" s="59"/>
      <c r="F76" s="8" t="s">
        <v>426</v>
      </c>
      <c r="G76" s="8"/>
      <c r="H76" s="8"/>
      <c r="I76" s="8"/>
    </row>
    <row r="77" spans="1:12">
      <c r="B77" s="8"/>
      <c r="C77" s="8"/>
      <c r="D77" s="8" t="s">
        <v>489</v>
      </c>
      <c r="E77" s="59"/>
      <c r="F77" s="8" t="s">
        <v>490</v>
      </c>
      <c r="G77" s="8" t="s">
        <v>491</v>
      </c>
      <c r="H77" s="8" t="s">
        <v>458</v>
      </c>
      <c r="I77" s="8" t="s">
        <v>426</v>
      </c>
    </row>
    <row r="78" spans="1:12">
      <c r="A78" s="13" t="s">
        <v>99</v>
      </c>
      <c r="B78" s="13" t="s">
        <v>426</v>
      </c>
      <c r="C78" s="13" t="s">
        <v>462</v>
      </c>
      <c r="D78" s="13" t="s">
        <v>492</v>
      </c>
      <c r="E78" s="13" t="s">
        <v>493</v>
      </c>
      <c r="F78" s="13" t="s">
        <v>466</v>
      </c>
      <c r="G78" s="13" t="s">
        <v>494</v>
      </c>
      <c r="H78" s="13" t="s">
        <v>467</v>
      </c>
      <c r="I78" s="13" t="s">
        <v>490</v>
      </c>
      <c r="L78" s="13" t="s">
        <v>99</v>
      </c>
    </row>
    <row r="79" spans="1:12">
      <c r="A79" s="8">
        <v>300</v>
      </c>
      <c r="B79" t="s">
        <v>472</v>
      </c>
      <c r="C79" s="35">
        <v>2022</v>
      </c>
      <c r="D79" s="22">
        <v>133948684.69</v>
      </c>
      <c r="E79" s="22">
        <v>-11344507</v>
      </c>
      <c r="F79" s="22">
        <v>122604177.69</v>
      </c>
      <c r="G79" s="22">
        <v>347415.33</v>
      </c>
      <c r="H79" s="60">
        <v>2.7083333333333334E-3</v>
      </c>
      <c r="I79" s="22">
        <v>122951593.02</v>
      </c>
      <c r="L79" s="8">
        <v>300</v>
      </c>
    </row>
    <row r="80" spans="1:12">
      <c r="A80" s="8">
        <v>301</v>
      </c>
      <c r="B80" t="s">
        <v>473</v>
      </c>
      <c r="C80" s="35">
        <v>2022</v>
      </c>
      <c r="D80" s="22">
        <v>122951593.02</v>
      </c>
      <c r="E80" s="22">
        <v>-11344507</v>
      </c>
      <c r="F80" s="22">
        <v>111607086.02</v>
      </c>
      <c r="G80" s="22">
        <v>317631.53999999998</v>
      </c>
      <c r="H80" s="60">
        <v>2.7083333333333334E-3</v>
      </c>
      <c r="I80" s="22">
        <v>111924717.56</v>
      </c>
      <c r="L80" s="8">
        <v>301</v>
      </c>
    </row>
    <row r="81" spans="1:12">
      <c r="A81" s="8">
        <v>302</v>
      </c>
      <c r="B81" t="s">
        <v>474</v>
      </c>
      <c r="C81" s="35">
        <v>2022</v>
      </c>
      <c r="D81" s="22">
        <v>111924717.56</v>
      </c>
      <c r="E81" s="22">
        <v>-11344507</v>
      </c>
      <c r="F81" s="22">
        <v>100580210.56</v>
      </c>
      <c r="G81" s="22">
        <v>287767.09000000003</v>
      </c>
      <c r="H81" s="60">
        <v>2.7083333333333334E-3</v>
      </c>
      <c r="I81" s="22">
        <v>100867977.65000001</v>
      </c>
      <c r="L81" s="8">
        <v>302</v>
      </c>
    </row>
    <row r="82" spans="1:12">
      <c r="A82" s="8">
        <v>303</v>
      </c>
      <c r="B82" t="s">
        <v>475</v>
      </c>
      <c r="C82" s="35">
        <v>2022</v>
      </c>
      <c r="D82" s="22">
        <v>100867977.65000001</v>
      </c>
      <c r="E82" s="22">
        <v>-11344507</v>
      </c>
      <c r="F82" s="22">
        <v>89523470.650000006</v>
      </c>
      <c r="G82" s="22">
        <v>257821.75</v>
      </c>
      <c r="H82" s="60">
        <v>2.7083333333333334E-3</v>
      </c>
      <c r="I82" s="22">
        <v>89781292.400000006</v>
      </c>
      <c r="L82" s="8">
        <v>303</v>
      </c>
    </row>
    <row r="83" spans="1:12">
      <c r="A83" s="8">
        <v>304</v>
      </c>
      <c r="B83" t="s">
        <v>437</v>
      </c>
      <c r="C83" s="35">
        <v>2022</v>
      </c>
      <c r="D83" s="22">
        <v>89781292.400000006</v>
      </c>
      <c r="E83" s="22">
        <v>-11344507</v>
      </c>
      <c r="F83" s="22">
        <v>78436785.400000006</v>
      </c>
      <c r="G83" s="22">
        <v>227795.31</v>
      </c>
      <c r="H83" s="60">
        <v>2.7083333333333334E-3</v>
      </c>
      <c r="I83" s="22">
        <v>78664580.709999993</v>
      </c>
      <c r="L83" s="8">
        <v>304</v>
      </c>
    </row>
    <row r="84" spans="1:12">
      <c r="A84" s="8">
        <v>305</v>
      </c>
      <c r="B84" t="s">
        <v>476</v>
      </c>
      <c r="C84" s="35">
        <v>2022</v>
      </c>
      <c r="D84" s="22">
        <v>78664580.709999993</v>
      </c>
      <c r="E84" s="22">
        <v>-11344507</v>
      </c>
      <c r="F84" s="22">
        <v>67320073.709999993</v>
      </c>
      <c r="G84" s="22">
        <v>197687.55</v>
      </c>
      <c r="H84" s="60">
        <v>2.7083333333333334E-3</v>
      </c>
      <c r="I84" s="22">
        <v>67517761.260000005</v>
      </c>
      <c r="L84" s="8">
        <v>305</v>
      </c>
    </row>
    <row r="85" spans="1:12">
      <c r="A85" s="8">
        <v>306</v>
      </c>
      <c r="B85" t="s">
        <v>477</v>
      </c>
      <c r="C85" s="35">
        <v>2022</v>
      </c>
      <c r="D85" s="22">
        <v>67517761.260000005</v>
      </c>
      <c r="E85" s="22">
        <v>-11344507</v>
      </c>
      <c r="F85" s="22">
        <v>56173254.260000005</v>
      </c>
      <c r="G85" s="22">
        <v>167498.25</v>
      </c>
      <c r="H85" s="60">
        <v>2.7083333333333334E-3</v>
      </c>
      <c r="I85" s="22">
        <v>56340752.509999998</v>
      </c>
      <c r="L85" s="8">
        <v>306</v>
      </c>
    </row>
    <row r="86" spans="1:12">
      <c r="A86" s="8">
        <v>307</v>
      </c>
      <c r="B86" t="s">
        <v>478</v>
      </c>
      <c r="C86" s="35">
        <v>2022</v>
      </c>
      <c r="D86" s="22">
        <v>56340752.509999998</v>
      </c>
      <c r="E86" s="22">
        <v>-11344507</v>
      </c>
      <c r="F86" s="22">
        <v>44996245.509999998</v>
      </c>
      <c r="G86" s="22">
        <v>137227.18</v>
      </c>
      <c r="H86" s="60">
        <v>2.7083333333333334E-3</v>
      </c>
      <c r="I86" s="22">
        <v>45133472.689999998</v>
      </c>
      <c r="L86" s="8">
        <v>307</v>
      </c>
    </row>
    <row r="87" spans="1:12">
      <c r="A87" s="8">
        <v>308</v>
      </c>
      <c r="B87" t="s">
        <v>480</v>
      </c>
      <c r="C87" s="35">
        <v>2022</v>
      </c>
      <c r="D87" s="22">
        <v>45133472.689999998</v>
      </c>
      <c r="E87" s="22">
        <v>-11344507</v>
      </c>
      <c r="F87" s="22">
        <v>33788965.689999998</v>
      </c>
      <c r="G87" s="22">
        <v>106874.14</v>
      </c>
      <c r="H87" s="60">
        <v>2.7083333333333334E-3</v>
      </c>
      <c r="I87" s="22">
        <v>33895839.829999998</v>
      </c>
      <c r="L87" s="8">
        <v>308</v>
      </c>
    </row>
    <row r="88" spans="1:12">
      <c r="A88" s="8">
        <v>309</v>
      </c>
      <c r="B88" t="s">
        <v>481</v>
      </c>
      <c r="C88" s="35">
        <v>2022</v>
      </c>
      <c r="D88" s="22">
        <v>33895839.829999998</v>
      </c>
      <c r="E88" s="22">
        <v>-11344507</v>
      </c>
      <c r="F88" s="22">
        <v>22551332.829999998</v>
      </c>
      <c r="G88" s="22">
        <v>76438.880000000005</v>
      </c>
      <c r="H88" s="60">
        <v>2.7083333333333334E-3</v>
      </c>
      <c r="I88" s="22">
        <v>22627771.710000001</v>
      </c>
      <c r="L88" s="8">
        <v>309</v>
      </c>
    </row>
    <row r="89" spans="1:12">
      <c r="A89" s="8">
        <v>310</v>
      </c>
      <c r="B89" t="s">
        <v>482</v>
      </c>
      <c r="C89" s="35">
        <v>2022</v>
      </c>
      <c r="D89" s="22">
        <v>22627771.710000001</v>
      </c>
      <c r="E89" s="22">
        <v>-11344507</v>
      </c>
      <c r="F89" s="22">
        <v>11283264.710000001</v>
      </c>
      <c r="G89" s="22">
        <v>45921.2</v>
      </c>
      <c r="H89" s="60">
        <v>2.7083333333333334E-3</v>
      </c>
      <c r="I89" s="22">
        <v>11329185.91</v>
      </c>
      <c r="L89" s="8">
        <v>310</v>
      </c>
    </row>
    <row r="90" spans="1:12">
      <c r="A90" s="8">
        <v>311</v>
      </c>
      <c r="B90" t="s">
        <v>470</v>
      </c>
      <c r="C90" s="35">
        <v>2022</v>
      </c>
      <c r="D90" s="22">
        <v>11329185.91</v>
      </c>
      <c r="E90" s="22">
        <v>-11344507</v>
      </c>
      <c r="F90" s="22">
        <v>-15321.089999999851</v>
      </c>
      <c r="G90" s="22">
        <v>15320.86</v>
      </c>
      <c r="H90" s="60">
        <v>2.7083333333333334E-3</v>
      </c>
      <c r="I90" s="22">
        <v>-0.23</v>
      </c>
      <c r="L90" s="8">
        <v>311</v>
      </c>
    </row>
    <row r="91" spans="1:12">
      <c r="A91" s="8">
        <v>312</v>
      </c>
      <c r="D91" s="15" t="s">
        <v>495</v>
      </c>
      <c r="E91" s="714">
        <v>-136134084</v>
      </c>
      <c r="G91" s="33"/>
      <c r="H91" s="61"/>
      <c r="L91" s="8">
        <v>312</v>
      </c>
    </row>
    <row r="93" spans="1:12">
      <c r="B93" s="52" t="s">
        <v>496</v>
      </c>
      <c r="C93" s="219"/>
      <c r="D93" s="219"/>
      <c r="E93" s="219"/>
      <c r="F93" s="219"/>
      <c r="G93" s="219"/>
      <c r="H93" s="219"/>
      <c r="I93" s="219"/>
      <c r="J93" s="219"/>
      <c r="K93" s="219"/>
    </row>
    <row r="94" spans="1:12">
      <c r="A94" s="13" t="s">
        <v>99</v>
      </c>
      <c r="B94" s="13" t="s">
        <v>497</v>
      </c>
      <c r="C94" s="13" t="s">
        <v>134</v>
      </c>
      <c r="L94" s="13" t="s">
        <v>99</v>
      </c>
    </row>
    <row r="95" spans="1:12">
      <c r="A95" s="8">
        <v>400</v>
      </c>
      <c r="B95" s="22">
        <v>136134084</v>
      </c>
      <c r="C95" t="s">
        <v>530</v>
      </c>
      <c r="L95" s="8">
        <v>400</v>
      </c>
    </row>
    <row r="97" spans="1:12">
      <c r="A97" s="8"/>
      <c r="B97" s="52" t="s">
        <v>498</v>
      </c>
      <c r="C97" s="219"/>
      <c r="D97" s="53"/>
      <c r="E97" s="54"/>
      <c r="F97" s="219"/>
      <c r="G97" s="54"/>
      <c r="H97" s="219"/>
      <c r="I97" s="54"/>
      <c r="J97" s="54"/>
      <c r="K97" s="54"/>
    </row>
    <row r="98" spans="1:12">
      <c r="A98" s="8"/>
      <c r="B98" s="11" t="s">
        <v>485</v>
      </c>
      <c r="D98" s="37"/>
      <c r="E98" s="20"/>
      <c r="G98" s="20"/>
      <c r="I98" s="20"/>
      <c r="J98" s="20"/>
      <c r="K98" s="20"/>
    </row>
    <row r="99" spans="1:12">
      <c r="A99" s="8"/>
      <c r="B99" s="801" t="s">
        <v>531</v>
      </c>
      <c r="C99" s="801"/>
      <c r="D99" s="801"/>
      <c r="E99" s="801"/>
      <c r="F99" s="801"/>
      <c r="G99" s="801"/>
      <c r="H99" s="801"/>
      <c r="I99" s="801"/>
      <c r="J99" s="801"/>
      <c r="K99" s="801"/>
    </row>
    <row r="100" spans="1:12">
      <c r="A100" s="8"/>
      <c r="B100" s="801" t="s">
        <v>532</v>
      </c>
      <c r="C100" s="801"/>
      <c r="D100" s="801"/>
      <c r="E100" s="801"/>
      <c r="F100" s="801"/>
      <c r="G100" s="801"/>
      <c r="H100" s="801"/>
      <c r="I100" s="801"/>
      <c r="J100" s="801"/>
      <c r="K100" s="801"/>
    </row>
    <row r="101" spans="1:12">
      <c r="A101" s="13" t="s">
        <v>99</v>
      </c>
      <c r="D101" s="37"/>
      <c r="E101" s="20"/>
      <c r="G101" s="20"/>
      <c r="I101" s="20"/>
      <c r="J101" s="20"/>
      <c r="K101" s="20"/>
      <c r="L101" s="13" t="s">
        <v>99</v>
      </c>
    </row>
    <row r="102" spans="1:12">
      <c r="A102" s="8">
        <v>500</v>
      </c>
      <c r="B102" s="14" t="s">
        <v>499</v>
      </c>
      <c r="D102" s="50" t="s">
        <v>500</v>
      </c>
      <c r="L102" s="8">
        <v>500</v>
      </c>
    </row>
    <row r="103" spans="1:12">
      <c r="A103" s="8"/>
      <c r="D103" s="37"/>
      <c r="E103" s="20"/>
      <c r="G103" s="20"/>
      <c r="I103" s="20"/>
      <c r="J103" s="20"/>
      <c r="K103" s="20"/>
    </row>
    <row r="104" spans="1:12">
      <c r="A104" s="8"/>
      <c r="C104" s="8" t="s">
        <v>413</v>
      </c>
      <c r="D104" s="8" t="s">
        <v>414</v>
      </c>
      <c r="E104" s="8" t="s">
        <v>415</v>
      </c>
      <c r="F104" s="8" t="s">
        <v>416</v>
      </c>
      <c r="I104" s="20"/>
      <c r="J104" s="20"/>
      <c r="K104" s="20"/>
    </row>
    <row r="105" spans="1:12">
      <c r="A105" s="8"/>
      <c r="C105" s="8"/>
      <c r="D105" s="35" t="s">
        <v>501</v>
      </c>
      <c r="E105" s="35" t="s">
        <v>502</v>
      </c>
      <c r="F105" s="35"/>
      <c r="I105" s="20"/>
      <c r="J105" s="20"/>
      <c r="K105" s="20"/>
    </row>
    <row r="106" spans="1:12">
      <c r="A106" s="8"/>
      <c r="B106" s="12"/>
      <c r="C106" s="8"/>
      <c r="D106" s="55" t="s">
        <v>463</v>
      </c>
      <c r="E106" s="8" t="s">
        <v>503</v>
      </c>
      <c r="F106" s="59" t="s">
        <v>504</v>
      </c>
      <c r="I106" s="20"/>
      <c r="J106" s="20"/>
      <c r="K106" s="20"/>
    </row>
    <row r="107" spans="1:12">
      <c r="B107" s="13" t="s">
        <v>426</v>
      </c>
      <c r="C107" s="13" t="s">
        <v>505</v>
      </c>
      <c r="D107" s="13" t="s">
        <v>506</v>
      </c>
      <c r="E107" s="309" t="s">
        <v>507</v>
      </c>
      <c r="F107" s="56" t="s">
        <v>508</v>
      </c>
      <c r="H107" s="20"/>
      <c r="J107" s="20"/>
      <c r="K107" s="20"/>
    </row>
    <row r="108" spans="1:12">
      <c r="A108" s="8">
        <v>501</v>
      </c>
      <c r="B108" t="s">
        <v>472</v>
      </c>
      <c r="C108" s="35">
        <v>2020</v>
      </c>
      <c r="D108" s="548">
        <v>7.969005711233941E-2</v>
      </c>
      <c r="E108" s="747">
        <v>6707443.2715321099</v>
      </c>
      <c r="F108" s="57"/>
      <c r="H108" s="20"/>
      <c r="J108" s="20"/>
      <c r="K108" s="20"/>
      <c r="L108" s="8">
        <v>501</v>
      </c>
    </row>
    <row r="109" spans="1:12">
      <c r="A109" s="8">
        <v>502</v>
      </c>
      <c r="B109" t="s">
        <v>473</v>
      </c>
      <c r="C109" s="35">
        <v>2020</v>
      </c>
      <c r="D109" s="548">
        <v>7.2174272583901328E-2</v>
      </c>
      <c r="E109" s="747">
        <v>6074846.1798461098</v>
      </c>
      <c r="F109" s="57"/>
      <c r="H109" s="20"/>
      <c r="J109" s="20"/>
      <c r="K109" s="20"/>
      <c r="L109" s="8">
        <v>502</v>
      </c>
    </row>
    <row r="110" spans="1:12">
      <c r="A110" s="8">
        <v>503</v>
      </c>
      <c r="B110" t="s">
        <v>474</v>
      </c>
      <c r="C110" s="35">
        <v>2020</v>
      </c>
      <c r="D110" s="548">
        <v>7.5085389488930343E-2</v>
      </c>
      <c r="E110" s="747">
        <v>6319872.37514365</v>
      </c>
      <c r="F110" s="57"/>
      <c r="H110" s="20"/>
      <c r="J110" s="20"/>
      <c r="K110" s="20"/>
      <c r="L110" s="8">
        <v>503</v>
      </c>
    </row>
    <row r="111" spans="1:12">
      <c r="A111" s="8">
        <v>504</v>
      </c>
      <c r="B111" t="s">
        <v>475</v>
      </c>
      <c r="C111" s="35">
        <v>2020</v>
      </c>
      <c r="D111" s="548">
        <v>6.9251718540874876E-2</v>
      </c>
      <c r="E111" s="747">
        <v>5828857.3305226304</v>
      </c>
      <c r="F111" s="57"/>
      <c r="H111" s="20"/>
      <c r="J111" s="20"/>
      <c r="K111" s="20"/>
      <c r="L111" s="8">
        <v>504</v>
      </c>
    </row>
    <row r="112" spans="1:12">
      <c r="A112" s="8">
        <v>505</v>
      </c>
      <c r="B112" t="s">
        <v>437</v>
      </c>
      <c r="C112" s="35">
        <v>2020</v>
      </c>
      <c r="D112" s="548">
        <v>7.9708218465465663E-2</v>
      </c>
      <c r="E112" s="747">
        <v>6708971.8969371198</v>
      </c>
      <c r="F112" s="57"/>
      <c r="H112" s="20"/>
      <c r="J112" s="20"/>
      <c r="K112" s="20"/>
      <c r="L112" s="8">
        <v>505</v>
      </c>
    </row>
    <row r="113" spans="1:12">
      <c r="A113" s="8">
        <v>506</v>
      </c>
      <c r="B113" t="s">
        <v>476</v>
      </c>
      <c r="C113" s="35">
        <v>2020</v>
      </c>
      <c r="D113" s="548">
        <v>8.8671992647657349E-2</v>
      </c>
      <c r="E113" s="747">
        <v>7463445.0270180497</v>
      </c>
      <c r="F113" s="57"/>
      <c r="H113" s="20"/>
      <c r="J113" s="20"/>
      <c r="K113" s="20"/>
      <c r="L113" s="8">
        <v>506</v>
      </c>
    </row>
    <row r="114" spans="1:12">
      <c r="A114" s="8">
        <v>507</v>
      </c>
      <c r="B114" t="s">
        <v>477</v>
      </c>
      <c r="C114" s="35">
        <v>2020</v>
      </c>
      <c r="D114" s="548">
        <v>9.7515781143725638E-2</v>
      </c>
      <c r="E114" s="747">
        <v>8207819.0655406201</v>
      </c>
      <c r="F114" s="57"/>
      <c r="H114" s="20"/>
      <c r="J114" s="20"/>
      <c r="K114" s="20"/>
      <c r="L114" s="8">
        <v>507</v>
      </c>
    </row>
    <row r="115" spans="1:12">
      <c r="A115" s="8">
        <v>508</v>
      </c>
      <c r="B115" t="s">
        <v>478</v>
      </c>
      <c r="C115" s="35">
        <v>2020</v>
      </c>
      <c r="D115" s="548">
        <v>0.1045975771486307</v>
      </c>
      <c r="E115" s="747">
        <v>8803887.7180765495</v>
      </c>
      <c r="F115" s="57"/>
      <c r="H115" s="20"/>
      <c r="J115" s="20"/>
      <c r="K115" s="20"/>
      <c r="L115" s="8">
        <v>508</v>
      </c>
    </row>
    <row r="116" spans="1:12">
      <c r="A116" s="8">
        <v>509</v>
      </c>
      <c r="B116" t="s">
        <v>480</v>
      </c>
      <c r="C116" s="35">
        <v>2020</v>
      </c>
      <c r="D116" s="548">
        <v>9.1426158775865934E-2</v>
      </c>
      <c r="E116" s="747">
        <v>7695260.8110034</v>
      </c>
      <c r="F116" s="57"/>
      <c r="H116" s="20"/>
      <c r="J116" s="20"/>
      <c r="K116" s="20"/>
      <c r="L116" s="8">
        <v>509</v>
      </c>
    </row>
    <row r="117" spans="1:12">
      <c r="A117" s="8">
        <v>510</v>
      </c>
      <c r="B117" t="s">
        <v>481</v>
      </c>
      <c r="C117" s="35">
        <v>2020</v>
      </c>
      <c r="D117" s="548">
        <v>8.475716614259951E-2</v>
      </c>
      <c r="E117" s="747">
        <v>7133937.4616821501</v>
      </c>
      <c r="F117" s="57"/>
      <c r="L117" s="8">
        <v>510</v>
      </c>
    </row>
    <row r="118" spans="1:12">
      <c r="A118" s="8">
        <v>511</v>
      </c>
      <c r="B118" t="s">
        <v>482</v>
      </c>
      <c r="C118" s="35">
        <v>2020</v>
      </c>
      <c r="D118" s="548">
        <v>7.5682409212694146E-2</v>
      </c>
      <c r="E118" s="747">
        <v>6370123.0095921401</v>
      </c>
      <c r="F118" s="57"/>
      <c r="L118" s="8">
        <v>511</v>
      </c>
    </row>
    <row r="119" spans="1:12">
      <c r="A119" s="8">
        <v>512</v>
      </c>
      <c r="B119" t="s">
        <v>470</v>
      </c>
      <c r="C119" s="35">
        <v>2020</v>
      </c>
      <c r="D119" s="600">
        <v>8.1439258737314987E-2</v>
      </c>
      <c r="E119" s="748">
        <v>6854672.0613603797</v>
      </c>
      <c r="F119" s="57"/>
      <c r="L119" s="8">
        <v>512</v>
      </c>
    </row>
    <row r="120" spans="1:12">
      <c r="A120" s="8">
        <v>513</v>
      </c>
      <c r="B120" s="15" t="s">
        <v>509</v>
      </c>
      <c r="D120" s="610">
        <v>0.99999999999999978</v>
      </c>
      <c r="E120" s="21">
        <v>84169136.208254918</v>
      </c>
      <c r="L120" s="8">
        <v>513</v>
      </c>
    </row>
    <row r="122" spans="1:12">
      <c r="B122" s="52" t="s">
        <v>510</v>
      </c>
      <c r="C122" s="219"/>
      <c r="D122" s="219"/>
      <c r="E122" s="219"/>
      <c r="F122" s="219"/>
      <c r="G122" s="219"/>
      <c r="H122" s="219"/>
      <c r="I122" s="219"/>
      <c r="J122" s="219"/>
      <c r="K122" s="219"/>
    </row>
    <row r="123" spans="1:12">
      <c r="B123" s="11" t="s">
        <v>485</v>
      </c>
    </row>
    <row r="124" spans="1:12">
      <c r="B124" s="805" t="s">
        <v>511</v>
      </c>
      <c r="C124" s="805"/>
      <c r="D124" s="805"/>
      <c r="E124" s="805"/>
      <c r="F124" s="805"/>
      <c r="G124" s="805"/>
      <c r="H124" s="805"/>
      <c r="I124" s="805"/>
      <c r="J124" s="805"/>
      <c r="K124" s="805"/>
    </row>
    <row r="125" spans="1:12">
      <c r="B125" s="805"/>
      <c r="C125" s="805"/>
      <c r="D125" s="805"/>
      <c r="E125" s="805"/>
      <c r="F125" s="805"/>
      <c r="G125" s="805"/>
      <c r="H125" s="805"/>
      <c r="I125" s="805"/>
      <c r="J125" s="805"/>
      <c r="K125" s="805"/>
    </row>
    <row r="126" spans="1:12">
      <c r="B126" s="806" t="s">
        <v>512</v>
      </c>
      <c r="C126" s="806"/>
      <c r="D126" s="806"/>
      <c r="E126" s="806"/>
      <c r="F126" s="806"/>
      <c r="G126" s="806"/>
      <c r="H126" s="806"/>
      <c r="I126" s="806"/>
      <c r="J126" s="806"/>
      <c r="K126" s="806"/>
    </row>
    <row r="129" spans="2:11">
      <c r="B129" s="16" t="s">
        <v>304</v>
      </c>
    </row>
    <row r="130" spans="2:11">
      <c r="B130" s="800" t="s">
        <v>513</v>
      </c>
      <c r="C130" s="800"/>
      <c r="D130" s="800"/>
      <c r="E130" s="800"/>
      <c r="F130" s="800"/>
      <c r="G130" s="800"/>
      <c r="H130" s="800"/>
      <c r="I130" s="800"/>
      <c r="J130" s="800"/>
      <c r="K130" s="800"/>
    </row>
    <row r="131" spans="2:11">
      <c r="B131" s="800"/>
      <c r="C131" s="800"/>
      <c r="D131" s="800"/>
      <c r="E131" s="800"/>
      <c r="F131" s="800"/>
      <c r="G131" s="800"/>
      <c r="H131" s="800"/>
      <c r="I131" s="800"/>
      <c r="J131" s="800"/>
      <c r="K131" s="800"/>
    </row>
    <row r="132" spans="2:11">
      <c r="B132" s="800" t="s">
        <v>514</v>
      </c>
      <c r="C132" s="800"/>
      <c r="D132" s="800"/>
      <c r="E132" s="800"/>
      <c r="F132" s="800"/>
      <c r="G132" s="800"/>
      <c r="H132" s="800"/>
      <c r="I132" s="800"/>
      <c r="J132" s="800"/>
      <c r="K132" s="800"/>
    </row>
    <row r="133" spans="2:11">
      <c r="B133" s="800"/>
      <c r="C133" s="800"/>
      <c r="D133" s="800"/>
      <c r="E133" s="800"/>
      <c r="F133" s="800"/>
      <c r="G133" s="800"/>
      <c r="H133" s="800"/>
      <c r="I133" s="800"/>
      <c r="J133" s="800"/>
      <c r="K133" s="800"/>
    </row>
    <row r="134" spans="2:11" ht="15" customHeight="1">
      <c r="B134" s="800" t="s">
        <v>533</v>
      </c>
      <c r="C134" s="800"/>
      <c r="D134" s="800"/>
      <c r="E134" s="800"/>
      <c r="F134" s="800"/>
      <c r="G134" s="800"/>
      <c r="H134" s="800"/>
      <c r="I134" s="800"/>
      <c r="J134" s="800"/>
      <c r="K134" s="800"/>
    </row>
    <row r="135" spans="2:11" ht="15" customHeight="1">
      <c r="B135" s="800" t="s">
        <v>534</v>
      </c>
      <c r="C135" s="800"/>
      <c r="D135" s="800"/>
      <c r="E135" s="800"/>
      <c r="F135" s="800"/>
      <c r="G135" s="800"/>
      <c r="H135" s="800"/>
      <c r="I135" s="800"/>
      <c r="J135" s="800"/>
      <c r="K135" s="800"/>
    </row>
    <row r="136" spans="2:11">
      <c r="B136" s="800"/>
      <c r="C136" s="800"/>
      <c r="D136" s="800"/>
      <c r="E136" s="800"/>
      <c r="F136" s="800"/>
      <c r="G136" s="800"/>
      <c r="H136" s="800"/>
      <c r="I136" s="800"/>
      <c r="J136" s="800"/>
      <c r="K136" s="800"/>
    </row>
    <row r="137" spans="2:11">
      <c r="B137" s="801" t="s">
        <v>515</v>
      </c>
      <c r="C137" s="801"/>
      <c r="D137" s="801"/>
      <c r="E137" s="801"/>
      <c r="F137" s="801"/>
      <c r="G137" s="801"/>
      <c r="H137" s="801"/>
      <c r="I137" s="801"/>
      <c r="J137" s="801"/>
      <c r="K137" s="801"/>
    </row>
    <row r="138" spans="2:11">
      <c r="B138" s="801" t="s">
        <v>516</v>
      </c>
      <c r="C138" s="801"/>
      <c r="D138" s="801"/>
      <c r="E138" s="801"/>
      <c r="F138" s="801"/>
      <c r="G138" s="801"/>
      <c r="H138" s="801"/>
      <c r="I138" s="801"/>
      <c r="J138" s="801"/>
      <c r="K138" s="801"/>
    </row>
    <row r="139" spans="2:11">
      <c r="B139" s="800" t="s">
        <v>517</v>
      </c>
      <c r="C139" s="800"/>
      <c r="D139" s="800"/>
      <c r="E139" s="800"/>
      <c r="F139" s="800"/>
      <c r="G139" s="800"/>
      <c r="H139" s="800"/>
      <c r="I139" s="800"/>
      <c r="J139" s="800"/>
      <c r="K139" s="800"/>
    </row>
    <row r="140" spans="2:11">
      <c r="B140" s="800"/>
      <c r="C140" s="800"/>
      <c r="D140" s="800"/>
      <c r="E140" s="800"/>
      <c r="F140" s="800"/>
      <c r="G140" s="800"/>
      <c r="H140" s="800"/>
      <c r="I140" s="800"/>
      <c r="J140" s="800"/>
      <c r="K140" s="800"/>
    </row>
    <row r="141" spans="2:11">
      <c r="B141" s="801" t="s">
        <v>518</v>
      </c>
      <c r="C141" s="801"/>
      <c r="D141" s="801"/>
      <c r="E141" s="801"/>
      <c r="F141" s="801"/>
      <c r="G141" s="801"/>
      <c r="H141" s="801"/>
      <c r="I141" s="801"/>
      <c r="J141" s="801"/>
      <c r="K141" s="801"/>
    </row>
    <row r="142" spans="2:11">
      <c r="B142" s="801" t="s">
        <v>535</v>
      </c>
      <c r="C142" s="801"/>
      <c r="D142" s="801"/>
      <c r="E142" s="801"/>
      <c r="F142" s="801"/>
      <c r="G142" s="801"/>
      <c r="H142" s="801"/>
      <c r="I142" s="801"/>
      <c r="J142" s="801"/>
      <c r="K142" s="801"/>
    </row>
    <row r="143" spans="2:11">
      <c r="B143" s="800" t="s">
        <v>536</v>
      </c>
      <c r="C143" s="800"/>
      <c r="D143" s="800"/>
      <c r="E143" s="800"/>
      <c r="F143" s="800"/>
      <c r="G143" s="800"/>
      <c r="H143" s="800"/>
      <c r="I143" s="800"/>
      <c r="J143" s="800"/>
      <c r="K143" s="800"/>
    </row>
    <row r="144" spans="2:11">
      <c r="B144" s="800"/>
      <c r="C144" s="800"/>
      <c r="D144" s="800"/>
      <c r="E144" s="800"/>
      <c r="F144" s="800"/>
      <c r="G144" s="800"/>
      <c r="H144" s="800"/>
      <c r="I144" s="800"/>
      <c r="J144" s="800"/>
      <c r="K144" s="800"/>
    </row>
    <row r="145" spans="2:11">
      <c r="B145" s="801" t="s">
        <v>537</v>
      </c>
      <c r="C145" s="801"/>
      <c r="D145" s="801"/>
      <c r="E145" s="801"/>
      <c r="F145" s="801"/>
      <c r="G145" s="801"/>
      <c r="H145" s="801"/>
      <c r="I145" s="801"/>
      <c r="J145" s="801"/>
      <c r="K145" s="801"/>
    </row>
    <row r="146" spans="2:11" ht="15" customHeight="1">
      <c r="B146" s="805" t="s">
        <v>519</v>
      </c>
      <c r="C146" s="805"/>
      <c r="D146" s="805"/>
      <c r="E146" s="805"/>
      <c r="F146" s="805"/>
      <c r="G146" s="805"/>
      <c r="H146" s="805"/>
      <c r="I146" s="805"/>
      <c r="J146" s="805"/>
      <c r="K146" s="805"/>
    </row>
    <row r="147" spans="2:11">
      <c r="B147" s="800" t="s">
        <v>520</v>
      </c>
      <c r="C147" s="800"/>
      <c r="D147" s="800"/>
      <c r="E147" s="800"/>
      <c r="F147" s="800"/>
      <c r="G147" s="800"/>
      <c r="H147" s="800"/>
      <c r="I147" s="800"/>
      <c r="J147" s="800"/>
      <c r="K147" s="800"/>
    </row>
  </sheetData>
  <mergeCells count="22">
    <mergeCell ref="B143:K144"/>
    <mergeCell ref="B145:K145"/>
    <mergeCell ref="B146:K146"/>
    <mergeCell ref="B147:K147"/>
    <mergeCell ref="B135:K136"/>
    <mergeCell ref="B137:K137"/>
    <mergeCell ref="B138:K138"/>
    <mergeCell ref="B139:K140"/>
    <mergeCell ref="B141:K141"/>
    <mergeCell ref="B142:K142"/>
    <mergeCell ref="B134:K134"/>
    <mergeCell ref="B6:K6"/>
    <mergeCell ref="B7:K7"/>
    <mergeCell ref="B31:K32"/>
    <mergeCell ref="B33:K33"/>
    <mergeCell ref="B72:K73"/>
    <mergeCell ref="B99:K99"/>
    <mergeCell ref="B100:K100"/>
    <mergeCell ref="B124:K125"/>
    <mergeCell ref="B126:K126"/>
    <mergeCell ref="B130:K131"/>
    <mergeCell ref="B132:K133"/>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5" max="1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0"/>
  <sheetViews>
    <sheetView tabSelected="1" view="pageBreakPreview" topLeftCell="A19" zoomScaleNormal="85" zoomScaleSheetLayoutView="100" zoomScalePageLayoutView="90" workbookViewId="0">
      <selection activeCell="E21" sqref="E21"/>
    </sheetView>
  </sheetViews>
  <sheetFormatPr defaultColWidth="8.81640625" defaultRowHeight="14.5"/>
  <cols>
    <col min="1" max="1" width="4.54296875" style="64" bestFit="1" customWidth="1"/>
    <col min="2" max="2" width="63.453125" style="64" bestFit="1" customWidth="1"/>
    <col min="3" max="3" width="4.54296875" style="64" customWidth="1"/>
    <col min="4" max="4" width="16.54296875" style="64" bestFit="1" customWidth="1"/>
    <col min="5" max="5" width="29.7265625" style="64" customWidth="1"/>
    <col min="6" max="6" width="29.1796875" style="64" customWidth="1"/>
    <col min="7" max="7" width="4.54296875" style="64" bestFit="1" customWidth="1"/>
    <col min="8" max="8" width="8.81640625" style="64"/>
    <col min="9" max="9" width="12.1796875" style="64" bestFit="1" customWidth="1"/>
    <col min="10" max="10" width="7.1796875" style="64" bestFit="1" customWidth="1"/>
    <col min="11" max="11" width="10.54296875" style="64" bestFit="1" customWidth="1"/>
    <col min="12" max="22" width="14.54296875" style="64" customWidth="1"/>
    <col min="23" max="16384" width="8.81640625" style="64"/>
  </cols>
  <sheetData>
    <row r="1" spans="1:22">
      <c r="B1" s="14" t="s">
        <v>16</v>
      </c>
      <c r="E1" s="15"/>
      <c r="F1" s="15" t="str">
        <f>CONCATENATE("Prior Year: ",'1-BaseTRR'!$G$2)</f>
        <v>Prior Year: 2020</v>
      </c>
    </row>
    <row r="2" spans="1:22">
      <c r="B2" s="65"/>
    </row>
    <row r="3" spans="1:22">
      <c r="B3" s="47" t="s">
        <v>538</v>
      </c>
      <c r="C3" s="48"/>
      <c r="D3" s="219"/>
      <c r="E3" s="219"/>
      <c r="F3" s="219"/>
    </row>
    <row r="4" spans="1:22">
      <c r="A4" s="13" t="s">
        <v>99</v>
      </c>
      <c r="B4" s="13" t="s">
        <v>6</v>
      </c>
      <c r="C4"/>
      <c r="D4" s="13" t="s">
        <v>133</v>
      </c>
      <c r="E4" s="13" t="s">
        <v>134</v>
      </c>
      <c r="F4" s="13" t="s">
        <v>135</v>
      </c>
      <c r="G4" s="13" t="str">
        <f>A4</f>
        <v>Line</v>
      </c>
    </row>
    <row r="5" spans="1:22">
      <c r="B5" s="66" t="s">
        <v>539</v>
      </c>
      <c r="I5" s="67"/>
      <c r="J5" s="68"/>
      <c r="K5" s="69"/>
      <c r="L5" s="70"/>
      <c r="M5" s="70"/>
      <c r="N5" s="70"/>
      <c r="O5" s="70"/>
      <c r="P5" s="70"/>
      <c r="Q5" s="70"/>
      <c r="R5" s="70"/>
      <c r="S5" s="70"/>
      <c r="T5" s="70"/>
      <c r="U5" s="70"/>
      <c r="V5" s="70"/>
    </row>
    <row r="6" spans="1:22">
      <c r="A6" s="71">
        <v>100</v>
      </c>
      <c r="B6" s="64" t="s">
        <v>540</v>
      </c>
      <c r="D6" s="22">
        <f>'5-CostofCap-2'!P13</f>
        <v>31852940000</v>
      </c>
      <c r="E6" s="73" t="s">
        <v>541</v>
      </c>
      <c r="F6" s="64" t="s">
        <v>542</v>
      </c>
      <c r="G6" s="71">
        <f>A6</f>
        <v>100</v>
      </c>
      <c r="I6" s="74"/>
      <c r="J6" s="75"/>
      <c r="K6" s="74"/>
      <c r="L6" s="76"/>
      <c r="M6" s="76"/>
      <c r="N6" s="76"/>
      <c r="O6" s="76"/>
      <c r="P6" s="76"/>
      <c r="Q6" s="76"/>
      <c r="R6" s="76"/>
      <c r="S6" s="76"/>
      <c r="T6" s="76"/>
      <c r="U6" s="76"/>
      <c r="V6" s="76"/>
    </row>
    <row r="7" spans="1:22">
      <c r="A7" s="71">
        <f>A6+1</f>
        <v>101</v>
      </c>
      <c r="B7" s="64" t="s">
        <v>543</v>
      </c>
      <c r="D7" s="491">
        <f>-'5-CostofCap-2'!P15</f>
        <v>0</v>
      </c>
      <c r="E7" s="73" t="s">
        <v>544</v>
      </c>
      <c r="F7" s="64" t="s">
        <v>545</v>
      </c>
      <c r="G7" s="71">
        <f t="shared" ref="G7:G30" si="0">A7</f>
        <v>101</v>
      </c>
      <c r="I7" s="74"/>
      <c r="J7" s="77"/>
      <c r="K7" s="78"/>
      <c r="L7" s="76"/>
      <c r="M7" s="76"/>
      <c r="N7" s="76"/>
      <c r="O7" s="76"/>
      <c r="P7" s="76"/>
      <c r="Q7" s="76"/>
      <c r="R7" s="76"/>
      <c r="S7" s="76"/>
      <c r="T7" s="76"/>
      <c r="U7" s="76"/>
      <c r="V7" s="76"/>
    </row>
    <row r="8" spans="1:22">
      <c r="A8" s="71">
        <f t="shared" ref="A8:A16" si="1">A7+1</f>
        <v>102</v>
      </c>
      <c r="B8" s="64" t="s">
        <v>546</v>
      </c>
      <c r="D8" s="492">
        <f>'5-CostofCap-2'!P17</f>
        <v>0</v>
      </c>
      <c r="E8" s="73" t="s">
        <v>547</v>
      </c>
      <c r="F8" s="64" t="s">
        <v>542</v>
      </c>
      <c r="G8" s="71">
        <f t="shared" si="0"/>
        <v>102</v>
      </c>
      <c r="H8" s="65"/>
      <c r="I8" s="74"/>
      <c r="J8" s="77"/>
      <c r="K8" s="78"/>
      <c r="L8" s="76"/>
      <c r="M8" s="76"/>
      <c r="N8" s="76"/>
      <c r="O8" s="76"/>
      <c r="P8" s="76"/>
      <c r="Q8" s="76"/>
      <c r="R8" s="76"/>
      <c r="S8" s="76"/>
      <c r="T8" s="76"/>
      <c r="U8" s="76"/>
      <c r="V8" s="76"/>
    </row>
    <row r="9" spans="1:22">
      <c r="A9" s="71">
        <f t="shared" si="1"/>
        <v>103</v>
      </c>
      <c r="B9" s="64" t="s">
        <v>548</v>
      </c>
      <c r="D9" s="492">
        <f>'5-CostofCap-2'!P19</f>
        <v>0</v>
      </c>
      <c r="E9" s="73" t="s">
        <v>549</v>
      </c>
      <c r="F9" s="64" t="s">
        <v>542</v>
      </c>
      <c r="G9" s="71">
        <f t="shared" si="0"/>
        <v>103</v>
      </c>
      <c r="I9" s="74"/>
      <c r="J9" s="77"/>
      <c r="K9" s="78"/>
      <c r="L9" s="76"/>
      <c r="M9" s="76"/>
      <c r="N9" s="76"/>
      <c r="O9" s="76"/>
      <c r="P9" s="76"/>
      <c r="Q9" s="76"/>
      <c r="R9" s="76"/>
      <c r="S9" s="76"/>
      <c r="T9" s="76"/>
      <c r="U9" s="76"/>
      <c r="V9" s="76"/>
    </row>
    <row r="10" spans="1:22">
      <c r="A10" s="71">
        <f t="shared" si="1"/>
        <v>104</v>
      </c>
      <c r="B10" s="64" t="s">
        <v>550</v>
      </c>
      <c r="D10" s="492">
        <f>'5-CostofCap-2'!P21</f>
        <v>0</v>
      </c>
      <c r="E10" s="73" t="s">
        <v>551</v>
      </c>
      <c r="F10" s="64" t="s">
        <v>542</v>
      </c>
      <c r="G10" s="71">
        <f t="shared" si="0"/>
        <v>104</v>
      </c>
      <c r="I10" s="79"/>
      <c r="J10" s="80"/>
      <c r="K10" s="76"/>
      <c r="L10" s="76"/>
      <c r="M10" s="76"/>
      <c r="N10" s="76"/>
      <c r="O10" s="76"/>
      <c r="P10" s="76"/>
      <c r="Q10" s="76"/>
      <c r="R10" s="76"/>
      <c r="S10" s="76"/>
      <c r="T10" s="76"/>
      <c r="U10" s="76"/>
      <c r="V10" s="76"/>
    </row>
    <row r="11" spans="1:22">
      <c r="A11" s="71">
        <f t="shared" si="1"/>
        <v>105</v>
      </c>
      <c r="B11" s="64" t="s">
        <v>552</v>
      </c>
      <c r="D11" s="492">
        <f>-'5-CostofCap-2'!P23</f>
        <v>-20595301.050000001</v>
      </c>
      <c r="E11" s="73" t="s">
        <v>553</v>
      </c>
      <c r="F11" s="64" t="s">
        <v>545</v>
      </c>
      <c r="G11" s="71">
        <f t="shared" si="0"/>
        <v>105</v>
      </c>
      <c r="I11" s="76"/>
      <c r="J11" s="76"/>
      <c r="K11" s="76"/>
      <c r="L11" s="76"/>
      <c r="M11" s="76"/>
      <c r="N11" s="76"/>
      <c r="O11" s="76"/>
      <c r="P11" s="76"/>
      <c r="Q11" s="76"/>
      <c r="R11" s="76"/>
      <c r="S11" s="76"/>
      <c r="T11" s="76"/>
      <c r="U11" s="76"/>
      <c r="V11" s="76"/>
    </row>
    <row r="12" spans="1:22">
      <c r="A12" s="71">
        <f t="shared" si="1"/>
        <v>106</v>
      </c>
      <c r="B12" s="64" t="s">
        <v>554</v>
      </c>
      <c r="D12" s="492">
        <f>-'5-CostofCap-2'!P25</f>
        <v>-155046319.86000001</v>
      </c>
      <c r="E12" s="73" t="s">
        <v>555</v>
      </c>
      <c r="F12" s="64" t="s">
        <v>545</v>
      </c>
      <c r="G12" s="71">
        <f t="shared" si="0"/>
        <v>106</v>
      </c>
      <c r="I12" s="76"/>
      <c r="J12" s="76"/>
      <c r="K12" s="76"/>
      <c r="L12" s="76"/>
      <c r="M12" s="76"/>
      <c r="N12" s="76"/>
      <c r="O12" s="76"/>
      <c r="P12" s="76"/>
      <c r="Q12" s="76"/>
      <c r="R12" s="76"/>
      <c r="S12" s="76"/>
      <c r="T12" s="76"/>
      <c r="U12" s="76"/>
      <c r="V12" s="76"/>
    </row>
    <row r="13" spans="1:22">
      <c r="A13" s="71">
        <f t="shared" si="1"/>
        <v>107</v>
      </c>
      <c r="B13" s="64" t="s">
        <v>556</v>
      </c>
      <c r="D13" s="492">
        <f>-'5-CostofCap-2'!P27</f>
        <v>-62997566.18</v>
      </c>
      <c r="E13" s="73" t="s">
        <v>557</v>
      </c>
      <c r="F13" s="64" t="s">
        <v>545</v>
      </c>
      <c r="G13" s="71">
        <f t="shared" si="0"/>
        <v>107</v>
      </c>
      <c r="I13" s="76"/>
      <c r="J13" s="76"/>
      <c r="K13" s="76"/>
      <c r="L13" s="76"/>
      <c r="M13" s="76"/>
      <c r="N13" s="76"/>
      <c r="O13" s="76"/>
      <c r="P13" s="76"/>
      <c r="Q13" s="76"/>
      <c r="R13" s="76"/>
      <c r="S13" s="76"/>
      <c r="T13" s="76"/>
      <c r="U13" s="76"/>
      <c r="V13" s="76"/>
    </row>
    <row r="14" spans="1:22">
      <c r="A14" s="71">
        <f t="shared" si="1"/>
        <v>108</v>
      </c>
      <c r="B14" s="64" t="s">
        <v>241</v>
      </c>
      <c r="D14" s="438">
        <f>'1-BaseTRR'!E99</f>
        <v>0.27983599999999997</v>
      </c>
      <c r="E14" s="73" t="s">
        <v>558</v>
      </c>
      <c r="G14" s="71">
        <f t="shared" si="0"/>
        <v>108</v>
      </c>
      <c r="I14" s="76"/>
      <c r="J14" s="76"/>
      <c r="K14" s="76"/>
      <c r="L14" s="76"/>
      <c r="M14" s="76"/>
      <c r="N14" s="76"/>
      <c r="O14" s="76"/>
      <c r="P14" s="76"/>
      <c r="Q14" s="76"/>
      <c r="R14" s="76"/>
      <c r="S14" s="76"/>
      <c r="T14" s="76"/>
      <c r="U14" s="76"/>
      <c r="V14" s="76"/>
    </row>
    <row r="15" spans="1:22">
      <c r="A15" s="71">
        <f t="shared" si="1"/>
        <v>109</v>
      </c>
      <c r="B15" s="64" t="s">
        <v>559</v>
      </c>
      <c r="D15" s="493">
        <f>+D13*(1-D14)</f>
        <v>-45368579.250453524</v>
      </c>
      <c r="E15" s="73" t="s">
        <v>560</v>
      </c>
      <c r="G15" s="71">
        <f t="shared" si="0"/>
        <v>109</v>
      </c>
      <c r="I15" s="76"/>
      <c r="J15" s="76"/>
      <c r="K15" s="76"/>
      <c r="L15" s="76"/>
      <c r="M15" s="76"/>
      <c r="N15" s="76"/>
      <c r="O15" s="76"/>
      <c r="P15" s="76"/>
      <c r="Q15" s="76"/>
      <c r="R15" s="76"/>
      <c r="S15" s="76"/>
      <c r="T15" s="76"/>
      <c r="U15" s="76"/>
      <c r="V15" s="76"/>
    </row>
    <row r="16" spans="1:22">
      <c r="A16" s="71">
        <f t="shared" si="1"/>
        <v>110</v>
      </c>
      <c r="B16" s="572" t="s">
        <v>175</v>
      </c>
      <c r="D16" s="63">
        <f>+SUM(D6:D12,D15:D15)</f>
        <v>31631929799.839546</v>
      </c>
      <c r="E16" s="73" t="s">
        <v>561</v>
      </c>
      <c r="G16" s="71">
        <f t="shared" si="0"/>
        <v>110</v>
      </c>
    </row>
    <row r="17" spans="1:22">
      <c r="D17" s="82"/>
      <c r="E17" s="73"/>
      <c r="G17" s="71"/>
    </row>
    <row r="18" spans="1:22">
      <c r="B18" s="66" t="s">
        <v>562</v>
      </c>
      <c r="D18" s="82"/>
      <c r="E18" s="73"/>
      <c r="G18" s="71"/>
    </row>
    <row r="19" spans="1:22">
      <c r="A19" s="71">
        <f>A16+1</f>
        <v>111</v>
      </c>
      <c r="B19" s="64" t="s">
        <v>563</v>
      </c>
      <c r="D19" s="22">
        <f>'5-CostofCap-2'!P29</f>
        <v>257994575</v>
      </c>
      <c r="E19" s="73" t="s">
        <v>564</v>
      </c>
      <c r="F19" s="64" t="s">
        <v>542</v>
      </c>
      <c r="G19" s="71">
        <f t="shared" si="0"/>
        <v>111</v>
      </c>
      <c r="I19" s="76"/>
      <c r="K19" s="76"/>
      <c r="L19" s="76"/>
      <c r="M19" s="76"/>
      <c r="N19" s="76"/>
      <c r="O19" s="76"/>
      <c r="P19" s="76"/>
      <c r="Q19" s="76"/>
      <c r="R19" s="76"/>
      <c r="S19" s="76"/>
      <c r="T19" s="76"/>
      <c r="U19" s="76"/>
      <c r="V19" s="76"/>
    </row>
    <row r="20" spans="1:22">
      <c r="A20" s="71">
        <f>A19+1</f>
        <v>112</v>
      </c>
      <c r="B20" s="64" t="s">
        <v>565</v>
      </c>
      <c r="D20" s="29">
        <f>'5-CostofCap-2'!P31</f>
        <v>-5940274.6799999997</v>
      </c>
      <c r="E20" s="73" t="s">
        <v>566</v>
      </c>
      <c r="F20" s="64" t="s">
        <v>542</v>
      </c>
      <c r="G20" s="71">
        <f t="shared" si="0"/>
        <v>112</v>
      </c>
      <c r="I20" s="76"/>
      <c r="K20" s="76"/>
      <c r="L20" s="76"/>
      <c r="M20" s="76"/>
      <c r="N20" s="76"/>
      <c r="O20" s="76"/>
      <c r="P20" s="76"/>
      <c r="Q20" s="76"/>
      <c r="R20" s="76"/>
      <c r="S20" s="76"/>
      <c r="T20" s="76"/>
      <c r="U20" s="76"/>
      <c r="V20" s="76"/>
    </row>
    <row r="21" spans="1:22">
      <c r="A21" s="71">
        <f t="shared" ref="A21:A22" si="2">A20+1</f>
        <v>113</v>
      </c>
      <c r="B21" s="64" t="s">
        <v>567</v>
      </c>
      <c r="D21" s="26">
        <f>'5-CostofCap-2'!P33</f>
        <v>0</v>
      </c>
      <c r="E21" s="73" t="s">
        <v>568</v>
      </c>
      <c r="F21" s="64" t="s">
        <v>542</v>
      </c>
      <c r="G21" s="71">
        <f t="shared" si="0"/>
        <v>113</v>
      </c>
      <c r="I21" s="76"/>
      <c r="K21" s="76"/>
      <c r="L21" s="76"/>
      <c r="M21" s="76"/>
      <c r="N21" s="76"/>
      <c r="O21" s="76"/>
      <c r="P21" s="76"/>
      <c r="Q21" s="76"/>
      <c r="R21" s="76"/>
      <c r="S21" s="76"/>
      <c r="T21" s="76"/>
      <c r="U21" s="76"/>
      <c r="V21" s="76"/>
    </row>
    <row r="22" spans="1:22">
      <c r="A22" s="71">
        <f t="shared" si="2"/>
        <v>114</v>
      </c>
      <c r="B22" s="572" t="s">
        <v>181</v>
      </c>
      <c r="D22" s="63">
        <f>SUM(D19:D21)</f>
        <v>252054300.31999999</v>
      </c>
      <c r="E22" s="73" t="s">
        <v>569</v>
      </c>
      <c r="G22" s="71">
        <f t="shared" si="0"/>
        <v>114</v>
      </c>
    </row>
    <row r="23" spans="1:22">
      <c r="A23" s="71"/>
      <c r="D23" s="72"/>
      <c r="E23" s="73"/>
      <c r="G23" s="71"/>
    </row>
    <row r="24" spans="1:22">
      <c r="B24" s="66" t="s">
        <v>570</v>
      </c>
      <c r="D24" s="72"/>
      <c r="E24" s="73"/>
      <c r="F24" s="83"/>
      <c r="G24" s="71"/>
    </row>
    <row r="25" spans="1:22">
      <c r="A25" s="71">
        <f>+A22+1</f>
        <v>115</v>
      </c>
      <c r="B25" s="64" t="s">
        <v>571</v>
      </c>
      <c r="D25" s="22">
        <f>'5-CostofCap-2'!P35</f>
        <v>25476768827.259998</v>
      </c>
      <c r="E25" s="73" t="s">
        <v>572</v>
      </c>
      <c r="F25" s="64" t="s">
        <v>542</v>
      </c>
      <c r="G25" s="71">
        <f t="shared" si="0"/>
        <v>115</v>
      </c>
      <c r="I25" s="76"/>
      <c r="J25" s="76"/>
      <c r="K25" s="76"/>
      <c r="L25" s="76"/>
      <c r="M25" s="76"/>
      <c r="N25" s="76"/>
      <c r="O25" s="76"/>
      <c r="P25" s="76"/>
      <c r="Q25" s="76"/>
      <c r="R25" s="76"/>
      <c r="S25" s="76"/>
      <c r="T25" s="76"/>
      <c r="U25" s="76"/>
      <c r="V25" s="76"/>
    </row>
    <row r="26" spans="1:22">
      <c r="A26" s="71">
        <f>A25+1</f>
        <v>116</v>
      </c>
      <c r="B26" s="64" t="s">
        <v>573</v>
      </c>
      <c r="D26" s="29">
        <f>-D22</f>
        <v>-252054300.31999999</v>
      </c>
      <c r="E26" s="73" t="s">
        <v>574</v>
      </c>
      <c r="F26" s="64" t="s">
        <v>575</v>
      </c>
      <c r="G26" s="71">
        <f t="shared" si="0"/>
        <v>116</v>
      </c>
      <c r="I26" s="76"/>
      <c r="J26" s="76"/>
      <c r="K26" s="76"/>
      <c r="L26" s="76"/>
      <c r="M26" s="76"/>
      <c r="N26" s="76"/>
      <c r="O26" s="76"/>
      <c r="P26" s="76"/>
      <c r="Q26" s="76"/>
      <c r="R26" s="76"/>
      <c r="S26" s="76"/>
      <c r="T26" s="76"/>
      <c r="U26" s="76"/>
      <c r="V26" s="76"/>
    </row>
    <row r="27" spans="1:22">
      <c r="A27" s="71">
        <f t="shared" ref="A27:A29" si="3">A26+1</f>
        <v>117</v>
      </c>
      <c r="B27" s="64" t="s">
        <v>576</v>
      </c>
      <c r="D27" s="29">
        <f>-D21</f>
        <v>0</v>
      </c>
      <c r="E27" s="73" t="s">
        <v>577</v>
      </c>
      <c r="F27" s="64" t="s">
        <v>578</v>
      </c>
      <c r="G27" s="71">
        <f t="shared" si="0"/>
        <v>117</v>
      </c>
      <c r="I27" s="76"/>
      <c r="J27" s="76"/>
      <c r="K27" s="76"/>
      <c r="L27" s="76"/>
      <c r="M27" s="76"/>
      <c r="N27" s="76"/>
      <c r="O27" s="76"/>
      <c r="P27" s="76"/>
      <c r="Q27" s="76"/>
      <c r="R27" s="76"/>
      <c r="S27" s="76"/>
      <c r="T27" s="76"/>
      <c r="U27" s="76"/>
      <c r="V27" s="76"/>
    </row>
    <row r="28" spans="1:22">
      <c r="A28" s="71">
        <f t="shared" si="3"/>
        <v>118</v>
      </c>
      <c r="B28" s="64" t="s">
        <v>579</v>
      </c>
      <c r="D28" s="491">
        <f>-'5-CostofCap-2'!P37</f>
        <v>32541626.699999999</v>
      </c>
      <c r="E28" s="73" t="s">
        <v>580</v>
      </c>
      <c r="F28" s="64" t="s">
        <v>581</v>
      </c>
      <c r="G28" s="71">
        <f t="shared" si="0"/>
        <v>118</v>
      </c>
      <c r="I28" s="76"/>
      <c r="J28" s="76"/>
      <c r="K28" s="76"/>
      <c r="L28" s="76"/>
      <c r="M28" s="76"/>
      <c r="N28" s="76"/>
      <c r="O28" s="76"/>
      <c r="P28" s="76"/>
      <c r="Q28" s="76"/>
      <c r="R28" s="76"/>
      <c r="S28" s="76"/>
      <c r="T28" s="76"/>
      <c r="U28" s="76"/>
      <c r="V28" s="76"/>
    </row>
    <row r="29" spans="1:22">
      <c r="A29" s="71">
        <f t="shared" si="3"/>
        <v>119</v>
      </c>
      <c r="B29" s="64" t="s">
        <v>582</v>
      </c>
      <c r="D29" s="713">
        <f>-'5-CostofCap-2'!P39</f>
        <v>4621217.7</v>
      </c>
      <c r="E29" s="73" t="s">
        <v>583</v>
      </c>
      <c r="F29" s="64" t="s">
        <v>581</v>
      </c>
      <c r="G29" s="71">
        <f t="shared" si="0"/>
        <v>119</v>
      </c>
      <c r="I29" s="76"/>
      <c r="J29" s="76"/>
      <c r="K29" s="76"/>
      <c r="L29" s="76"/>
      <c r="M29" s="76"/>
      <c r="N29" s="76"/>
      <c r="O29" s="76"/>
      <c r="P29" s="76"/>
      <c r="Q29" s="76"/>
      <c r="R29" s="76"/>
      <c r="S29" s="76"/>
      <c r="T29" s="76"/>
      <c r="U29" s="76"/>
      <c r="V29" s="76"/>
    </row>
    <row r="30" spans="1:22">
      <c r="A30" s="71">
        <f>A29+1</f>
        <v>120</v>
      </c>
      <c r="B30" s="86" t="s">
        <v>186</v>
      </c>
      <c r="D30" s="63">
        <f>SUM(D25:D29)</f>
        <v>25261877371.34</v>
      </c>
      <c r="E30" s="73" t="s">
        <v>584</v>
      </c>
      <c r="G30" s="71">
        <f t="shared" si="0"/>
        <v>120</v>
      </c>
    </row>
    <row r="31" spans="1:22">
      <c r="B31" s="84"/>
    </row>
    <row r="36" spans="2:2">
      <c r="B36" s="85"/>
    </row>
    <row r="38" spans="2:2">
      <c r="B38" s="73"/>
    </row>
    <row r="40" spans="2:2">
      <c r="B40" s="73"/>
    </row>
  </sheetData>
  <printOptions horizontalCentered="1"/>
  <pageMargins left="1" right="1" top="1" bottom="1" header="0.5" footer="0.5"/>
  <pageSetup scale="7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7"/>
  <sheetViews>
    <sheetView tabSelected="1" view="pageBreakPreview" topLeftCell="D30" zoomScale="82" zoomScaleNormal="70" zoomScaleSheetLayoutView="82" zoomScalePageLayoutView="55" workbookViewId="0">
      <selection activeCell="E21" sqref="E21"/>
    </sheetView>
  </sheetViews>
  <sheetFormatPr defaultColWidth="8.81640625" defaultRowHeight="14.5"/>
  <cols>
    <col min="1" max="1" width="6.81640625" style="64" bestFit="1" customWidth="1"/>
    <col min="2" max="2" width="28.1796875" style="64" customWidth="1"/>
    <col min="3" max="3" width="21.453125" style="64" bestFit="1" customWidth="1"/>
    <col min="4" max="4" width="20.7265625" style="64" customWidth="1"/>
    <col min="5" max="6" width="18.81640625" style="64" bestFit="1" customWidth="1"/>
    <col min="7" max="7" width="20" style="64" customWidth="1"/>
    <col min="8" max="8" width="20.1796875" style="64" customWidth="1"/>
    <col min="9" max="9" width="19.453125" style="64" customWidth="1"/>
    <col min="10" max="10" width="21.81640625" style="64" customWidth="1"/>
    <col min="11" max="11" width="20.453125" style="64" customWidth="1"/>
    <col min="12" max="12" width="20.1796875" style="64" customWidth="1"/>
    <col min="13" max="13" width="18.54296875" style="64" bestFit="1" customWidth="1"/>
    <col min="14" max="15" width="18.81640625" style="64" bestFit="1" customWidth="1"/>
    <col min="16" max="16" width="18.81640625" style="64" customWidth="1"/>
    <col min="17" max="17" width="6.81640625" style="64" bestFit="1" customWidth="1"/>
    <col min="18" max="16384" width="8.81640625" style="64"/>
  </cols>
  <sheetData>
    <row r="1" spans="1:17">
      <c r="B1" s="86" t="s">
        <v>18</v>
      </c>
      <c r="O1" s="15"/>
      <c r="P1" s="15" t="str">
        <f>CONCATENATE("Prior Year: ",'1-BaseTRR'!$G$2)</f>
        <v>Prior Year: 2020</v>
      </c>
    </row>
    <row r="2" spans="1:17">
      <c r="B2" s="42" t="s">
        <v>130</v>
      </c>
      <c r="C2" s="87"/>
      <c r="D2" s="87"/>
      <c r="O2" s="15"/>
    </row>
    <row r="3" spans="1:17">
      <c r="B3" s="12"/>
    </row>
    <row r="4" spans="1:17">
      <c r="A4" s="71"/>
      <c r="B4" s="84" t="s">
        <v>350</v>
      </c>
      <c r="C4" s="76"/>
      <c r="D4" s="76"/>
      <c r="E4" s="76"/>
      <c r="F4" s="76"/>
      <c r="G4" s="76"/>
      <c r="H4" s="76"/>
      <c r="I4" s="76"/>
      <c r="J4" s="76"/>
      <c r="K4" s="76"/>
      <c r="L4" s="76"/>
      <c r="M4" s="76"/>
      <c r="N4" s="76"/>
      <c r="O4" s="76"/>
      <c r="P4" s="76"/>
    </row>
    <row r="5" spans="1:17">
      <c r="A5" s="71"/>
      <c r="B5" s="808" t="s">
        <v>585</v>
      </c>
      <c r="C5" s="808"/>
      <c r="D5" s="808"/>
      <c r="E5" s="808"/>
      <c r="F5" s="808"/>
      <c r="G5" s="808"/>
      <c r="H5" s="808"/>
      <c r="I5" s="808"/>
      <c r="J5" s="808"/>
      <c r="K5" s="808"/>
      <c r="L5" s="808"/>
      <c r="M5" s="808"/>
      <c r="N5" s="808"/>
      <c r="O5" s="808"/>
      <c r="P5" s="808"/>
    </row>
    <row r="6" spans="1:17">
      <c r="A6" s="71"/>
      <c r="B6" s="73"/>
      <c r="C6" s="76"/>
      <c r="D6" s="76"/>
      <c r="E6" s="76"/>
      <c r="F6" s="76"/>
      <c r="G6" s="76"/>
      <c r="H6" s="76"/>
      <c r="I6" s="76"/>
      <c r="J6" s="76"/>
      <c r="K6" s="76"/>
      <c r="L6" s="76"/>
      <c r="M6" s="76"/>
      <c r="N6" s="76"/>
      <c r="O6" s="76"/>
      <c r="P6" s="76"/>
    </row>
    <row r="7" spans="1:17">
      <c r="B7" s="12"/>
    </row>
    <row r="8" spans="1:17">
      <c r="C8" s="88" t="s">
        <v>413</v>
      </c>
      <c r="D8" s="88" t="s">
        <v>414</v>
      </c>
      <c r="E8" s="88" t="s">
        <v>415</v>
      </c>
      <c r="F8" s="88" t="s">
        <v>416</v>
      </c>
      <c r="G8" s="88" t="s">
        <v>417</v>
      </c>
      <c r="H8" s="88" t="s">
        <v>418</v>
      </c>
      <c r="I8" s="88" t="s">
        <v>419</v>
      </c>
      <c r="J8" s="88" t="s">
        <v>420</v>
      </c>
      <c r="K8" s="88" t="s">
        <v>451</v>
      </c>
      <c r="L8" s="88" t="s">
        <v>586</v>
      </c>
      <c r="M8" s="88" t="s">
        <v>587</v>
      </c>
      <c r="N8" s="88" t="s">
        <v>588</v>
      </c>
      <c r="O8" s="88" t="s">
        <v>589</v>
      </c>
      <c r="P8" s="88" t="s">
        <v>590</v>
      </c>
    </row>
    <row r="9" spans="1:17">
      <c r="C9" s="89" t="s">
        <v>591</v>
      </c>
      <c r="D9" s="90" t="s">
        <v>470</v>
      </c>
      <c r="E9" s="70" t="s">
        <v>472</v>
      </c>
      <c r="F9" s="70" t="s">
        <v>473</v>
      </c>
      <c r="G9" s="70" t="s">
        <v>474</v>
      </c>
      <c r="H9" s="70" t="s">
        <v>475</v>
      </c>
      <c r="I9" s="70" t="s">
        <v>437</v>
      </c>
      <c r="J9" s="70" t="s">
        <v>592</v>
      </c>
      <c r="K9" s="70" t="s">
        <v>477</v>
      </c>
      <c r="L9" s="70" t="s">
        <v>478</v>
      </c>
      <c r="M9" s="70" t="s">
        <v>480</v>
      </c>
      <c r="N9" s="70" t="s">
        <v>481</v>
      </c>
      <c r="O9" s="70" t="s">
        <v>482</v>
      </c>
      <c r="P9" s="70" t="s">
        <v>470</v>
      </c>
    </row>
    <row r="10" spans="1:17">
      <c r="A10" s="91"/>
      <c r="B10" s="91"/>
      <c r="C10" s="70" t="s">
        <v>593</v>
      </c>
      <c r="D10" s="70">
        <f>'1-BaseTRR'!G2-1</f>
        <v>2019</v>
      </c>
      <c r="E10" s="70">
        <f>'1-BaseTRR'!$G$2</f>
        <v>2020</v>
      </c>
      <c r="F10" s="70">
        <f>'1-BaseTRR'!$G$2</f>
        <v>2020</v>
      </c>
      <c r="G10" s="70">
        <f>'1-BaseTRR'!$G$2</f>
        <v>2020</v>
      </c>
      <c r="H10" s="70">
        <f>'1-BaseTRR'!$G$2</f>
        <v>2020</v>
      </c>
      <c r="I10" s="70">
        <f>'1-BaseTRR'!$G$2</f>
        <v>2020</v>
      </c>
      <c r="J10" s="70">
        <f>'1-BaseTRR'!$G$2</f>
        <v>2020</v>
      </c>
      <c r="K10" s="70">
        <f>'1-BaseTRR'!$G$2</f>
        <v>2020</v>
      </c>
      <c r="L10" s="70">
        <f>'1-BaseTRR'!$G$2</f>
        <v>2020</v>
      </c>
      <c r="M10" s="70">
        <f>'1-BaseTRR'!$G$2</f>
        <v>2020</v>
      </c>
      <c r="N10" s="70">
        <f>'1-BaseTRR'!$G$2</f>
        <v>2020</v>
      </c>
      <c r="O10" s="70">
        <f>'1-BaseTRR'!$G$2</f>
        <v>2020</v>
      </c>
      <c r="P10" s="70">
        <f>'1-BaseTRR'!$G$2</f>
        <v>2020</v>
      </c>
    </row>
    <row r="11" spans="1:17">
      <c r="B11" s="92" t="s">
        <v>6</v>
      </c>
      <c r="C11" s="89"/>
      <c r="D11" s="90"/>
      <c r="E11" s="70"/>
      <c r="F11" s="70"/>
      <c r="G11" s="70"/>
      <c r="H11" s="70"/>
      <c r="I11" s="70"/>
      <c r="J11" s="70"/>
      <c r="K11" s="70"/>
      <c r="L11" s="70"/>
      <c r="M11" s="70"/>
      <c r="N11" s="70"/>
      <c r="O11" s="70"/>
      <c r="P11" s="70"/>
    </row>
    <row r="12" spans="1:17">
      <c r="A12" s="13" t="s">
        <v>99</v>
      </c>
      <c r="B12" s="84" t="s">
        <v>594</v>
      </c>
      <c r="D12" s="90"/>
      <c r="E12" s="93"/>
      <c r="F12" s="93"/>
      <c r="G12" s="93"/>
      <c r="H12" s="93"/>
      <c r="I12" s="93"/>
      <c r="J12" s="93"/>
      <c r="K12" s="93"/>
      <c r="L12" s="93"/>
      <c r="M12" s="93"/>
      <c r="N12" s="93"/>
      <c r="O12" s="93"/>
      <c r="P12" s="93"/>
      <c r="Q12" s="13" t="str">
        <f>A12</f>
        <v>Line</v>
      </c>
    </row>
    <row r="13" spans="1:17">
      <c r="A13" s="71">
        <v>100</v>
      </c>
      <c r="B13" s="71"/>
      <c r="C13" s="24">
        <f>SUM(D13:P13)/13</f>
        <v>26568531596.704617</v>
      </c>
      <c r="D13" s="712">
        <v>19887100000</v>
      </c>
      <c r="E13" s="708">
        <v>20387100000</v>
      </c>
      <c r="F13" s="708">
        <v>20387100000</v>
      </c>
      <c r="G13" s="708">
        <v>20387100000</v>
      </c>
      <c r="H13" s="708">
        <v>20387100000</v>
      </c>
      <c r="I13" s="708">
        <v>20387100000</v>
      </c>
      <c r="J13" s="708">
        <v>32450670757.16</v>
      </c>
      <c r="K13" s="708">
        <v>31852940000</v>
      </c>
      <c r="L13" s="708">
        <v>31852940000</v>
      </c>
      <c r="M13" s="708">
        <v>31852940000</v>
      </c>
      <c r="N13" s="708">
        <v>31852940000</v>
      </c>
      <c r="O13" s="708">
        <v>31852940000</v>
      </c>
      <c r="P13" s="708">
        <v>31852940000</v>
      </c>
      <c r="Q13" s="71">
        <f>A13</f>
        <v>100</v>
      </c>
    </row>
    <row r="14" spans="1:17">
      <c r="A14" s="71"/>
      <c r="B14" s="84" t="s">
        <v>595</v>
      </c>
      <c r="C14" s="82"/>
      <c r="D14" s="82"/>
      <c r="E14" s="82"/>
      <c r="F14" s="82"/>
      <c r="G14" s="82"/>
      <c r="H14" s="82"/>
      <c r="I14" s="82"/>
      <c r="J14" s="82"/>
      <c r="K14" s="82"/>
      <c r="L14" s="82"/>
      <c r="M14" s="82"/>
      <c r="N14" s="82"/>
      <c r="O14" s="82"/>
      <c r="P14" s="82"/>
      <c r="Q14" s="71"/>
    </row>
    <row r="15" spans="1:17">
      <c r="A15" s="71">
        <f>A13+1</f>
        <v>101</v>
      </c>
      <c r="B15" s="29"/>
      <c r="C15" s="24">
        <f>SUM(D15:P15)/13</f>
        <v>0</v>
      </c>
      <c r="D15" s="46">
        <v>0</v>
      </c>
      <c r="E15" s="46">
        <v>0</v>
      </c>
      <c r="F15" s="46">
        <v>0</v>
      </c>
      <c r="G15" s="46">
        <v>0</v>
      </c>
      <c r="H15" s="46">
        <v>0</v>
      </c>
      <c r="I15" s="46">
        <v>0</v>
      </c>
      <c r="J15" s="46">
        <v>0</v>
      </c>
      <c r="K15" s="46">
        <v>0</v>
      </c>
      <c r="L15" s="46">
        <v>0</v>
      </c>
      <c r="M15" s="46">
        <v>0</v>
      </c>
      <c r="N15" s="46">
        <v>0</v>
      </c>
      <c r="O15" s="46">
        <v>0</v>
      </c>
      <c r="P15" s="46">
        <v>0</v>
      </c>
      <c r="Q15" s="71">
        <f>A15</f>
        <v>101</v>
      </c>
    </row>
    <row r="16" spans="1:17">
      <c r="A16" s="71"/>
      <c r="B16" s="84" t="s">
        <v>596</v>
      </c>
      <c r="C16" s="82"/>
      <c r="D16" s="82"/>
      <c r="E16" s="82"/>
      <c r="F16" s="82"/>
      <c r="G16" s="82"/>
      <c r="H16" s="82"/>
      <c r="I16" s="82"/>
      <c r="J16" s="82"/>
      <c r="K16" s="82"/>
      <c r="L16" s="82"/>
      <c r="M16" s="82"/>
      <c r="N16" s="82"/>
      <c r="O16" s="82"/>
      <c r="P16" s="82"/>
      <c r="Q16" s="71"/>
    </row>
    <row r="17" spans="1:17">
      <c r="A17" s="71">
        <f>A15+1</f>
        <v>102</v>
      </c>
      <c r="B17" s="86"/>
      <c r="C17" s="24">
        <f>SUM(D17:P17)/13</f>
        <v>0</v>
      </c>
      <c r="D17" s="46">
        <v>0</v>
      </c>
      <c r="E17" s="46">
        <v>0</v>
      </c>
      <c r="F17" s="46">
        <v>0</v>
      </c>
      <c r="G17" s="46">
        <v>0</v>
      </c>
      <c r="H17" s="46">
        <v>0</v>
      </c>
      <c r="I17" s="46">
        <v>0</v>
      </c>
      <c r="J17" s="46">
        <v>0</v>
      </c>
      <c r="K17" s="46">
        <v>0</v>
      </c>
      <c r="L17" s="46">
        <v>0</v>
      </c>
      <c r="M17" s="46">
        <v>0</v>
      </c>
      <c r="N17" s="46">
        <v>0</v>
      </c>
      <c r="O17" s="46">
        <v>0</v>
      </c>
      <c r="P17" s="46">
        <v>0</v>
      </c>
      <c r="Q17" s="71">
        <f>A17</f>
        <v>102</v>
      </c>
    </row>
    <row r="18" spans="1:17">
      <c r="A18" s="71"/>
      <c r="B18" s="84" t="s">
        <v>597</v>
      </c>
      <c r="C18" s="82"/>
      <c r="D18" s="82"/>
      <c r="E18" s="82"/>
      <c r="F18" s="82"/>
      <c r="G18" s="82"/>
      <c r="H18" s="82"/>
      <c r="I18" s="82"/>
      <c r="J18" s="82"/>
      <c r="K18" s="82"/>
      <c r="L18" s="82"/>
      <c r="M18" s="82"/>
      <c r="N18" s="82"/>
      <c r="O18" s="82"/>
      <c r="P18" s="82"/>
      <c r="Q18" s="71"/>
    </row>
    <row r="19" spans="1:17">
      <c r="A19" s="71">
        <f>A17+1</f>
        <v>103</v>
      </c>
      <c r="B19" s="71"/>
      <c r="C19" s="24">
        <f>SUM(D19:P19)/13</f>
        <v>0</v>
      </c>
      <c r="D19" s="46">
        <v>0</v>
      </c>
      <c r="E19" s="46">
        <v>0</v>
      </c>
      <c r="F19" s="46">
        <v>0</v>
      </c>
      <c r="G19" s="46">
        <v>0</v>
      </c>
      <c r="H19" s="46">
        <v>0</v>
      </c>
      <c r="I19" s="46">
        <v>0</v>
      </c>
      <c r="J19" s="46">
        <v>0</v>
      </c>
      <c r="K19" s="46">
        <v>0</v>
      </c>
      <c r="L19" s="46">
        <v>0</v>
      </c>
      <c r="M19" s="46">
        <v>0</v>
      </c>
      <c r="N19" s="46">
        <v>0</v>
      </c>
      <c r="O19" s="46">
        <v>0</v>
      </c>
      <c r="P19" s="46">
        <v>0</v>
      </c>
      <c r="Q19" s="71">
        <f>A19</f>
        <v>103</v>
      </c>
    </row>
    <row r="20" spans="1:17">
      <c r="A20" s="71"/>
      <c r="B20" s="84" t="s">
        <v>598</v>
      </c>
      <c r="C20" s="82"/>
      <c r="D20" s="82"/>
      <c r="E20" s="82"/>
      <c r="F20" s="82"/>
      <c r="G20" s="82"/>
      <c r="H20" s="82"/>
      <c r="I20" s="82"/>
      <c r="J20" s="82"/>
      <c r="K20" s="82"/>
      <c r="L20" s="82"/>
      <c r="M20" s="82"/>
      <c r="N20" s="82"/>
      <c r="O20" s="82"/>
      <c r="P20" s="82"/>
      <c r="Q20" s="71"/>
    </row>
    <row r="21" spans="1:17">
      <c r="A21" s="71">
        <f>A19+1</f>
        <v>104</v>
      </c>
      <c r="C21" s="24">
        <f>SUM(D21:P21)/13</f>
        <v>0</v>
      </c>
      <c r="D21" s="708">
        <v>0</v>
      </c>
      <c r="E21" s="46">
        <v>0</v>
      </c>
      <c r="F21" s="46">
        <v>0</v>
      </c>
      <c r="G21" s="46">
        <v>0</v>
      </c>
      <c r="H21" s="46">
        <v>0</v>
      </c>
      <c r="I21" s="46">
        <v>0</v>
      </c>
      <c r="J21" s="46">
        <v>0</v>
      </c>
      <c r="K21" s="46">
        <v>0</v>
      </c>
      <c r="L21" s="46">
        <v>0</v>
      </c>
      <c r="M21" s="46">
        <v>0</v>
      </c>
      <c r="N21" s="46">
        <v>0</v>
      </c>
      <c r="O21" s="46">
        <v>0</v>
      </c>
      <c r="P21" s="46">
        <v>0</v>
      </c>
      <c r="Q21" s="71">
        <f>A21</f>
        <v>104</v>
      </c>
    </row>
    <row r="22" spans="1:17">
      <c r="A22" s="71"/>
      <c r="B22" s="84" t="s">
        <v>599</v>
      </c>
      <c r="C22" s="82"/>
      <c r="D22" s="82"/>
      <c r="E22" s="82"/>
      <c r="F22" s="82"/>
      <c r="G22" s="82"/>
      <c r="H22" s="82"/>
      <c r="I22" s="82"/>
      <c r="J22" s="82"/>
      <c r="K22" s="82"/>
      <c r="L22" s="82"/>
      <c r="M22" s="82"/>
      <c r="N22" s="82"/>
      <c r="O22" s="82"/>
      <c r="P22" s="82"/>
      <c r="Q22" s="71"/>
    </row>
    <row r="23" spans="1:17">
      <c r="A23" s="71">
        <f>A21+1</f>
        <v>105</v>
      </c>
      <c r="B23" s="94"/>
      <c r="C23" s="24">
        <f>SUM(D23:P23)/13</f>
        <v>11248063.806923078</v>
      </c>
      <c r="D23" s="708">
        <v>0</v>
      </c>
      <c r="E23" s="46">
        <v>0</v>
      </c>
      <c r="F23" s="46">
        <v>0</v>
      </c>
      <c r="G23" s="46">
        <v>0</v>
      </c>
      <c r="H23" s="46">
        <v>0</v>
      </c>
      <c r="I23" s="46">
        <v>0</v>
      </c>
      <c r="J23" s="46">
        <v>21187284.449999999</v>
      </c>
      <c r="K23" s="46">
        <v>21088620.550000001</v>
      </c>
      <c r="L23" s="46">
        <v>20982846.77</v>
      </c>
      <c r="M23" s="46">
        <v>20884182.870000001</v>
      </c>
      <c r="N23" s="46">
        <v>20792628.850000001</v>
      </c>
      <c r="O23" s="46">
        <v>20693964.949999999</v>
      </c>
      <c r="P23" s="46">
        <v>20595301.050000001</v>
      </c>
      <c r="Q23" s="71">
        <f>A23</f>
        <v>105</v>
      </c>
    </row>
    <row r="24" spans="1:17">
      <c r="B24" s="92" t="s">
        <v>600</v>
      </c>
      <c r="C24" s="82"/>
      <c r="D24" s="82"/>
      <c r="E24" s="82"/>
      <c r="F24" s="82"/>
      <c r="G24" s="82"/>
      <c r="H24" s="82"/>
      <c r="I24" s="82"/>
      <c r="J24" s="82"/>
      <c r="K24" s="82"/>
      <c r="L24" s="82"/>
      <c r="M24" s="82"/>
      <c r="N24" s="82"/>
      <c r="O24" s="82"/>
      <c r="P24" s="82"/>
      <c r="Q24" s="71"/>
    </row>
    <row r="25" spans="1:17">
      <c r="A25" s="71">
        <f>A23+1</f>
        <v>106</v>
      </c>
      <c r="B25" s="86"/>
      <c r="C25" s="24">
        <f>SUM(D25:P25)/13</f>
        <v>77228651.391538471</v>
      </c>
      <c r="D25" s="46">
        <v>693997.76</v>
      </c>
      <c r="E25" s="708">
        <v>693997.76</v>
      </c>
      <c r="F25" s="708">
        <v>3806393.38</v>
      </c>
      <c r="G25" s="46">
        <v>2246643.38</v>
      </c>
      <c r="H25" s="46">
        <v>2263307.84</v>
      </c>
      <c r="I25" s="46">
        <v>2246643.38</v>
      </c>
      <c r="J25" s="46">
        <v>22477425.719999991</v>
      </c>
      <c r="K25" s="46">
        <v>167482910.40000001</v>
      </c>
      <c r="L25" s="46">
        <v>165521022.37</v>
      </c>
      <c r="M25" s="46">
        <v>163207155.77000001</v>
      </c>
      <c r="N25" s="46">
        <v>159418695.47</v>
      </c>
      <c r="O25" s="46">
        <v>158867955</v>
      </c>
      <c r="P25" s="46">
        <v>155046319.86000001</v>
      </c>
      <c r="Q25" s="71">
        <f>A25</f>
        <v>106</v>
      </c>
    </row>
    <row r="26" spans="1:17">
      <c r="A26" s="71"/>
      <c r="B26" s="92" t="s">
        <v>601</v>
      </c>
      <c r="C26" s="82"/>
      <c r="D26" s="82"/>
      <c r="E26" s="82"/>
      <c r="F26" s="82"/>
      <c r="G26" s="82"/>
      <c r="H26" s="82"/>
      <c r="I26" s="82"/>
      <c r="J26" s="82"/>
      <c r="K26" s="82"/>
      <c r="L26" s="82"/>
      <c r="M26" s="82"/>
      <c r="N26" s="82"/>
      <c r="O26" s="82"/>
      <c r="P26" s="82"/>
      <c r="Q26" s="71"/>
    </row>
    <row r="27" spans="1:17">
      <c r="A27" s="71">
        <f>A25+1</f>
        <v>107</v>
      </c>
      <c r="B27" s="94"/>
      <c r="C27" s="24">
        <f>SUM(D27:P27)/13</f>
        <v>69899104.299230754</v>
      </c>
      <c r="D27" s="46">
        <v>77021590.980000004</v>
      </c>
      <c r="E27" s="46">
        <v>75778395.609999999</v>
      </c>
      <c r="F27" s="46">
        <v>74574858.859999999</v>
      </c>
      <c r="G27" s="46">
        <v>73371322.109999999</v>
      </c>
      <c r="H27" s="46">
        <v>72167785.329999998</v>
      </c>
      <c r="I27" s="46">
        <v>70997665.480000004</v>
      </c>
      <c r="J27" s="46">
        <v>69827545.530000001</v>
      </c>
      <c r="K27" s="46">
        <v>68657425.650000006</v>
      </c>
      <c r="L27" s="46">
        <v>67523875.439999998</v>
      </c>
      <c r="M27" s="46">
        <v>66390325.18</v>
      </c>
      <c r="N27" s="46">
        <v>65256774.899999999</v>
      </c>
      <c r="O27" s="46">
        <v>64123224.640000001</v>
      </c>
      <c r="P27" s="46">
        <v>62997566.18</v>
      </c>
      <c r="Q27" s="71">
        <f>A27</f>
        <v>107</v>
      </c>
    </row>
    <row r="28" spans="1:17">
      <c r="B28" s="84" t="s">
        <v>602</v>
      </c>
      <c r="C28" s="82"/>
      <c r="D28" s="82"/>
      <c r="E28" s="82"/>
      <c r="F28" s="82"/>
      <c r="G28" s="82"/>
      <c r="H28" s="82"/>
      <c r="I28" s="82"/>
      <c r="J28" s="82"/>
      <c r="K28" s="82"/>
      <c r="L28" s="82"/>
      <c r="M28" s="82"/>
      <c r="N28" s="82"/>
      <c r="O28" s="82"/>
      <c r="P28" s="82"/>
      <c r="Q28" s="71"/>
    </row>
    <row r="29" spans="1:17">
      <c r="A29" s="71">
        <f>A27+1</f>
        <v>108</v>
      </c>
      <c r="B29" s="71"/>
      <c r="C29" s="24">
        <f>SUM(D29:P29)/13</f>
        <v>257994575</v>
      </c>
      <c r="D29" s="46">
        <v>257994575</v>
      </c>
      <c r="E29" s="46">
        <v>257994575</v>
      </c>
      <c r="F29" s="46">
        <v>257994575</v>
      </c>
      <c r="G29" s="46">
        <v>257994575</v>
      </c>
      <c r="H29" s="46">
        <v>257994575</v>
      </c>
      <c r="I29" s="46">
        <v>257994575</v>
      </c>
      <c r="J29" s="46">
        <v>257994575</v>
      </c>
      <c r="K29" s="46">
        <v>257994575</v>
      </c>
      <c r="L29" s="46">
        <v>257994575</v>
      </c>
      <c r="M29" s="46">
        <v>257994575</v>
      </c>
      <c r="N29" s="46">
        <v>257994575</v>
      </c>
      <c r="O29" s="46">
        <v>257994575</v>
      </c>
      <c r="P29" s="46">
        <v>257994575</v>
      </c>
      <c r="Q29" s="71">
        <f>A29</f>
        <v>108</v>
      </c>
    </row>
    <row r="30" spans="1:17">
      <c r="A30" s="71"/>
      <c r="B30" s="84" t="s">
        <v>603</v>
      </c>
      <c r="C30" s="82"/>
      <c r="D30" s="82"/>
      <c r="E30" s="82"/>
      <c r="F30" s="82"/>
      <c r="G30" s="82"/>
      <c r="H30" s="82"/>
      <c r="I30" s="82"/>
      <c r="J30" s="82"/>
      <c r="K30" s="82"/>
      <c r="L30" s="82"/>
      <c r="M30" s="82"/>
      <c r="N30" s="82"/>
      <c r="O30" s="82"/>
      <c r="P30" s="82"/>
      <c r="Q30" s="71"/>
    </row>
    <row r="31" spans="1:17">
      <c r="A31" s="71">
        <f>A29+1</f>
        <v>109</v>
      </c>
      <c r="B31" s="71"/>
      <c r="C31" s="24">
        <f>SUM(D31:P31)/13</f>
        <v>-5940274.6800000006</v>
      </c>
      <c r="D31" s="46">
        <v>-5940274.6799999997</v>
      </c>
      <c r="E31" s="46">
        <v>-5940274.6799999997</v>
      </c>
      <c r="F31" s="46">
        <v>-5940274.6799999997</v>
      </c>
      <c r="G31" s="46">
        <v>-5940274.6799999997</v>
      </c>
      <c r="H31" s="46">
        <v>-5940274.6799999997</v>
      </c>
      <c r="I31" s="46">
        <v>-5940274.6799999997</v>
      </c>
      <c r="J31" s="46">
        <v>-5940274.6799999997</v>
      </c>
      <c r="K31" s="46">
        <v>-5940274.6799999997</v>
      </c>
      <c r="L31" s="46">
        <v>-5940274.6799999997</v>
      </c>
      <c r="M31" s="46">
        <v>-5940274.6799999997</v>
      </c>
      <c r="N31" s="46">
        <v>-5940274.6799999997</v>
      </c>
      <c r="O31" s="46">
        <v>-5940274.6799999997</v>
      </c>
      <c r="P31" s="46">
        <v>-5940274.6799999997</v>
      </c>
      <c r="Q31" s="71">
        <f>A31</f>
        <v>109</v>
      </c>
    </row>
    <row r="32" spans="1:17">
      <c r="A32" s="71"/>
      <c r="B32" s="84" t="s">
        <v>604</v>
      </c>
      <c r="C32" s="82"/>
      <c r="D32" s="82"/>
      <c r="E32" s="82"/>
      <c r="F32" s="82"/>
      <c r="G32" s="82"/>
      <c r="H32" s="82"/>
      <c r="I32" s="82"/>
      <c r="J32" s="82"/>
      <c r="K32" s="82"/>
      <c r="L32" s="82"/>
      <c r="M32" s="82"/>
      <c r="N32" s="82"/>
      <c r="O32" s="82"/>
      <c r="P32" s="82"/>
      <c r="Q32" s="71"/>
    </row>
    <row r="33" spans="1:17">
      <c r="A33" s="71">
        <f>A31+1</f>
        <v>110</v>
      </c>
      <c r="B33" s="71"/>
      <c r="C33" s="24">
        <f>SUM(D33:P33)/13</f>
        <v>0</v>
      </c>
      <c r="D33" s="46">
        <v>0</v>
      </c>
      <c r="E33" s="46">
        <v>0</v>
      </c>
      <c r="F33" s="46">
        <v>0</v>
      </c>
      <c r="G33" s="46">
        <v>0</v>
      </c>
      <c r="H33" s="46">
        <v>0</v>
      </c>
      <c r="I33" s="46">
        <v>0</v>
      </c>
      <c r="J33" s="46">
        <v>0</v>
      </c>
      <c r="K33" s="46">
        <v>0</v>
      </c>
      <c r="L33" s="46">
        <v>0</v>
      </c>
      <c r="M33" s="46">
        <v>0</v>
      </c>
      <c r="N33" s="46">
        <v>0</v>
      </c>
      <c r="O33" s="46">
        <v>0</v>
      </c>
      <c r="P33" s="46">
        <v>0</v>
      </c>
      <c r="Q33" s="71">
        <f>A33</f>
        <v>110</v>
      </c>
    </row>
    <row r="34" spans="1:17">
      <c r="B34" s="84" t="s">
        <v>605</v>
      </c>
      <c r="C34" s="568"/>
      <c r="D34" s="568"/>
      <c r="E34" s="568"/>
      <c r="F34" s="568"/>
      <c r="G34" s="568"/>
      <c r="H34" s="568"/>
      <c r="I34" s="568"/>
      <c r="J34" s="568"/>
      <c r="K34" s="568"/>
      <c r="L34" s="568"/>
      <c r="M34" s="568"/>
      <c r="N34" s="568"/>
      <c r="O34" s="568"/>
      <c r="P34" s="568"/>
      <c r="Q34" s="71"/>
    </row>
    <row r="35" spans="1:17">
      <c r="A35" s="71">
        <f>+A33+1</f>
        <v>111</v>
      </c>
      <c r="B35" s="71"/>
      <c r="C35" s="24">
        <f>SUM(D35:P35)/13</f>
        <v>14738353553.773079</v>
      </c>
      <c r="D35" s="686">
        <v>5335417183.5399981</v>
      </c>
      <c r="E35" s="686">
        <v>5498437876.3999996</v>
      </c>
      <c r="F35" s="686">
        <v>5665597407.4699993</v>
      </c>
      <c r="G35" s="686">
        <v>5786426382.4399986</v>
      </c>
      <c r="H35" s="686">
        <v>5908699539.5199986</v>
      </c>
      <c r="I35" s="686">
        <v>6091863785.8399992</v>
      </c>
      <c r="J35" s="686">
        <v>5313963189.6199999</v>
      </c>
      <c r="K35" s="686">
        <v>25283200187.450001</v>
      </c>
      <c r="L35" s="686">
        <v>25291386374.950001</v>
      </c>
      <c r="M35" s="686">
        <v>25220469141.670002</v>
      </c>
      <c r="N35" s="686">
        <v>25320053063.700001</v>
      </c>
      <c r="O35" s="686">
        <v>25406313239.190002</v>
      </c>
      <c r="P35" s="686">
        <v>25476768827.259998</v>
      </c>
      <c r="Q35" s="71">
        <f>A35</f>
        <v>111</v>
      </c>
    </row>
    <row r="36" spans="1:17">
      <c r="A36" s="71"/>
      <c r="B36" s="84" t="s">
        <v>606</v>
      </c>
      <c r="C36" s="82"/>
      <c r="D36" s="82"/>
      <c r="E36" s="82"/>
      <c r="F36" s="82"/>
      <c r="G36" s="82"/>
      <c r="H36" s="82"/>
      <c r="I36" s="82"/>
      <c r="J36" s="82"/>
      <c r="K36" s="82"/>
      <c r="L36" s="82"/>
      <c r="M36" s="82"/>
      <c r="N36" s="82"/>
      <c r="O36" s="82"/>
      <c r="P36" s="82"/>
      <c r="Q36" s="71"/>
    </row>
    <row r="37" spans="1:17">
      <c r="A37" s="71">
        <f>+A35+1</f>
        <v>112</v>
      </c>
      <c r="B37" s="71"/>
      <c r="C37" s="24">
        <f>SUM(D37:P37)/13</f>
        <v>-57767087.987692319</v>
      </c>
      <c r="D37" s="708">
        <v>-59869210</v>
      </c>
      <c r="E37" s="46">
        <v>-59869209.740000002</v>
      </c>
      <c r="F37" s="46">
        <v>-59869209.740000002</v>
      </c>
      <c r="G37" s="46">
        <v>-59869209.740000002</v>
      </c>
      <c r="H37" s="46">
        <v>-59869209.740000002</v>
      </c>
      <c r="I37" s="46">
        <v>-59869209.740000002</v>
      </c>
      <c r="J37" s="46">
        <v>-59869209.740000002</v>
      </c>
      <c r="K37" s="46">
        <v>-59869209.740000002</v>
      </c>
      <c r="L37" s="46">
        <v>-59869209.740000002</v>
      </c>
      <c r="M37" s="46">
        <v>-59869209.740000002</v>
      </c>
      <c r="N37" s="46">
        <v>-59869209.740000002</v>
      </c>
      <c r="O37" s="46">
        <v>-59869209.740000002</v>
      </c>
      <c r="P37" s="708">
        <v>-32541626.699999999</v>
      </c>
      <c r="Q37" s="71">
        <f>A37</f>
        <v>112</v>
      </c>
    </row>
    <row r="38" spans="1:17">
      <c r="A38" s="71"/>
      <c r="B38" s="84" t="s">
        <v>607</v>
      </c>
      <c r="C38" s="82"/>
      <c r="D38" s="82"/>
      <c r="E38" s="82"/>
      <c r="F38" s="82"/>
      <c r="G38" s="82"/>
      <c r="H38" s="82"/>
      <c r="I38" s="82"/>
      <c r="J38" s="82"/>
      <c r="K38" s="82"/>
      <c r="L38" s="82"/>
      <c r="M38" s="82"/>
      <c r="N38" s="82"/>
      <c r="O38" s="82"/>
      <c r="P38" s="82"/>
      <c r="Q38" s="71"/>
    </row>
    <row r="39" spans="1:17">
      <c r="A39" s="71">
        <f>A37+1</f>
        <v>113</v>
      </c>
      <c r="B39" s="71"/>
      <c r="C39" s="24">
        <f>SUM(D39:P39)/13</f>
        <v>879254.87999999977</v>
      </c>
      <c r="D39" s="46">
        <v>1017788.79</v>
      </c>
      <c r="E39" s="46">
        <v>1075941.3</v>
      </c>
      <c r="F39" s="46">
        <v>1134093.81</v>
      </c>
      <c r="G39" s="46">
        <v>1192246.32</v>
      </c>
      <c r="H39" s="46">
        <v>1250398.83</v>
      </c>
      <c r="I39" s="46">
        <v>1308551.3400000001</v>
      </c>
      <c r="J39" s="46">
        <v>1366703.85</v>
      </c>
      <c r="K39" s="46">
        <v>1424856.36</v>
      </c>
      <c r="L39" s="46">
        <v>1483008.87</v>
      </c>
      <c r="M39" s="46">
        <v>1541161.38</v>
      </c>
      <c r="N39" s="46">
        <v>1599313.89</v>
      </c>
      <c r="O39" s="46">
        <v>1657466.4</v>
      </c>
      <c r="P39" s="46">
        <v>-4621217.7</v>
      </c>
      <c r="Q39" s="71">
        <f>A39</f>
        <v>113</v>
      </c>
    </row>
    <row r="40" spans="1:17">
      <c r="A40" s="71"/>
      <c r="B40" s="71"/>
      <c r="C40" s="76"/>
      <c r="D40" s="76"/>
      <c r="E40" s="76"/>
      <c r="F40" s="76"/>
      <c r="G40" s="76"/>
      <c r="H40" s="76"/>
      <c r="I40" s="76"/>
      <c r="J40" s="76"/>
      <c r="K40" s="76"/>
      <c r="L40" s="76"/>
      <c r="M40" s="76"/>
      <c r="N40" s="76"/>
      <c r="O40" s="76"/>
      <c r="P40" s="76"/>
    </row>
    <row r="41" spans="1:17">
      <c r="B41" s="16" t="s">
        <v>304</v>
      </c>
    </row>
    <row r="42" spans="1:17">
      <c r="B42" t="s">
        <v>608</v>
      </c>
      <c r="I42" s="65"/>
    </row>
    <row r="43" spans="1:17">
      <c r="B43" t="s">
        <v>609</v>
      </c>
    </row>
    <row r="44" spans="1:17">
      <c r="B44" t="s">
        <v>610</v>
      </c>
    </row>
    <row r="45" spans="1:17">
      <c r="B45" t="s">
        <v>611</v>
      </c>
    </row>
    <row r="46" spans="1:17">
      <c r="B46" t="s">
        <v>612</v>
      </c>
      <c r="C46" s="94"/>
    </row>
    <row r="47" spans="1:17">
      <c r="B47" t="s">
        <v>613</v>
      </c>
      <c r="C47" s="94"/>
    </row>
    <row r="48" spans="1:17">
      <c r="B48" t="s">
        <v>614</v>
      </c>
      <c r="C48" s="94"/>
    </row>
    <row r="49" spans="2:8">
      <c r="B49" t="s">
        <v>615</v>
      </c>
      <c r="C49" s="94"/>
    </row>
    <row r="50" spans="2:8">
      <c r="B50" s="64" t="s">
        <v>616</v>
      </c>
    </row>
    <row r="51" spans="2:8">
      <c r="B51" s="64" t="s">
        <v>617</v>
      </c>
    </row>
    <row r="52" spans="2:8">
      <c r="B52" s="64" t="s">
        <v>618</v>
      </c>
      <c r="H52" s="71"/>
    </row>
    <row r="53" spans="2:8">
      <c r="B53" s="64" t="s">
        <v>619</v>
      </c>
    </row>
    <row r="54" spans="2:8">
      <c r="B54" s="64" t="s">
        <v>620</v>
      </c>
    </row>
    <row r="55" spans="2:8">
      <c r="B55" s="64" t="s">
        <v>621</v>
      </c>
    </row>
    <row r="56" spans="2:8">
      <c r="B56" s="64" t="s">
        <v>622</v>
      </c>
    </row>
    <row r="57" spans="2:8">
      <c r="H57" s="480"/>
    </row>
  </sheetData>
  <mergeCells count="1">
    <mergeCell ref="B5:P5"/>
  </mergeCells>
  <printOptions horizontalCentered="1"/>
  <pageMargins left="1" right="1" top="1" bottom="1" header="0.5" footer="0.5"/>
  <pageSetup scale="3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0"/>
  <sheetViews>
    <sheetView tabSelected="1" view="pageBreakPreview" topLeftCell="A6" zoomScale="90" zoomScaleNormal="70" zoomScaleSheetLayoutView="90" zoomScalePageLayoutView="70" workbookViewId="0">
      <selection activeCell="E21" sqref="E21"/>
    </sheetView>
  </sheetViews>
  <sheetFormatPr defaultColWidth="9.1796875" defaultRowHeight="14.5"/>
  <cols>
    <col min="1" max="1" width="4.81640625" style="95" bestFit="1" customWidth="1"/>
    <col min="2" max="2" width="50.1796875" style="97" customWidth="1"/>
    <col min="3" max="3" width="17.81640625" style="99" customWidth="1"/>
    <col min="4" max="4" width="17.81640625" style="95" bestFit="1" customWidth="1"/>
    <col min="5" max="5" width="21.7265625" style="95" customWidth="1"/>
    <col min="6" max="6" width="24" style="95" bestFit="1" customWidth="1"/>
    <col min="7" max="7" width="44.453125" style="95" customWidth="1"/>
    <col min="8" max="8" width="6.7265625" style="95" bestFit="1" customWidth="1"/>
    <col min="9" max="9" width="29.1796875" style="95" bestFit="1" customWidth="1"/>
    <col min="10" max="10" width="17.81640625" style="95" bestFit="1" customWidth="1"/>
    <col min="11" max="11" width="13.453125" style="95" customWidth="1"/>
    <col min="12" max="12" width="10" style="95" bestFit="1" customWidth="1"/>
    <col min="13" max="14" width="15.54296875" style="95" customWidth="1"/>
    <col min="15" max="15" width="13.453125" style="95" customWidth="1"/>
    <col min="16" max="16384" width="9.1796875" style="95"/>
  </cols>
  <sheetData>
    <row r="1" spans="1:10">
      <c r="B1" s="96" t="s">
        <v>20</v>
      </c>
      <c r="C1" s="97"/>
      <c r="D1" s="97"/>
      <c r="E1" s="97"/>
      <c r="F1" s="97"/>
      <c r="G1" s="15" t="str">
        <f>CONCATENATE("Prior Year: ",'1-BaseTRR'!$G$2)</f>
        <v>Prior Year: 2020</v>
      </c>
      <c r="H1" s="97"/>
      <c r="J1" s="98"/>
    </row>
    <row r="2" spans="1:10">
      <c r="B2" s="42" t="s">
        <v>130</v>
      </c>
      <c r="C2" s="97"/>
      <c r="D2" s="97"/>
      <c r="E2" s="97"/>
      <c r="F2" s="97"/>
      <c r="H2" s="97"/>
      <c r="J2" s="98"/>
    </row>
    <row r="3" spans="1:10">
      <c r="A3" s="13"/>
      <c r="E3" s="13"/>
      <c r="F3" s="97"/>
      <c r="G3" s="97"/>
      <c r="H3" s="97"/>
      <c r="J3" s="98"/>
    </row>
    <row r="4" spans="1:10">
      <c r="B4" s="47" t="s">
        <v>623</v>
      </c>
      <c r="C4" s="47"/>
      <c r="D4" s="47"/>
      <c r="E4" s="47"/>
      <c r="F4" s="47"/>
      <c r="G4" s="47"/>
      <c r="H4" s="14"/>
      <c r="I4" s="97"/>
      <c r="J4" s="100"/>
    </row>
    <row r="5" spans="1:10">
      <c r="A5" s="13" t="s">
        <v>99</v>
      </c>
      <c r="B5" s="13" t="s">
        <v>6</v>
      </c>
      <c r="F5" s="13" t="s">
        <v>133</v>
      </c>
      <c r="G5" s="13" t="s">
        <v>134</v>
      </c>
      <c r="H5" s="13" t="s">
        <v>99</v>
      </c>
      <c r="I5" s="97"/>
      <c r="J5" s="98"/>
    </row>
    <row r="6" spans="1:10">
      <c r="A6" s="101"/>
      <c r="B6" s="102" t="s">
        <v>624</v>
      </c>
      <c r="C6" s="103"/>
      <c r="D6" s="97"/>
      <c r="E6" s="101"/>
      <c r="F6" s="97"/>
      <c r="G6" s="104"/>
      <c r="H6" s="101"/>
      <c r="I6" s="97"/>
      <c r="J6" s="98"/>
    </row>
    <row r="7" spans="1:10">
      <c r="A7" s="101">
        <v>100</v>
      </c>
      <c r="B7" s="98" t="s">
        <v>625</v>
      </c>
      <c r="C7" s="103"/>
      <c r="D7" s="97"/>
      <c r="E7" s="101"/>
      <c r="F7" s="494">
        <v>31852940000</v>
      </c>
      <c r="G7" s="97" t="s">
        <v>626</v>
      </c>
      <c r="H7" s="101">
        <f t="shared" ref="H7:H14" si="0">A7</f>
        <v>100</v>
      </c>
      <c r="I7" s="97"/>
      <c r="J7" s="98"/>
    </row>
    <row r="8" spans="1:10">
      <c r="A8" s="101">
        <f>A7+1</f>
        <v>101</v>
      </c>
      <c r="B8" s="98" t="s">
        <v>627</v>
      </c>
      <c r="C8" s="105"/>
      <c r="D8" s="106"/>
      <c r="E8" s="101"/>
      <c r="F8" s="494">
        <v>0</v>
      </c>
      <c r="G8" s="97" t="s">
        <v>628</v>
      </c>
      <c r="H8" s="101">
        <f t="shared" si="0"/>
        <v>101</v>
      </c>
      <c r="I8" s="97"/>
      <c r="J8" s="98"/>
    </row>
    <row r="9" spans="1:10">
      <c r="A9" s="101">
        <f t="shared" ref="A9:A14" si="1">A8+1</f>
        <v>102</v>
      </c>
      <c r="B9" s="98" t="s">
        <v>629</v>
      </c>
      <c r="C9" s="105"/>
      <c r="D9" s="106"/>
      <c r="E9" s="101"/>
      <c r="F9" s="494">
        <v>0</v>
      </c>
      <c r="G9" s="97" t="s">
        <v>630</v>
      </c>
      <c r="H9" s="101">
        <f t="shared" si="0"/>
        <v>102</v>
      </c>
      <c r="I9" s="97"/>
      <c r="J9" s="98"/>
    </row>
    <row r="10" spans="1:10">
      <c r="A10" s="101">
        <f t="shared" si="1"/>
        <v>103</v>
      </c>
      <c r="B10" s="98" t="s">
        <v>631</v>
      </c>
      <c r="C10" s="105"/>
      <c r="D10" s="106"/>
      <c r="E10" s="101"/>
      <c r="F10" s="494">
        <v>0</v>
      </c>
      <c r="G10" s="97" t="s">
        <v>632</v>
      </c>
      <c r="H10" s="101">
        <f t="shared" si="0"/>
        <v>103</v>
      </c>
      <c r="I10" s="97"/>
      <c r="J10" s="98"/>
    </row>
    <row r="11" spans="1:10">
      <c r="A11" s="101">
        <f t="shared" si="1"/>
        <v>104</v>
      </c>
      <c r="B11" s="98" t="s">
        <v>633</v>
      </c>
      <c r="C11" s="105"/>
      <c r="D11" s="106"/>
      <c r="E11" s="101"/>
      <c r="F11" s="494">
        <v>20595301.050000001</v>
      </c>
      <c r="G11" s="97" t="s">
        <v>634</v>
      </c>
      <c r="H11" s="101">
        <f t="shared" si="0"/>
        <v>104</v>
      </c>
      <c r="I11" s="97"/>
      <c r="J11" s="98"/>
    </row>
    <row r="12" spans="1:10">
      <c r="A12" s="101">
        <f t="shared" si="1"/>
        <v>105</v>
      </c>
      <c r="B12" s="98" t="s">
        <v>635</v>
      </c>
      <c r="C12" s="105"/>
      <c r="D12" s="106"/>
      <c r="E12" s="101"/>
      <c r="F12" s="494">
        <v>155046319.86000001</v>
      </c>
      <c r="G12" s="97" t="s">
        <v>636</v>
      </c>
      <c r="H12" s="101">
        <f t="shared" si="0"/>
        <v>105</v>
      </c>
      <c r="I12" s="97"/>
      <c r="J12" s="98"/>
    </row>
    <row r="13" spans="1:10">
      <c r="A13" s="101">
        <f t="shared" si="1"/>
        <v>106</v>
      </c>
      <c r="B13" s="98" t="s">
        <v>637</v>
      </c>
      <c r="C13" s="105"/>
      <c r="D13" s="106"/>
      <c r="E13" s="101"/>
      <c r="F13" s="495">
        <v>62997566.18</v>
      </c>
      <c r="G13" s="97" t="s">
        <v>638</v>
      </c>
      <c r="H13" s="101">
        <f t="shared" si="0"/>
        <v>106</v>
      </c>
      <c r="I13" s="97"/>
      <c r="J13" s="98"/>
    </row>
    <row r="14" spans="1:10">
      <c r="A14" s="101">
        <f t="shared" si="1"/>
        <v>107</v>
      </c>
      <c r="B14" s="573" t="s">
        <v>639</v>
      </c>
      <c r="C14" s="105"/>
      <c r="D14" s="106"/>
      <c r="E14" s="101"/>
      <c r="F14" s="497">
        <f>F7-F8+F9+F10-F11-F12-F13</f>
        <v>31614300812.91</v>
      </c>
      <c r="G14" s="97" t="str">
        <f>CONCATENATE("Lines ((",A7," + ",A9," + ",A10,") - (",A8," + ",A11," + ",A12," + ",A13," ))")</f>
        <v>Lines ((100 + 102 + 103) - (101 + 104 + 105 + 106 ))</v>
      </c>
      <c r="H14" s="101">
        <f t="shared" si="0"/>
        <v>107</v>
      </c>
      <c r="I14" s="108"/>
      <c r="J14" s="107"/>
    </row>
    <row r="15" spans="1:10">
      <c r="A15" s="101"/>
      <c r="B15" s="98"/>
      <c r="C15" s="105"/>
      <c r="D15" s="106"/>
      <c r="E15" s="101"/>
      <c r="F15" s="109"/>
      <c r="G15" s="97"/>
      <c r="H15" s="97"/>
      <c r="J15" s="98"/>
    </row>
    <row r="16" spans="1:10">
      <c r="A16" s="101"/>
      <c r="B16" s="102" t="s">
        <v>640</v>
      </c>
      <c r="C16" s="105"/>
      <c r="D16" s="106"/>
      <c r="E16" s="101"/>
      <c r="F16" s="109"/>
      <c r="G16" s="97"/>
      <c r="H16" s="97"/>
      <c r="J16" s="98"/>
    </row>
    <row r="17" spans="1:12">
      <c r="A17" s="101">
        <f>A14+1</f>
        <v>108</v>
      </c>
      <c r="B17" s="98" t="s">
        <v>641</v>
      </c>
      <c r="C17" s="105"/>
      <c r="D17" s="106"/>
      <c r="E17" s="101"/>
      <c r="F17" s="496">
        <v>909242061.60000002</v>
      </c>
      <c r="G17" s="97" t="s">
        <v>642</v>
      </c>
      <c r="H17" s="101">
        <f t="shared" ref="H17:H24" si="2">A17</f>
        <v>108</v>
      </c>
      <c r="J17" s="98"/>
    </row>
    <row r="18" spans="1:12">
      <c r="A18" s="101">
        <f>A17+1</f>
        <v>109</v>
      </c>
      <c r="B18" s="98" t="s">
        <v>643</v>
      </c>
      <c r="C18" s="105"/>
      <c r="D18" s="106"/>
      <c r="E18" s="101"/>
      <c r="F18" s="494">
        <v>48130347.140000001</v>
      </c>
      <c r="G18" s="97" t="s">
        <v>644</v>
      </c>
      <c r="H18" s="101">
        <f t="shared" si="2"/>
        <v>109</v>
      </c>
      <c r="J18" s="98"/>
    </row>
    <row r="19" spans="1:12">
      <c r="A19" s="101">
        <f t="shared" ref="A19:A22" si="3">A18+1</f>
        <v>110</v>
      </c>
      <c r="B19" s="98" t="s">
        <v>645</v>
      </c>
      <c r="C19" s="105"/>
      <c r="D19" s="106"/>
      <c r="E19" s="101"/>
      <c r="F19" s="494">
        <v>14024024.800000001</v>
      </c>
      <c r="G19" s="97" t="s">
        <v>646</v>
      </c>
      <c r="H19" s="101">
        <f t="shared" si="2"/>
        <v>110</v>
      </c>
      <c r="J19" s="98"/>
    </row>
    <row r="20" spans="1:12">
      <c r="A20" s="101">
        <f t="shared" si="3"/>
        <v>111</v>
      </c>
      <c r="B20" s="98" t="s">
        <v>647</v>
      </c>
      <c r="C20" s="105"/>
      <c r="D20" s="106"/>
      <c r="E20" s="101"/>
      <c r="F20" s="494">
        <v>743550.3</v>
      </c>
      <c r="G20" s="97" t="s">
        <v>648</v>
      </c>
      <c r="H20" s="101">
        <f t="shared" si="2"/>
        <v>111</v>
      </c>
      <c r="J20" s="98"/>
    </row>
    <row r="21" spans="1:12">
      <c r="A21" s="101">
        <f t="shared" si="3"/>
        <v>112</v>
      </c>
      <c r="B21" s="98" t="s">
        <v>649</v>
      </c>
      <c r="C21" s="105"/>
      <c r="D21" s="106"/>
      <c r="E21" s="101"/>
      <c r="F21" s="495">
        <v>142323.28</v>
      </c>
      <c r="G21" s="97" t="s">
        <v>650</v>
      </c>
      <c r="H21" s="101">
        <f t="shared" si="2"/>
        <v>112</v>
      </c>
      <c r="J21" s="98"/>
    </row>
    <row r="22" spans="1:12">
      <c r="A22" s="101">
        <f t="shared" si="3"/>
        <v>113</v>
      </c>
      <c r="B22" s="573" t="s">
        <v>651</v>
      </c>
      <c r="C22" s="105"/>
      <c r="D22" s="106"/>
      <c r="E22" s="101"/>
      <c r="F22" s="574">
        <f>+F17+F18+F19-F20-F21</f>
        <v>970510559.96000004</v>
      </c>
      <c r="G22" s="97" t="str">
        <f>CONCATENATE("Lines ((",A17," + ",A18," + ",A19,") - (",A20," + ",A21,"))")</f>
        <v>Lines ((108 + 109 + 110) - (111 + 112))</v>
      </c>
      <c r="H22" s="101">
        <f t="shared" si="2"/>
        <v>113</v>
      </c>
      <c r="J22" s="98"/>
    </row>
    <row r="23" spans="1:12">
      <c r="A23" s="101"/>
      <c r="B23" s="98"/>
      <c r="C23" s="105"/>
      <c r="D23" s="106"/>
      <c r="E23" s="101"/>
      <c r="F23" s="97"/>
      <c r="G23" s="97"/>
      <c r="H23" s="97"/>
      <c r="J23" s="98"/>
    </row>
    <row r="24" spans="1:12">
      <c r="A24" s="101">
        <f>A22+1</f>
        <v>114</v>
      </c>
      <c r="B24" s="575" t="s">
        <v>652</v>
      </c>
      <c r="C24" s="105"/>
      <c r="D24" s="106"/>
      <c r="E24" s="101"/>
      <c r="F24" s="749">
        <f>ROUND(F22/F14,4)</f>
        <v>3.0700000000000002E-2</v>
      </c>
      <c r="G24" s="97" t="str">
        <f>CONCATENATE("Line ",A22," / ","Line ",A14)</f>
        <v>Line 113 / Line 107</v>
      </c>
      <c r="H24" s="101">
        <f t="shared" si="2"/>
        <v>114</v>
      </c>
      <c r="J24" s="98"/>
    </row>
    <row r="25" spans="1:12">
      <c r="A25" s="101"/>
      <c r="B25" s="110"/>
      <c r="C25" s="105"/>
      <c r="D25" s="106"/>
      <c r="E25" s="101"/>
      <c r="F25" s="97"/>
      <c r="G25" s="97"/>
      <c r="H25" s="97"/>
      <c r="J25" s="98"/>
    </row>
    <row r="26" spans="1:12">
      <c r="A26" s="101"/>
      <c r="B26" s="110"/>
      <c r="C26" s="105"/>
      <c r="D26" s="106"/>
      <c r="E26" s="101"/>
      <c r="F26" s="97"/>
      <c r="G26" s="97"/>
      <c r="H26" s="97"/>
      <c r="J26" s="98"/>
    </row>
    <row r="27" spans="1:12">
      <c r="A27" s="101"/>
      <c r="B27" s="111"/>
      <c r="C27" s="105"/>
      <c r="D27" s="106"/>
      <c r="E27" s="101"/>
      <c r="F27" s="97"/>
      <c r="G27" s="97"/>
      <c r="H27" s="97"/>
      <c r="J27" s="98"/>
    </row>
    <row r="28" spans="1:12" ht="12.75" customHeight="1">
      <c r="A28" s="101"/>
      <c r="B28" s="17"/>
      <c r="C28" s="95"/>
      <c r="D28" s="106"/>
      <c r="E28" s="101"/>
      <c r="F28" s="97"/>
      <c r="G28" s="97"/>
      <c r="H28" s="97"/>
      <c r="J28" s="98"/>
    </row>
    <row r="29" spans="1:12">
      <c r="C29" s="112"/>
    </row>
    <row r="30" spans="1:12">
      <c r="C30" s="112"/>
      <c r="L30" s="98"/>
    </row>
  </sheetData>
  <sheetProtection formatCells="0" formatColumns="0" formatRows="0" insertColumns="0" insertRows="0" insertHyperlinks="0" deleteColumns="0" deleteRows="0" selectLockedCells="1" sort="0" autoFilter="0" pivotTables="0"/>
  <conditionalFormatting sqref="F5:G5">
    <cfRule type="duplicateValues" dxfId="6" priority="1"/>
  </conditionalFormatting>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47"/>
  <sheetViews>
    <sheetView tabSelected="1" view="pageBreakPreview" topLeftCell="A40" zoomScale="110" zoomScaleNormal="85" zoomScaleSheetLayoutView="110" zoomScalePageLayoutView="70" workbookViewId="0">
      <selection activeCell="E21" sqref="E21"/>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5" customWidth="1"/>
    <col min="11" max="11" width="4.54296875" bestFit="1" customWidth="1"/>
    <col min="12" max="12" width="9.1796875" customWidth="1"/>
    <col min="13" max="13" width="12" bestFit="1" customWidth="1"/>
    <col min="14" max="14" width="10.54296875" bestFit="1" customWidth="1"/>
  </cols>
  <sheetData>
    <row r="1" spans="1:11">
      <c r="B1" s="12" t="s">
        <v>22</v>
      </c>
      <c r="J1" s="15" t="str">
        <f>CONCATENATE("Prior Year: ",'1-BaseTRR'!$G$2)</f>
        <v>Prior Year: 2020</v>
      </c>
    </row>
    <row r="2" spans="1:11">
      <c r="B2" s="113" t="s">
        <v>130</v>
      </c>
      <c r="C2" s="49"/>
      <c r="J2" s="15"/>
    </row>
    <row r="3" spans="1:11">
      <c r="A3" s="13"/>
      <c r="K3" s="13"/>
    </row>
    <row r="4" spans="1:11">
      <c r="B4" s="136" t="s">
        <v>653</v>
      </c>
      <c r="C4" s="219"/>
      <c r="D4" s="219"/>
      <c r="E4" s="219"/>
      <c r="F4" s="219"/>
      <c r="G4" s="219"/>
      <c r="H4" s="219"/>
      <c r="I4" s="219"/>
      <c r="J4" s="219"/>
    </row>
    <row r="5" spans="1:11">
      <c r="A5" s="13" t="s">
        <v>99</v>
      </c>
      <c r="D5" s="144" t="s">
        <v>6</v>
      </c>
      <c r="E5" s="144" t="s">
        <v>654</v>
      </c>
      <c r="F5" s="144" t="s">
        <v>655</v>
      </c>
      <c r="K5" s="13" t="str">
        <f>A5</f>
        <v>Line</v>
      </c>
    </row>
    <row r="6" spans="1:11">
      <c r="A6" s="8">
        <v>100</v>
      </c>
      <c r="B6" s="114"/>
      <c r="C6" s="114"/>
      <c r="D6" s="114" t="s">
        <v>656</v>
      </c>
      <c r="E6" s="30">
        <f>J30</f>
        <v>13916317.264999999</v>
      </c>
      <c r="F6" t="str">
        <f>"Line "&amp;A30&amp;", "&amp;J17&amp;""</f>
        <v>Line 208, Col 9</v>
      </c>
      <c r="K6" s="8">
        <f>A6</f>
        <v>100</v>
      </c>
    </row>
    <row r="7" spans="1:11">
      <c r="A7" s="8">
        <f>A6+1</f>
        <v>101</v>
      </c>
      <c r="B7" s="114"/>
      <c r="C7" s="114"/>
      <c r="D7" s="114" t="s">
        <v>657</v>
      </c>
      <c r="E7" s="30">
        <f>G42</f>
        <v>0</v>
      </c>
      <c r="F7" t="str">
        <f>"Line "&amp;A42&amp;", "&amp;G33&amp;""</f>
        <v>Line 305, Col 6</v>
      </c>
      <c r="K7" s="8">
        <f>A7</f>
        <v>101</v>
      </c>
    </row>
    <row r="8" spans="1:11">
      <c r="A8" s="8">
        <f>A7+1</f>
        <v>102</v>
      </c>
      <c r="B8" s="114"/>
      <c r="C8" s="114"/>
      <c r="D8" s="15" t="s">
        <v>658</v>
      </c>
      <c r="E8" s="345">
        <f>E6+E7</f>
        <v>13916317.264999999</v>
      </c>
      <c r="F8" t="str">
        <f>"Line "&amp;A6&amp;" + Line "&amp;A7&amp;""</f>
        <v>Line 100 + Line 101</v>
      </c>
      <c r="K8" s="8">
        <f>A8</f>
        <v>102</v>
      </c>
    </row>
    <row r="9" spans="1:11">
      <c r="A9" s="8"/>
      <c r="B9" s="114"/>
      <c r="C9" s="114"/>
      <c r="D9" s="114"/>
      <c r="E9" s="30"/>
      <c r="K9" s="8"/>
    </row>
    <row r="10" spans="1:11">
      <c r="A10" s="8">
        <f>A8+1</f>
        <v>103</v>
      </c>
      <c r="B10" s="114"/>
      <c r="C10" s="114"/>
      <c r="D10" s="114" t="s">
        <v>659</v>
      </c>
      <c r="E10" s="30">
        <f>F30</f>
        <v>257994550</v>
      </c>
      <c r="F10" t="str">
        <f>"Line "&amp;A30&amp;", "&amp;F17&amp;""</f>
        <v>Line 208, Col 5</v>
      </c>
      <c r="K10" s="8">
        <f>A10</f>
        <v>103</v>
      </c>
    </row>
    <row r="11" spans="1:11">
      <c r="A11" s="8">
        <f>A10+1</f>
        <v>104</v>
      </c>
      <c r="B11" s="114"/>
      <c r="C11" s="114"/>
      <c r="D11" s="114" t="s">
        <v>660</v>
      </c>
      <c r="E11" s="30">
        <f>G30</f>
        <v>-5940273.2340178555</v>
      </c>
      <c r="F11" t="str">
        <f>"Line "&amp;A30&amp;", "&amp;G17&amp;""</f>
        <v>Line 208, Col 6</v>
      </c>
      <c r="K11" s="8">
        <f>A11</f>
        <v>104</v>
      </c>
    </row>
    <row r="12" spans="1:11">
      <c r="A12" s="8">
        <f>A11+1</f>
        <v>105</v>
      </c>
      <c r="B12" s="114"/>
      <c r="C12" s="114"/>
      <c r="D12" s="15" t="s">
        <v>661</v>
      </c>
      <c r="E12" s="345">
        <f>E10+E11</f>
        <v>252054276.76598215</v>
      </c>
      <c r="F12" t="str">
        <f>"Line "&amp;A10&amp;" + Line "&amp;A11&amp;""</f>
        <v>Line 103 + Line 104</v>
      </c>
      <c r="K12" s="8">
        <f>A12</f>
        <v>105</v>
      </c>
    </row>
    <row r="13" spans="1:11">
      <c r="A13" s="8"/>
      <c r="B13" s="114"/>
      <c r="C13" s="114"/>
      <c r="D13" s="114"/>
      <c r="K13" s="8"/>
    </row>
    <row r="14" spans="1:11">
      <c r="A14" s="8">
        <f>A12+1</f>
        <v>106</v>
      </c>
      <c r="B14" s="114"/>
      <c r="C14" s="114"/>
      <c r="D14" s="15" t="s">
        <v>662</v>
      </c>
      <c r="E14" s="363">
        <f>E8/E12</f>
        <v>5.5211589517762859E-2</v>
      </c>
      <c r="F14" t="str">
        <f>"Line "&amp;A8&amp;" / Line "&amp;A12&amp;""</f>
        <v>Line 102 / Line 105</v>
      </c>
      <c r="K14" s="8">
        <f>A14</f>
        <v>106</v>
      </c>
    </row>
    <row r="15" spans="1:11">
      <c r="A15" s="8"/>
      <c r="K15" s="8"/>
    </row>
    <row r="16" spans="1:11">
      <c r="B16" s="52" t="s">
        <v>663</v>
      </c>
      <c r="C16" s="219"/>
      <c r="D16" s="219"/>
      <c r="E16" s="219"/>
      <c r="F16" s="219"/>
      <c r="G16" s="219"/>
      <c r="H16" s="219"/>
      <c r="I16" s="219"/>
      <c r="J16" s="219"/>
    </row>
    <row r="17" spans="1:14">
      <c r="A17" s="8"/>
      <c r="B17" s="147" t="s">
        <v>413</v>
      </c>
      <c r="C17" s="147" t="s">
        <v>414</v>
      </c>
      <c r="D17" s="147" t="s">
        <v>415</v>
      </c>
      <c r="E17" s="147" t="s">
        <v>416</v>
      </c>
      <c r="F17" s="147" t="s">
        <v>417</v>
      </c>
      <c r="G17" s="147" t="s">
        <v>418</v>
      </c>
      <c r="H17" s="147" t="s">
        <v>419</v>
      </c>
      <c r="I17" s="147" t="s">
        <v>420</v>
      </c>
      <c r="J17" s="147" t="s">
        <v>451</v>
      </c>
      <c r="K17" s="8"/>
    </row>
    <row r="18" spans="1:14">
      <c r="A18" s="8"/>
      <c r="B18" s="116" t="s">
        <v>664</v>
      </c>
      <c r="C18" s="116" t="s">
        <v>664</v>
      </c>
      <c r="D18" s="116" t="s">
        <v>665</v>
      </c>
      <c r="E18" s="116" t="s">
        <v>664</v>
      </c>
      <c r="F18" s="116" t="s">
        <v>666</v>
      </c>
      <c r="G18" s="116" t="s">
        <v>664</v>
      </c>
      <c r="H18" s="116" t="s">
        <v>667</v>
      </c>
      <c r="I18" s="117" t="s">
        <v>668</v>
      </c>
      <c r="J18" s="117" t="s">
        <v>669</v>
      </c>
      <c r="K18" s="8"/>
    </row>
    <row r="19" spans="1:14">
      <c r="A19" s="8"/>
      <c r="B19" s="116" t="s">
        <v>110</v>
      </c>
      <c r="C19" s="116" t="s">
        <v>110</v>
      </c>
      <c r="D19" s="116"/>
      <c r="E19" s="116" t="s">
        <v>110</v>
      </c>
      <c r="F19" s="116"/>
      <c r="G19" s="116" t="s">
        <v>110</v>
      </c>
      <c r="H19" s="116"/>
      <c r="I19" s="117"/>
      <c r="J19" s="116" t="s">
        <v>202</v>
      </c>
      <c r="K19" s="8"/>
    </row>
    <row r="20" spans="1:14">
      <c r="A20" s="8"/>
      <c r="G20" s="118"/>
      <c r="J20" s="8"/>
      <c r="K20" s="8"/>
    </row>
    <row r="21" spans="1:14" ht="43.5">
      <c r="A21" s="13" t="s">
        <v>99</v>
      </c>
      <c r="B21" s="119" t="s">
        <v>670</v>
      </c>
      <c r="C21" s="119" t="s">
        <v>671</v>
      </c>
      <c r="D21" s="119" t="s">
        <v>672</v>
      </c>
      <c r="E21" s="119" t="s">
        <v>673</v>
      </c>
      <c r="F21" s="119" t="s">
        <v>674</v>
      </c>
      <c r="G21" s="119" t="s">
        <v>675</v>
      </c>
      <c r="H21" s="119" t="s">
        <v>676</v>
      </c>
      <c r="I21" s="119" t="s">
        <v>677</v>
      </c>
      <c r="J21" s="119" t="s">
        <v>678</v>
      </c>
      <c r="K21" s="13" t="str">
        <f>A21</f>
        <v>Line</v>
      </c>
    </row>
    <row r="22" spans="1:14">
      <c r="A22" s="8">
        <v>200</v>
      </c>
      <c r="B22" s="120" t="s">
        <v>679</v>
      </c>
      <c r="C22" s="739">
        <v>1914</v>
      </c>
      <c r="D22" s="121">
        <v>0.06</v>
      </c>
      <c r="E22" s="122">
        <v>1.5</v>
      </c>
      <c r="F22" s="740">
        <v>105291525</v>
      </c>
      <c r="G22" s="344">
        <v>-7366504.2509265905</v>
      </c>
      <c r="H22" s="123">
        <v>4211661</v>
      </c>
      <c r="I22" s="30">
        <f>F22+G22</f>
        <v>97925020.749073416</v>
      </c>
      <c r="J22" s="30">
        <f>(H22*E22)</f>
        <v>6317491.5</v>
      </c>
      <c r="K22" s="8">
        <f t="shared" ref="K22:K30" si="0">A22</f>
        <v>200</v>
      </c>
      <c r="M22" s="37"/>
      <c r="N22" s="37"/>
    </row>
    <row r="23" spans="1:14">
      <c r="A23" s="8">
        <f>A22+1</f>
        <v>201</v>
      </c>
      <c r="B23" s="120" t="s">
        <v>680</v>
      </c>
      <c r="C23" s="741">
        <v>1929</v>
      </c>
      <c r="D23" s="121">
        <v>5.5E-2</v>
      </c>
      <c r="E23" s="122">
        <v>1.375</v>
      </c>
      <c r="F23" s="740">
        <v>29329075</v>
      </c>
      <c r="G23" s="344">
        <v>-173730</v>
      </c>
      <c r="H23" s="123">
        <v>1173163</v>
      </c>
      <c r="I23" s="30">
        <f t="shared" ref="I23:I29" si="1">F23+G23</f>
        <v>29155345</v>
      </c>
      <c r="J23" s="30">
        <f t="shared" ref="J23:J29" si="2">(H23*E23)</f>
        <v>1613099.125</v>
      </c>
      <c r="K23" s="8">
        <f t="shared" si="0"/>
        <v>201</v>
      </c>
      <c r="M23" s="37"/>
      <c r="N23" s="37"/>
    </row>
    <row r="24" spans="1:14">
      <c r="A24" s="8">
        <f t="shared" ref="A24:A30" si="3">A23+1</f>
        <v>202</v>
      </c>
      <c r="B24" s="120" t="s">
        <v>681</v>
      </c>
      <c r="C24" s="741">
        <v>15166</v>
      </c>
      <c r="D24" s="121">
        <v>0.05</v>
      </c>
      <c r="E24" s="122">
        <v>1.25</v>
      </c>
      <c r="F24" s="740">
        <v>10000000</v>
      </c>
      <c r="G24" s="344">
        <v>726283</v>
      </c>
      <c r="H24" s="123">
        <v>400000</v>
      </c>
      <c r="I24" s="30">
        <f t="shared" si="1"/>
        <v>10726283</v>
      </c>
      <c r="J24" s="30">
        <f t="shared" si="2"/>
        <v>500000</v>
      </c>
      <c r="K24" s="8">
        <f t="shared" si="0"/>
        <v>202</v>
      </c>
      <c r="M24" s="37"/>
      <c r="N24" s="37"/>
    </row>
    <row r="25" spans="1:14">
      <c r="A25" s="8">
        <f t="shared" si="3"/>
        <v>203</v>
      </c>
      <c r="B25" s="120" t="s">
        <v>682</v>
      </c>
      <c r="C25" s="741">
        <v>17712</v>
      </c>
      <c r="D25" s="121">
        <v>0.05</v>
      </c>
      <c r="E25" s="122">
        <v>1.25</v>
      </c>
      <c r="F25" s="740">
        <v>44454300</v>
      </c>
      <c r="G25" s="344">
        <v>-716366</v>
      </c>
      <c r="H25" s="123">
        <v>1778172</v>
      </c>
      <c r="I25" s="30">
        <f t="shared" si="1"/>
        <v>43737934</v>
      </c>
      <c r="J25" s="30">
        <f t="shared" si="2"/>
        <v>2222715</v>
      </c>
      <c r="K25" s="8">
        <f t="shared" si="0"/>
        <v>203</v>
      </c>
      <c r="M25" s="37"/>
      <c r="N25" s="37"/>
    </row>
    <row r="26" spans="1:14">
      <c r="A26" s="8">
        <f t="shared" si="3"/>
        <v>204</v>
      </c>
      <c r="B26" s="120" t="s">
        <v>683</v>
      </c>
      <c r="C26" s="741">
        <v>18022</v>
      </c>
      <c r="D26" s="121">
        <v>0.05</v>
      </c>
      <c r="E26" s="122">
        <v>1.25</v>
      </c>
      <c r="F26" s="740">
        <v>23358050</v>
      </c>
      <c r="G26" s="344">
        <v>542539</v>
      </c>
      <c r="H26" s="123">
        <v>934322</v>
      </c>
      <c r="I26" s="30">
        <f t="shared" si="1"/>
        <v>23900589</v>
      </c>
      <c r="J26" s="30">
        <f t="shared" si="2"/>
        <v>1167902.5</v>
      </c>
      <c r="K26" s="8">
        <f t="shared" si="0"/>
        <v>204</v>
      </c>
      <c r="M26" s="37"/>
      <c r="N26" s="37"/>
    </row>
    <row r="27" spans="1:14">
      <c r="A27" s="8">
        <f t="shared" si="3"/>
        <v>205</v>
      </c>
      <c r="B27" s="120" t="s">
        <v>684</v>
      </c>
      <c r="C27" s="741">
        <v>18288</v>
      </c>
      <c r="D27" s="121">
        <v>4.8000000000000001E-2</v>
      </c>
      <c r="E27" s="122">
        <v>1.2</v>
      </c>
      <c r="F27" s="740">
        <v>19825775</v>
      </c>
      <c r="G27" s="344">
        <v>1006320.34261801</v>
      </c>
      <c r="H27" s="123">
        <v>793031</v>
      </c>
      <c r="I27" s="30">
        <f t="shared" si="1"/>
        <v>20832095.342618011</v>
      </c>
      <c r="J27" s="30">
        <f t="shared" si="2"/>
        <v>951637.2</v>
      </c>
      <c r="K27" s="8">
        <f t="shared" si="0"/>
        <v>205</v>
      </c>
      <c r="M27" s="37"/>
      <c r="N27" s="37"/>
    </row>
    <row r="28" spans="1:14">
      <c r="A28" s="8">
        <f t="shared" si="3"/>
        <v>206</v>
      </c>
      <c r="B28" s="120" t="s">
        <v>685</v>
      </c>
      <c r="C28" s="741">
        <v>19897</v>
      </c>
      <c r="D28" s="121">
        <v>4.4999999999999998E-2</v>
      </c>
      <c r="E28" s="122">
        <v>1.125</v>
      </c>
      <c r="F28" s="740">
        <v>15278550</v>
      </c>
      <c r="G28" s="344">
        <v>70693.849467725595</v>
      </c>
      <c r="H28" s="123">
        <v>611142</v>
      </c>
      <c r="I28" s="30">
        <f t="shared" si="1"/>
        <v>15349243.849467726</v>
      </c>
      <c r="J28" s="30">
        <f t="shared" si="2"/>
        <v>687534.75</v>
      </c>
      <c r="K28" s="8">
        <f t="shared" si="0"/>
        <v>206</v>
      </c>
      <c r="M28" s="37"/>
      <c r="N28" s="37"/>
    </row>
    <row r="29" spans="1:14">
      <c r="A29" s="8">
        <f t="shared" si="3"/>
        <v>207</v>
      </c>
      <c r="B29" s="120" t="s">
        <v>686</v>
      </c>
      <c r="C29" s="741">
        <v>20387</v>
      </c>
      <c r="D29" s="121">
        <v>4.36E-2</v>
      </c>
      <c r="E29" s="122">
        <v>1.0900000000000001</v>
      </c>
      <c r="F29" s="740">
        <v>10457275</v>
      </c>
      <c r="G29" s="344">
        <v>-29509.175177000001</v>
      </c>
      <c r="H29" s="123">
        <v>418291</v>
      </c>
      <c r="I29" s="30">
        <f t="shared" si="1"/>
        <v>10427765.824823</v>
      </c>
      <c r="J29" s="30">
        <f t="shared" si="2"/>
        <v>455937.19000000006</v>
      </c>
      <c r="K29" s="8">
        <f t="shared" si="0"/>
        <v>207</v>
      </c>
      <c r="M29" s="37"/>
      <c r="N29" s="37"/>
    </row>
    <row r="30" spans="1:14">
      <c r="A30" s="8">
        <f t="shared" si="3"/>
        <v>208</v>
      </c>
      <c r="E30" s="151" t="s">
        <v>687</v>
      </c>
      <c r="F30" s="497">
        <f>SUM(F22:F29)</f>
        <v>257994550</v>
      </c>
      <c r="G30" s="497">
        <f>SUM(G22:G29)</f>
        <v>-5940273.2340178555</v>
      </c>
      <c r="H30" s="443">
        <f>SUM(H22:H29)</f>
        <v>10319782</v>
      </c>
      <c r="I30" s="497">
        <f>SUM(I22:I29)</f>
        <v>252054276.76598215</v>
      </c>
      <c r="J30" s="497">
        <f>SUM(J22:J29)</f>
        <v>13916317.264999999</v>
      </c>
      <c r="K30" s="8">
        <f t="shared" si="0"/>
        <v>208</v>
      </c>
      <c r="N30" s="124"/>
    </row>
    <row r="32" spans="1:14">
      <c r="B32" s="52" t="s">
        <v>688</v>
      </c>
      <c r="C32" s="219"/>
      <c r="D32" s="219"/>
      <c r="E32" s="219"/>
      <c r="F32" s="219"/>
      <c r="G32" s="219"/>
      <c r="H32" s="219"/>
      <c r="I32" s="219"/>
      <c r="J32" s="219"/>
    </row>
    <row r="33" spans="1:11">
      <c r="B33" s="147" t="s">
        <v>413</v>
      </c>
      <c r="C33" s="147" t="s">
        <v>414</v>
      </c>
      <c r="D33" s="147" t="s">
        <v>415</v>
      </c>
      <c r="E33" s="147" t="s">
        <v>416</v>
      </c>
      <c r="F33" s="147" t="s">
        <v>417</v>
      </c>
      <c r="G33" s="147" t="s">
        <v>418</v>
      </c>
    </row>
    <row r="34" spans="1:11">
      <c r="B34" s="379"/>
      <c r="C34" s="379"/>
      <c r="D34" s="379"/>
      <c r="E34" s="379"/>
      <c r="F34" s="379"/>
      <c r="G34" s="379"/>
      <c r="H34" s="125"/>
    </row>
    <row r="36" spans="1:11" ht="43.5">
      <c r="A36" s="13" t="s">
        <v>99</v>
      </c>
      <c r="B36" s="454" t="s">
        <v>180</v>
      </c>
      <c r="C36" s="119" t="s">
        <v>689</v>
      </c>
      <c r="D36" s="455" t="s">
        <v>690</v>
      </c>
      <c r="E36" s="455" t="s">
        <v>691</v>
      </c>
      <c r="F36" s="455" t="s">
        <v>692</v>
      </c>
      <c r="G36" s="455" t="s">
        <v>693</v>
      </c>
      <c r="H36" s="456" t="s">
        <v>694</v>
      </c>
      <c r="I36" s="304"/>
      <c r="K36" s="13" t="str">
        <f t="shared" ref="K36:K42" si="4">A36</f>
        <v>Line</v>
      </c>
    </row>
    <row r="37" spans="1:11">
      <c r="A37" s="8">
        <v>300</v>
      </c>
      <c r="B37" s="126"/>
      <c r="C37" s="127"/>
      <c r="D37" s="128"/>
      <c r="E37" s="128"/>
      <c r="F37" s="120"/>
      <c r="G37" s="128"/>
      <c r="H37" s="129"/>
      <c r="K37" s="8">
        <f t="shared" si="4"/>
        <v>300</v>
      </c>
    </row>
    <row r="38" spans="1:11">
      <c r="A38" s="8">
        <f>A37+1</f>
        <v>301</v>
      </c>
      <c r="B38" s="126"/>
      <c r="C38" s="127"/>
      <c r="D38" s="128"/>
      <c r="E38" s="128"/>
      <c r="F38" s="120"/>
      <c r="G38" s="128"/>
      <c r="H38" s="128"/>
      <c r="K38" s="8">
        <f t="shared" si="4"/>
        <v>301</v>
      </c>
    </row>
    <row r="39" spans="1:11">
      <c r="A39" s="8">
        <f t="shared" ref="A39:A42" si="5">A38+1</f>
        <v>302</v>
      </c>
      <c r="B39" s="126"/>
      <c r="C39" s="127"/>
      <c r="D39" s="128"/>
      <c r="E39" s="128"/>
      <c r="F39" s="120"/>
      <c r="G39" s="128"/>
      <c r="H39" s="128"/>
      <c r="K39" s="8">
        <f t="shared" si="4"/>
        <v>302</v>
      </c>
    </row>
    <row r="40" spans="1:11">
      <c r="A40" s="8">
        <f t="shared" si="5"/>
        <v>303</v>
      </c>
      <c r="B40" s="130"/>
      <c r="C40" s="127"/>
      <c r="D40" s="128"/>
      <c r="E40" s="128"/>
      <c r="F40" s="120"/>
      <c r="G40" s="128"/>
      <c r="H40" s="128"/>
      <c r="K40" s="8">
        <f t="shared" si="4"/>
        <v>303</v>
      </c>
    </row>
    <row r="41" spans="1:11">
      <c r="A41" s="8">
        <f t="shared" si="5"/>
        <v>304</v>
      </c>
      <c r="B41" s="131" t="s">
        <v>695</v>
      </c>
      <c r="C41" s="132"/>
      <c r="D41" s="132"/>
      <c r="E41" s="132"/>
      <c r="F41" s="132"/>
      <c r="G41" s="132"/>
      <c r="H41" s="132"/>
      <c r="I41" s="133"/>
      <c r="K41" s="8">
        <f t="shared" si="4"/>
        <v>304</v>
      </c>
    </row>
    <row r="42" spans="1:11">
      <c r="A42" s="8">
        <f t="shared" si="5"/>
        <v>305</v>
      </c>
      <c r="D42" s="151" t="s">
        <v>696</v>
      </c>
      <c r="E42" s="115">
        <f>SUM(E37:E41)*1000</f>
        <v>0</v>
      </c>
      <c r="F42" s="115"/>
      <c r="G42" s="115">
        <f>SUM(G37:G41)*1000</f>
        <v>0</v>
      </c>
      <c r="K42" s="8">
        <f t="shared" si="4"/>
        <v>305</v>
      </c>
    </row>
    <row r="44" spans="1:11">
      <c r="B44" s="16" t="s">
        <v>304</v>
      </c>
    </row>
    <row r="45" spans="1:11">
      <c r="B45" t="s">
        <v>697</v>
      </c>
    </row>
    <row r="46" spans="1:11">
      <c r="B46" t="s">
        <v>698</v>
      </c>
    </row>
    <row r="47" spans="1:11">
      <c r="B47" s="134" t="s">
        <v>699</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0"/>
  <sheetViews>
    <sheetView tabSelected="1" view="pageBreakPreview" topLeftCell="C12" zoomScaleSheetLayoutView="100" zoomScalePageLayoutView="70" workbookViewId="0">
      <selection activeCell="E21" sqref="E21"/>
    </sheetView>
  </sheetViews>
  <sheetFormatPr defaultColWidth="9.1796875" defaultRowHeight="14.5"/>
  <cols>
    <col min="1" max="1" width="5.453125" customWidth="1"/>
    <col min="2" max="2" width="14.54296875" style="17" customWidth="1"/>
    <col min="3" max="3" width="50.7265625" style="17" bestFit="1" customWidth="1"/>
    <col min="4" max="4" width="18.453125" style="17" customWidth="1"/>
    <col min="5" max="5" width="19.453125" style="17" bestFit="1" customWidth="1"/>
    <col min="6" max="6" width="15.54296875" style="17" customWidth="1"/>
    <col min="7" max="7" width="20" style="17" customWidth="1"/>
    <col min="8" max="8" width="35.54296875" style="17" customWidth="1"/>
    <col min="9" max="9" width="20" customWidth="1"/>
    <col min="10" max="10" width="5.453125" customWidth="1"/>
    <col min="11" max="12" width="9.1796875" customWidth="1"/>
  </cols>
  <sheetData>
    <row r="1" spans="1:11">
      <c r="B1" s="200" t="s">
        <v>24</v>
      </c>
      <c r="E1" s="135"/>
      <c r="G1" s="118"/>
      <c r="H1" s="15"/>
      <c r="I1" s="15" t="str">
        <f>CONCATENATE("Prior Year: ",'1-BaseTRR'!$G$2)</f>
        <v>Prior Year: 2020</v>
      </c>
    </row>
    <row r="2" spans="1:11">
      <c r="B2" s="113" t="s">
        <v>130</v>
      </c>
      <c r="C2" s="113"/>
      <c r="G2" s="118"/>
      <c r="H2" s="118"/>
      <c r="I2" s="15"/>
    </row>
    <row r="4" spans="1:11">
      <c r="B4" s="136" t="s">
        <v>700</v>
      </c>
      <c r="C4" s="138"/>
      <c r="D4" s="138"/>
      <c r="E4" s="137"/>
      <c r="F4" s="137"/>
      <c r="G4" s="137"/>
      <c r="H4" s="137"/>
      <c r="I4" s="138"/>
    </row>
    <row r="5" spans="1:11">
      <c r="B5" t="s">
        <v>701</v>
      </c>
      <c r="C5"/>
      <c r="D5"/>
      <c r="E5"/>
      <c r="F5"/>
      <c r="G5"/>
      <c r="H5"/>
    </row>
    <row r="6" spans="1:11">
      <c r="B6" t="s">
        <v>702</v>
      </c>
      <c r="C6"/>
      <c r="D6"/>
      <c r="E6"/>
      <c r="F6"/>
      <c r="G6"/>
      <c r="H6"/>
    </row>
    <row r="7" spans="1:11">
      <c r="B7" t="s">
        <v>703</v>
      </c>
      <c r="C7"/>
      <c r="D7"/>
      <c r="E7"/>
      <c r="F7"/>
      <c r="G7"/>
      <c r="H7"/>
    </row>
    <row r="8" spans="1:11">
      <c r="B8"/>
      <c r="C8"/>
      <c r="D8"/>
      <c r="E8"/>
      <c r="F8"/>
      <c r="G8"/>
      <c r="H8"/>
    </row>
    <row r="9" spans="1:11">
      <c r="D9" s="147" t="s">
        <v>413</v>
      </c>
      <c r="E9" s="147" t="s">
        <v>414</v>
      </c>
      <c r="F9" s="147" t="s">
        <v>415</v>
      </c>
      <c r="G9" s="147" t="s">
        <v>416</v>
      </c>
      <c r="H9" s="147" t="s">
        <v>417</v>
      </c>
      <c r="I9" s="147" t="s">
        <v>418</v>
      </c>
    </row>
    <row r="10" spans="1:11">
      <c r="A10" s="139"/>
      <c r="B10" s="139"/>
      <c r="C10" s="139"/>
      <c r="D10" s="139"/>
      <c r="E10" s="139"/>
      <c r="F10" s="139" t="s">
        <v>110</v>
      </c>
      <c r="G10" s="139"/>
      <c r="H10" s="139"/>
      <c r="I10" s="139" t="s">
        <v>704</v>
      </c>
      <c r="J10" s="139"/>
    </row>
    <row r="11" spans="1:11">
      <c r="A11" s="139"/>
      <c r="B11" s="139"/>
      <c r="C11" s="139"/>
      <c r="D11" s="139"/>
      <c r="E11" s="139"/>
      <c r="F11" s="139"/>
      <c r="G11" s="139"/>
      <c r="H11" s="139"/>
      <c r="I11" s="139"/>
      <c r="J11" s="139"/>
    </row>
    <row r="12" spans="1:11">
      <c r="B12" s="200"/>
      <c r="C12" s="200"/>
      <c r="D12" s="379" t="s">
        <v>705</v>
      </c>
      <c r="E12" s="379"/>
      <c r="F12" s="379"/>
      <c r="G12" s="116" t="s">
        <v>706</v>
      </c>
      <c r="H12" s="116"/>
      <c r="I12" s="116" t="s">
        <v>707</v>
      </c>
    </row>
    <row r="13" spans="1:11">
      <c r="A13" s="144" t="s">
        <v>99</v>
      </c>
      <c r="B13" s="144" t="s">
        <v>708</v>
      </c>
      <c r="C13" s="144" t="s">
        <v>709</v>
      </c>
      <c r="D13" s="144" t="s">
        <v>137</v>
      </c>
      <c r="E13" s="144" t="s">
        <v>710</v>
      </c>
      <c r="F13" s="144" t="s">
        <v>711</v>
      </c>
      <c r="G13" s="144" t="s">
        <v>137</v>
      </c>
      <c r="H13" s="144" t="s">
        <v>712</v>
      </c>
      <c r="I13" s="144" t="s">
        <v>137</v>
      </c>
      <c r="J13" s="144" t="str">
        <f t="shared" ref="J13:J24" si="0">A13</f>
        <v>Line</v>
      </c>
    </row>
    <row r="14" spans="1:11">
      <c r="A14" s="379">
        <v>100</v>
      </c>
      <c r="B14" s="371">
        <v>350</v>
      </c>
      <c r="C14" s="3" t="s">
        <v>713</v>
      </c>
      <c r="D14" s="498">
        <v>283540161</v>
      </c>
      <c r="E14" s="140" t="s">
        <v>714</v>
      </c>
      <c r="F14" s="498"/>
      <c r="G14" s="500">
        <f>'7-PlantInService'!D24+'7-PlantInService'!E24</f>
        <v>269076708.60005808</v>
      </c>
      <c r="H14" s="141" t="s">
        <v>715</v>
      </c>
      <c r="I14" s="500">
        <f>+D14+F14-G14</f>
        <v>14463452.399941921</v>
      </c>
      <c r="J14" s="379">
        <f t="shared" si="0"/>
        <v>100</v>
      </c>
    </row>
    <row r="15" spans="1:11">
      <c r="A15" s="379">
        <f t="shared" ref="A15:A24" si="1">A14+1</f>
        <v>101</v>
      </c>
      <c r="B15" s="371">
        <v>352</v>
      </c>
      <c r="C15" s="3" t="s">
        <v>716</v>
      </c>
      <c r="D15" s="498">
        <v>483378190</v>
      </c>
      <c r="E15" s="140" t="s">
        <v>717</v>
      </c>
      <c r="F15" s="498"/>
      <c r="G15" s="500">
        <f>'7-PlantInService'!F24+'7-PlantInService'!G24</f>
        <v>475251372.44902384</v>
      </c>
      <c r="H15" s="141" t="s">
        <v>718</v>
      </c>
      <c r="I15" s="500">
        <f t="shared" ref="I15:I23" si="2">+D15+F15-G15</f>
        <v>8126817.5509761572</v>
      </c>
      <c r="J15" s="379">
        <f t="shared" si="0"/>
        <v>101</v>
      </c>
      <c r="K15" s="142"/>
    </row>
    <row r="16" spans="1:11">
      <c r="A16" s="379">
        <f t="shared" si="1"/>
        <v>102</v>
      </c>
      <c r="B16" s="371">
        <v>353</v>
      </c>
      <c r="C16" s="3" t="s">
        <v>719</v>
      </c>
      <c r="D16" s="498">
        <v>7596309677</v>
      </c>
      <c r="E16" s="140" t="s">
        <v>720</v>
      </c>
      <c r="F16" s="498">
        <v>-491897.80000019103</v>
      </c>
      <c r="G16" s="500">
        <f>'7-PlantInService'!H24+'7-PlantInService'!I24</f>
        <v>7240608623.4859543</v>
      </c>
      <c r="H16" s="141" t="s">
        <v>721</v>
      </c>
      <c r="I16" s="500">
        <f t="shared" si="2"/>
        <v>355209155.71404552</v>
      </c>
      <c r="J16" s="379">
        <f t="shared" si="0"/>
        <v>102</v>
      </c>
      <c r="K16" s="17"/>
    </row>
    <row r="17" spans="1:12">
      <c r="A17" s="379">
        <f t="shared" si="1"/>
        <v>103</v>
      </c>
      <c r="B17" s="143">
        <v>354</v>
      </c>
      <c r="C17" s="4" t="s">
        <v>722</v>
      </c>
      <c r="D17" s="499">
        <v>1047842184</v>
      </c>
      <c r="E17" s="140" t="s">
        <v>723</v>
      </c>
      <c r="F17" s="499">
        <v>392130.68999993801</v>
      </c>
      <c r="G17" s="500">
        <f>'7-PlantInService'!J24</f>
        <v>941463910.79628062</v>
      </c>
      <c r="H17" s="141" t="s">
        <v>724</v>
      </c>
      <c r="I17" s="500">
        <f t="shared" si="2"/>
        <v>106770403.89371932</v>
      </c>
      <c r="J17" s="379">
        <f t="shared" si="0"/>
        <v>103</v>
      </c>
    </row>
    <row r="18" spans="1:12">
      <c r="A18" s="379">
        <f t="shared" si="1"/>
        <v>104</v>
      </c>
      <c r="B18" s="371">
        <v>355</v>
      </c>
      <c r="C18" s="3" t="s">
        <v>725</v>
      </c>
      <c r="D18" s="499">
        <v>1959904325</v>
      </c>
      <c r="E18" s="140" t="s">
        <v>726</v>
      </c>
      <c r="F18" s="499">
        <v>-117715.820000172</v>
      </c>
      <c r="G18" s="500">
        <f>'7-PlantInService'!K24</f>
        <v>1864869522.6619036</v>
      </c>
      <c r="H18" s="141" t="s">
        <v>727</v>
      </c>
      <c r="I18" s="500">
        <f t="shared" si="2"/>
        <v>94917086.518096209</v>
      </c>
      <c r="J18" s="379">
        <f t="shared" si="0"/>
        <v>104</v>
      </c>
    </row>
    <row r="19" spans="1:12">
      <c r="A19" s="379">
        <f t="shared" si="1"/>
        <v>105</v>
      </c>
      <c r="B19" s="371">
        <v>356</v>
      </c>
      <c r="C19" s="3" t="s">
        <v>728</v>
      </c>
      <c r="D19" s="499">
        <v>2191610573</v>
      </c>
      <c r="E19" s="140" t="s">
        <v>729</v>
      </c>
      <c r="F19" s="499">
        <v>-274411.67999982799</v>
      </c>
      <c r="G19" s="500">
        <f>'7-PlantInService'!L24</f>
        <v>2062518475.7625394</v>
      </c>
      <c r="H19" s="141" t="s">
        <v>730</v>
      </c>
      <c r="I19" s="500">
        <f t="shared" si="2"/>
        <v>128817685.55746078</v>
      </c>
      <c r="J19" s="379">
        <f t="shared" si="0"/>
        <v>105</v>
      </c>
    </row>
    <row r="20" spans="1:12">
      <c r="A20" s="379">
        <f t="shared" si="1"/>
        <v>106</v>
      </c>
      <c r="B20" s="371">
        <v>357</v>
      </c>
      <c r="C20" s="3" t="s">
        <v>731</v>
      </c>
      <c r="D20" s="499">
        <v>516268798</v>
      </c>
      <c r="E20" s="140" t="s">
        <v>732</v>
      </c>
      <c r="F20" s="499"/>
      <c r="G20" s="500">
        <f>'7-PlantInService'!M24</f>
        <v>512216182.99682474</v>
      </c>
      <c r="H20" s="141" t="s">
        <v>733</v>
      </c>
      <c r="I20" s="500">
        <f t="shared" si="2"/>
        <v>4052615.0031752586</v>
      </c>
      <c r="J20" s="379">
        <f t="shared" si="0"/>
        <v>106</v>
      </c>
      <c r="K20" s="17"/>
    </row>
    <row r="21" spans="1:12">
      <c r="A21" s="379">
        <f t="shared" si="1"/>
        <v>107</v>
      </c>
      <c r="B21" s="371">
        <v>358</v>
      </c>
      <c r="C21" s="3" t="s">
        <v>734</v>
      </c>
      <c r="D21" s="499">
        <v>288772138</v>
      </c>
      <c r="E21" s="140" t="s">
        <v>735</v>
      </c>
      <c r="F21" s="499"/>
      <c r="G21" s="500">
        <f>'7-PlantInService'!N24</f>
        <v>281270290.6082713</v>
      </c>
      <c r="H21" s="141" t="s">
        <v>736</v>
      </c>
      <c r="I21" s="500">
        <f t="shared" si="2"/>
        <v>7501847.3917286992</v>
      </c>
      <c r="J21" s="379">
        <f t="shared" si="0"/>
        <v>107</v>
      </c>
    </row>
    <row r="22" spans="1:12">
      <c r="A22" s="379">
        <f t="shared" si="1"/>
        <v>108</v>
      </c>
      <c r="B22" s="371">
        <v>359</v>
      </c>
      <c r="C22" s="3" t="s">
        <v>737</v>
      </c>
      <c r="D22" s="499">
        <v>133163932</v>
      </c>
      <c r="E22" s="140" t="s">
        <v>738</v>
      </c>
      <c r="F22" s="499"/>
      <c r="G22" s="500">
        <f>'7-PlantInService'!O24</f>
        <v>125139859.76503025</v>
      </c>
      <c r="H22" s="141" t="s">
        <v>739</v>
      </c>
      <c r="I22" s="500">
        <f t="shared" si="2"/>
        <v>8024072.23496975</v>
      </c>
      <c r="J22" s="379">
        <f t="shared" si="0"/>
        <v>108</v>
      </c>
    </row>
    <row r="23" spans="1:12">
      <c r="A23" s="379">
        <f t="shared" si="1"/>
        <v>109</v>
      </c>
      <c r="B23" s="371">
        <v>359.1</v>
      </c>
      <c r="C23" s="3" t="s">
        <v>740</v>
      </c>
      <c r="D23" s="499">
        <v>7723186</v>
      </c>
      <c r="E23" s="140" t="s">
        <v>741</v>
      </c>
      <c r="F23" s="499">
        <v>-7723186</v>
      </c>
      <c r="G23" s="500">
        <v>0</v>
      </c>
      <c r="H23" s="141" t="s">
        <v>202</v>
      </c>
      <c r="I23" s="500">
        <f t="shared" si="2"/>
        <v>0</v>
      </c>
      <c r="J23" s="379">
        <f t="shared" si="0"/>
        <v>109</v>
      </c>
    </row>
    <row r="24" spans="1:12">
      <c r="A24" s="379">
        <f t="shared" si="1"/>
        <v>110</v>
      </c>
      <c r="B24" s="448"/>
      <c r="C24" s="576" t="s">
        <v>742</v>
      </c>
      <c r="D24" s="577">
        <f>SUM(D14:D23)</f>
        <v>14508513164</v>
      </c>
      <c r="E24" s="578"/>
      <c r="F24" s="577">
        <f>SUM(F14:F23)</f>
        <v>-8215080.6100002527</v>
      </c>
      <c r="G24" s="577">
        <f>SUM(G14:G23)</f>
        <v>13772414947.125883</v>
      </c>
      <c r="H24" s="578"/>
      <c r="I24" s="577">
        <f>SUM(I14:I23)</f>
        <v>727883136.26411355</v>
      </c>
      <c r="J24" s="379">
        <f t="shared" si="0"/>
        <v>110</v>
      </c>
    </row>
    <row r="25" spans="1:12">
      <c r="A25" s="133"/>
      <c r="B25" s="133"/>
      <c r="C25" s="133"/>
      <c r="D25" s="139"/>
      <c r="E25" s="133"/>
      <c r="F25" s="133"/>
      <c r="G25" s="139"/>
      <c r="H25" s="133"/>
      <c r="I25" s="133"/>
      <c r="J25" s="133"/>
      <c r="K25" s="133"/>
      <c r="L25" s="133"/>
    </row>
    <row r="26" spans="1:12">
      <c r="B26" s="16" t="s">
        <v>304</v>
      </c>
    </row>
    <row r="27" spans="1:12">
      <c r="B27" s="408" t="s">
        <v>743</v>
      </c>
      <c r="C27" s="113"/>
      <c r="D27" s="113"/>
      <c r="E27" s="113"/>
      <c r="F27" s="113"/>
      <c r="G27" s="113"/>
      <c r="H27" s="113"/>
    </row>
    <row r="28" spans="1:12" ht="15" customHeight="1">
      <c r="B28" s="408" t="s">
        <v>744</v>
      </c>
      <c r="C28" s="408"/>
      <c r="D28" s="408"/>
      <c r="E28" s="408"/>
      <c r="F28" s="408"/>
      <c r="G28" s="408"/>
      <c r="H28" s="408"/>
    </row>
    <row r="29" spans="1:12">
      <c r="B29" s="408" t="s">
        <v>745</v>
      </c>
      <c r="C29" s="408"/>
      <c r="D29" s="408"/>
      <c r="E29" s="408"/>
      <c r="F29" s="408"/>
      <c r="G29" s="408"/>
      <c r="H29" s="408"/>
    </row>
    <row r="30" spans="1:12" ht="15" customHeight="1">
      <c r="A30" s="18"/>
      <c r="B30"/>
      <c r="C30"/>
      <c r="D30"/>
      <c r="E30"/>
      <c r="F30"/>
      <c r="G30"/>
      <c r="H30"/>
    </row>
  </sheetData>
  <printOptions horizontalCentered="1"/>
  <pageMargins left="1" right="1" top="1" bottom="1" header="0.5" footer="0.5"/>
  <pageSetup scale="56"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37"/>
  <sheetViews>
    <sheetView tabSelected="1" view="pageBreakPreview" topLeftCell="F120" zoomScale="90" zoomScaleNormal="90" zoomScaleSheetLayoutView="90" zoomScalePageLayoutView="70" workbookViewId="0">
      <selection activeCell="E21" sqref="E21"/>
    </sheetView>
  </sheetViews>
  <sheetFormatPr defaultColWidth="8.81640625" defaultRowHeight="14.5"/>
  <cols>
    <col min="1" max="1" width="6.81640625" style="35" bestFit="1" customWidth="1"/>
    <col min="2" max="2" width="14" customWidth="1"/>
    <col min="3" max="3" width="14.453125" customWidth="1"/>
    <col min="4" max="4" width="21.54296875" bestFit="1" customWidth="1"/>
    <col min="5" max="5" width="17.54296875" customWidth="1"/>
    <col min="6" max="6" width="15.81640625" customWidth="1"/>
    <col min="7" max="8" width="17.81640625" customWidth="1"/>
    <col min="9" max="9" width="13.54296875" customWidth="1"/>
    <col min="10" max="10" width="15.453125" customWidth="1"/>
    <col min="11" max="12" width="17.26953125" customWidth="1"/>
    <col min="13" max="15" width="15.453125" customWidth="1"/>
    <col min="16" max="16" width="19" bestFit="1" customWidth="1"/>
    <col min="17" max="17" width="20.54296875" customWidth="1"/>
    <col min="18" max="18" width="6.26953125" style="35" customWidth="1"/>
    <col min="19" max="19" width="8.81640625" customWidth="1"/>
  </cols>
  <sheetData>
    <row r="1" spans="1:18">
      <c r="B1" s="12" t="s">
        <v>26</v>
      </c>
      <c r="C1" s="12"/>
      <c r="F1" s="135"/>
      <c r="J1" s="17"/>
      <c r="O1" s="8"/>
      <c r="P1" s="15" t="str">
        <f>CONCATENATE("Prior Year: ",'1-BaseTRR'!$G$2)</f>
        <v>Prior Year: 2020</v>
      </c>
      <c r="Q1" s="8"/>
    </row>
    <row r="2" spans="1:18">
      <c r="B2" s="113" t="s">
        <v>130</v>
      </c>
      <c r="C2" s="49"/>
      <c r="J2" s="17"/>
      <c r="O2" s="15"/>
      <c r="P2" s="8"/>
      <c r="Q2" s="8"/>
    </row>
    <row r="3" spans="1:18">
      <c r="A3" s="144"/>
      <c r="B3" s="200"/>
      <c r="R3" s="144"/>
    </row>
    <row r="4" spans="1:18">
      <c r="B4" s="52" t="s">
        <v>746</v>
      </c>
      <c r="C4" s="52"/>
      <c r="D4" s="219"/>
      <c r="E4" s="219"/>
      <c r="F4" s="219"/>
      <c r="G4" s="219"/>
      <c r="H4" s="219"/>
      <c r="I4" s="219"/>
      <c r="J4" s="219"/>
      <c r="K4" s="219"/>
      <c r="L4" s="219"/>
      <c r="M4" s="219"/>
      <c r="N4" s="219"/>
      <c r="O4" s="219"/>
      <c r="P4" s="219"/>
      <c r="Q4" s="219"/>
    </row>
    <row r="5" spans="1:18">
      <c r="A5" s="8"/>
      <c r="B5" s="145" t="s">
        <v>747</v>
      </c>
      <c r="C5" s="17"/>
      <c r="I5" s="17"/>
      <c r="J5" s="35"/>
      <c r="K5" s="146"/>
    </row>
    <row r="6" spans="1:18">
      <c r="A6" s="8"/>
      <c r="B6" s="17"/>
      <c r="C6" s="17"/>
      <c r="I6" s="17"/>
      <c r="J6" s="35"/>
      <c r="K6" s="146"/>
    </row>
    <row r="7" spans="1:18">
      <c r="A7" s="8"/>
      <c r="D7" s="147" t="s">
        <v>413</v>
      </c>
      <c r="E7" s="147" t="s">
        <v>414</v>
      </c>
      <c r="F7" s="147" t="s">
        <v>415</v>
      </c>
      <c r="G7" s="147" t="s">
        <v>416</v>
      </c>
      <c r="H7" s="147" t="s">
        <v>417</v>
      </c>
      <c r="I7" s="147" t="s">
        <v>418</v>
      </c>
      <c r="J7" s="147" t="s">
        <v>419</v>
      </c>
      <c r="K7" s="147" t="s">
        <v>420</v>
      </c>
      <c r="L7" s="147" t="s">
        <v>451</v>
      </c>
      <c r="M7" s="147" t="s">
        <v>586</v>
      </c>
      <c r="N7" s="147" t="s">
        <v>587</v>
      </c>
      <c r="O7" s="147" t="s">
        <v>588</v>
      </c>
      <c r="P7" s="147" t="s">
        <v>589</v>
      </c>
      <c r="Q7" s="147"/>
    </row>
    <row r="8" spans="1:18" ht="29">
      <c r="B8" s="8"/>
      <c r="C8" s="8"/>
      <c r="D8" s="148" t="s">
        <v>748</v>
      </c>
      <c r="E8" s="148" t="s">
        <v>748</v>
      </c>
      <c r="F8" s="148" t="s">
        <v>748</v>
      </c>
      <c r="G8" s="148" t="s">
        <v>748</v>
      </c>
      <c r="H8" s="148" t="s">
        <v>748</v>
      </c>
      <c r="I8" s="148" t="s">
        <v>748</v>
      </c>
      <c r="J8" s="148" t="s">
        <v>748</v>
      </c>
      <c r="K8" s="148" t="s">
        <v>748</v>
      </c>
      <c r="L8" s="148" t="s">
        <v>748</v>
      </c>
      <c r="M8" s="148" t="s">
        <v>748</v>
      </c>
      <c r="N8" s="148" t="s">
        <v>748</v>
      </c>
      <c r="O8" s="148" t="s">
        <v>748</v>
      </c>
      <c r="P8" s="149" t="s">
        <v>749</v>
      </c>
      <c r="Q8" s="5"/>
    </row>
    <row r="9" spans="1:18">
      <c r="B9" s="8"/>
      <c r="C9" s="8"/>
      <c r="H9" s="150"/>
      <c r="N9" s="35"/>
      <c r="P9" s="35"/>
      <c r="Q9" s="35"/>
    </row>
    <row r="10" spans="1:18">
      <c r="C10" s="151" t="s">
        <v>750</v>
      </c>
      <c r="D10" s="116">
        <v>350.01</v>
      </c>
      <c r="E10" s="116">
        <v>350.02</v>
      </c>
      <c r="F10" s="116">
        <v>352.01</v>
      </c>
      <c r="G10" s="116">
        <v>352.02</v>
      </c>
      <c r="H10" s="116">
        <v>353.01</v>
      </c>
      <c r="I10" s="116">
        <v>353.02</v>
      </c>
      <c r="J10" s="116">
        <v>354</v>
      </c>
      <c r="K10" s="116">
        <v>355</v>
      </c>
      <c r="L10" s="116">
        <v>356</v>
      </c>
      <c r="M10" s="116">
        <v>357</v>
      </c>
      <c r="N10" s="116">
        <v>358</v>
      </c>
      <c r="O10" s="116">
        <v>359</v>
      </c>
    </row>
    <row r="11" spans="1:18">
      <c r="A11" s="144" t="s">
        <v>99</v>
      </c>
      <c r="B11" s="144" t="s">
        <v>426</v>
      </c>
      <c r="C11" s="144" t="s">
        <v>462</v>
      </c>
      <c r="D11" s="147" t="s">
        <v>751</v>
      </c>
      <c r="E11" s="147" t="s">
        <v>752</v>
      </c>
      <c r="F11" s="147" t="s">
        <v>753</v>
      </c>
      <c r="G11" s="147" t="s">
        <v>754</v>
      </c>
      <c r="H11" s="147" t="s">
        <v>755</v>
      </c>
      <c r="I11" s="147" t="s">
        <v>756</v>
      </c>
      <c r="J11" s="147" t="s">
        <v>757</v>
      </c>
      <c r="K11" s="147" t="s">
        <v>758</v>
      </c>
      <c r="L11" s="147" t="s">
        <v>759</v>
      </c>
      <c r="M11" s="147" t="s">
        <v>760</v>
      </c>
      <c r="N11" s="147" t="s">
        <v>761</v>
      </c>
      <c r="O11" s="147" t="s">
        <v>762</v>
      </c>
      <c r="P11" s="144" t="s">
        <v>509</v>
      </c>
      <c r="Q11" s="144" t="s">
        <v>134</v>
      </c>
      <c r="R11" s="144" t="str">
        <f>A11</f>
        <v>Line</v>
      </c>
    </row>
    <row r="12" spans="1:18">
      <c r="A12" s="379">
        <v>100</v>
      </c>
      <c r="B12" s="145" t="s">
        <v>470</v>
      </c>
      <c r="C12" s="152">
        <f>'1-BaseTRR'!$G$2-1</f>
        <v>2019</v>
      </c>
      <c r="D12" s="190">
        <f t="shared" ref="D12:O24" si="0">+D37+D62</f>
        <v>63485248.202278905</v>
      </c>
      <c r="E12" s="190">
        <f t="shared" si="0"/>
        <v>207954868.07605398</v>
      </c>
      <c r="F12" s="190">
        <f t="shared" si="0"/>
        <v>365059408.25004888</v>
      </c>
      <c r="G12" s="190">
        <f t="shared" si="0"/>
        <v>121622020.90546283</v>
      </c>
      <c r="H12" s="190">
        <f t="shared" si="0"/>
        <v>6654921574.8012943</v>
      </c>
      <c r="I12" s="190">
        <f t="shared" si="0"/>
        <v>35922403.766692303</v>
      </c>
      <c r="J12" s="190">
        <f t="shared" si="0"/>
        <v>909151577.7091496</v>
      </c>
      <c r="K12" s="190">
        <f t="shared" si="0"/>
        <v>1589186643.5289772</v>
      </c>
      <c r="L12" s="190">
        <f t="shared" si="0"/>
        <v>1897117041.1081262</v>
      </c>
      <c r="M12" s="190">
        <f t="shared" si="0"/>
        <v>508959520.63456434</v>
      </c>
      <c r="N12" s="190">
        <f t="shared" si="0"/>
        <v>269402804.51628482</v>
      </c>
      <c r="O12" s="190">
        <f t="shared" si="0"/>
        <v>102313903.53755891</v>
      </c>
      <c r="P12" s="30">
        <f>SUM(D12:O12)</f>
        <v>12725097015.036491</v>
      </c>
      <c r="Q12" s="157" t="str">
        <f>"Line "&amp;A37&amp;" + Line "&amp;A62&amp;""</f>
        <v>Line 200 + Line 300</v>
      </c>
      <c r="R12" s="379">
        <f>A12</f>
        <v>100</v>
      </c>
    </row>
    <row r="13" spans="1:18">
      <c r="A13" s="379">
        <f>A12+1</f>
        <v>101</v>
      </c>
      <c r="B13" s="145" t="s">
        <v>472</v>
      </c>
      <c r="C13" s="152">
        <f>'1-BaseTRR'!$G$2</f>
        <v>2020</v>
      </c>
      <c r="D13" s="190">
        <f t="shared" si="0"/>
        <v>63674065.708699577</v>
      </c>
      <c r="E13" s="190">
        <f t="shared" si="0"/>
        <v>203312922.17582595</v>
      </c>
      <c r="F13" s="190">
        <f t="shared" si="0"/>
        <v>365512797.84000003</v>
      </c>
      <c r="G13" s="190">
        <f t="shared" si="0"/>
        <v>121967730.48000003</v>
      </c>
      <c r="H13" s="190">
        <f t="shared" si="0"/>
        <v>6665999852.2409763</v>
      </c>
      <c r="I13" s="190">
        <f t="shared" si="0"/>
        <v>36002905.153908156</v>
      </c>
      <c r="J13" s="190">
        <f t="shared" si="0"/>
        <v>908376743.62792802</v>
      </c>
      <c r="K13" s="190">
        <f t="shared" si="0"/>
        <v>1612412708.1976111</v>
      </c>
      <c r="L13" s="190">
        <f t="shared" si="0"/>
        <v>1901134934.0751476</v>
      </c>
      <c r="M13" s="190">
        <f t="shared" si="0"/>
        <v>508795749.5842042</v>
      </c>
      <c r="N13" s="190">
        <f t="shared" si="0"/>
        <v>269285980.90600574</v>
      </c>
      <c r="O13" s="190">
        <f t="shared" si="0"/>
        <v>118638029.32548952</v>
      </c>
      <c r="P13" s="30">
        <f t="shared" ref="P13:P24" si="1">SUM(D13:O13)</f>
        <v>12775114419.315796</v>
      </c>
      <c r="Q13" s="157" t="str">
        <f t="shared" ref="Q13:Q24" si="2">"Line "&amp;A38&amp;" + Line "&amp;A63&amp;""</f>
        <v>Line 201 + Line 301</v>
      </c>
      <c r="R13" s="379">
        <f t="shared" ref="R13:R25" si="3">A13</f>
        <v>101</v>
      </c>
    </row>
    <row r="14" spans="1:18">
      <c r="A14" s="379">
        <f t="shared" ref="A14:A25" si="4">A13+1</f>
        <v>102</v>
      </c>
      <c r="B14" s="145" t="s">
        <v>473</v>
      </c>
      <c r="C14" s="152">
        <f>'1-BaseTRR'!$G$2</f>
        <v>2020</v>
      </c>
      <c r="D14" s="190">
        <f t="shared" si="0"/>
        <v>63716915.698002368</v>
      </c>
      <c r="E14" s="190">
        <f t="shared" si="0"/>
        <v>204231967.85865545</v>
      </c>
      <c r="F14" s="190">
        <f t="shared" si="0"/>
        <v>366992298.10999995</v>
      </c>
      <c r="G14" s="190">
        <f t="shared" si="0"/>
        <v>110016856.78</v>
      </c>
      <c r="H14" s="190">
        <f t="shared" si="0"/>
        <v>6695377273.0149565</v>
      </c>
      <c r="I14" s="190">
        <f t="shared" si="0"/>
        <v>36003481.291033246</v>
      </c>
      <c r="J14" s="190">
        <f t="shared" si="0"/>
        <v>910004953.1266396</v>
      </c>
      <c r="K14" s="190">
        <f t="shared" si="0"/>
        <v>1636446456.0137506</v>
      </c>
      <c r="L14" s="190">
        <f t="shared" si="0"/>
        <v>1920025191.7246668</v>
      </c>
      <c r="M14" s="190">
        <f t="shared" si="0"/>
        <v>510008841.14116096</v>
      </c>
      <c r="N14" s="190">
        <f t="shared" si="0"/>
        <v>270508358.81964946</v>
      </c>
      <c r="O14" s="190">
        <f t="shared" si="0"/>
        <v>118824858.02548954</v>
      </c>
      <c r="P14" s="30">
        <f t="shared" si="1"/>
        <v>12842157451.604004</v>
      </c>
      <c r="Q14" s="157" t="str">
        <f t="shared" si="2"/>
        <v>Line 202 + Line 302</v>
      </c>
      <c r="R14" s="379">
        <f t="shared" si="3"/>
        <v>102</v>
      </c>
    </row>
    <row r="15" spans="1:18">
      <c r="A15" s="379">
        <f t="shared" si="4"/>
        <v>103</v>
      </c>
      <c r="B15" s="145" t="s">
        <v>474</v>
      </c>
      <c r="C15" s="152">
        <f>'1-BaseTRR'!$G$2</f>
        <v>2020</v>
      </c>
      <c r="D15" s="190">
        <f t="shared" si="0"/>
        <v>63729297.123346418</v>
      </c>
      <c r="E15" s="190">
        <f t="shared" si="0"/>
        <v>205188358.19545683</v>
      </c>
      <c r="F15" s="190">
        <f t="shared" si="0"/>
        <v>367117173.57000005</v>
      </c>
      <c r="G15" s="190">
        <f t="shared" si="0"/>
        <v>110055707.53999998</v>
      </c>
      <c r="H15" s="190">
        <f t="shared" si="0"/>
        <v>6711289468.9641094</v>
      </c>
      <c r="I15" s="190">
        <f t="shared" si="0"/>
        <v>36003864.409790233</v>
      </c>
      <c r="J15" s="190">
        <f t="shared" si="0"/>
        <v>910568376.50455439</v>
      </c>
      <c r="K15" s="190">
        <f t="shared" si="0"/>
        <v>1649791808.9101696</v>
      </c>
      <c r="L15" s="190">
        <f t="shared" si="0"/>
        <v>1935411864.364707</v>
      </c>
      <c r="M15" s="190">
        <f t="shared" si="0"/>
        <v>510037543.34508741</v>
      </c>
      <c r="N15" s="190">
        <f t="shared" si="0"/>
        <v>270580038.81133765</v>
      </c>
      <c r="O15" s="190">
        <f t="shared" si="0"/>
        <v>120089809.21548954</v>
      </c>
      <c r="P15" s="30">
        <f t="shared" si="1"/>
        <v>12889863310.95405</v>
      </c>
      <c r="Q15" s="157" t="str">
        <f t="shared" si="2"/>
        <v>Line 203 + Line 303</v>
      </c>
      <c r="R15" s="379">
        <f t="shared" si="3"/>
        <v>103</v>
      </c>
    </row>
    <row r="16" spans="1:18">
      <c r="A16" s="379">
        <f t="shared" si="4"/>
        <v>104</v>
      </c>
      <c r="B16" s="145" t="s">
        <v>475</v>
      </c>
      <c r="C16" s="152">
        <f>'1-BaseTRR'!$G$2</f>
        <v>2020</v>
      </c>
      <c r="D16" s="190">
        <f t="shared" si="0"/>
        <v>63725547.224586949</v>
      </c>
      <c r="E16" s="190">
        <f t="shared" si="0"/>
        <v>207979541.05737963</v>
      </c>
      <c r="F16" s="190">
        <f t="shared" si="0"/>
        <v>367214867.79000008</v>
      </c>
      <c r="G16" s="190">
        <f t="shared" si="0"/>
        <v>109986716.19</v>
      </c>
      <c r="H16" s="190">
        <f t="shared" si="0"/>
        <v>6810349315.8379049</v>
      </c>
      <c r="I16" s="190">
        <f t="shared" si="0"/>
        <v>36004446.95566716</v>
      </c>
      <c r="J16" s="190">
        <f t="shared" si="0"/>
        <v>911219375.2878952</v>
      </c>
      <c r="K16" s="190">
        <f t="shared" si="0"/>
        <v>1666538182.2813311</v>
      </c>
      <c r="L16" s="190">
        <f t="shared" si="0"/>
        <v>1947455295.9127073</v>
      </c>
      <c r="M16" s="190">
        <f t="shared" si="0"/>
        <v>510044645.38023114</v>
      </c>
      <c r="N16" s="190">
        <f t="shared" si="0"/>
        <v>270675281.94215804</v>
      </c>
      <c r="O16" s="190">
        <f t="shared" si="0"/>
        <v>120626631.5654895</v>
      </c>
      <c r="P16" s="30">
        <f t="shared" si="1"/>
        <v>13021819847.42535</v>
      </c>
      <c r="Q16" s="157" t="str">
        <f t="shared" si="2"/>
        <v>Line 204 + Line 304</v>
      </c>
      <c r="R16" s="379">
        <f t="shared" si="3"/>
        <v>104</v>
      </c>
    </row>
    <row r="17" spans="1:19">
      <c r="A17" s="379">
        <f t="shared" si="4"/>
        <v>105</v>
      </c>
      <c r="B17" s="145" t="s">
        <v>437</v>
      </c>
      <c r="C17" s="152">
        <f>'1-BaseTRR'!$G$2</f>
        <v>2020</v>
      </c>
      <c r="D17" s="190">
        <f t="shared" si="0"/>
        <v>63767465.739106447</v>
      </c>
      <c r="E17" s="190">
        <f t="shared" si="0"/>
        <v>209570664.43414375</v>
      </c>
      <c r="F17" s="190">
        <f t="shared" si="0"/>
        <v>366940095.8900001</v>
      </c>
      <c r="G17" s="190">
        <f t="shared" si="0"/>
        <v>109494907.90000001</v>
      </c>
      <c r="H17" s="190">
        <f t="shared" si="0"/>
        <v>6829518146.4479103</v>
      </c>
      <c r="I17" s="190">
        <f t="shared" si="0"/>
        <v>36049887.570000008</v>
      </c>
      <c r="J17" s="190">
        <f t="shared" si="0"/>
        <v>912130601.31140041</v>
      </c>
      <c r="K17" s="190">
        <f t="shared" si="0"/>
        <v>1700775106.0421338</v>
      </c>
      <c r="L17" s="190">
        <f t="shared" si="0"/>
        <v>1958044809.2583256</v>
      </c>
      <c r="M17" s="190">
        <f t="shared" si="0"/>
        <v>512078166.73831964</v>
      </c>
      <c r="N17" s="190">
        <f t="shared" si="0"/>
        <v>280356575.82362324</v>
      </c>
      <c r="O17" s="190">
        <f t="shared" si="0"/>
        <v>122228804.81548953</v>
      </c>
      <c r="P17" s="30">
        <f t="shared" si="1"/>
        <v>13100955231.970451</v>
      </c>
      <c r="Q17" s="157" t="str">
        <f t="shared" si="2"/>
        <v>Line 205 + Line 305</v>
      </c>
      <c r="R17" s="379">
        <f t="shared" si="3"/>
        <v>105</v>
      </c>
    </row>
    <row r="18" spans="1:19">
      <c r="A18" s="379">
        <f t="shared" si="4"/>
        <v>106</v>
      </c>
      <c r="B18" s="145" t="s">
        <v>592</v>
      </c>
      <c r="C18" s="152">
        <f>'1-BaseTRR'!$G$2</f>
        <v>2020</v>
      </c>
      <c r="D18" s="190">
        <f t="shared" si="0"/>
        <v>64071338.532799527</v>
      </c>
      <c r="E18" s="190">
        <f t="shared" si="0"/>
        <v>211634735.19775659</v>
      </c>
      <c r="F18" s="190">
        <f t="shared" si="0"/>
        <v>366987916.2299999</v>
      </c>
      <c r="G18" s="190">
        <f t="shared" si="0"/>
        <v>109402381.86000001</v>
      </c>
      <c r="H18" s="190">
        <f t="shared" si="0"/>
        <v>6892210398.8897705</v>
      </c>
      <c r="I18" s="190">
        <f t="shared" si="0"/>
        <v>36049887.920000002</v>
      </c>
      <c r="J18" s="190">
        <f t="shared" si="0"/>
        <v>918320489.57301509</v>
      </c>
      <c r="K18" s="190">
        <f t="shared" si="0"/>
        <v>1757117726.6348011</v>
      </c>
      <c r="L18" s="190">
        <f t="shared" si="0"/>
        <v>1979259933.9467175</v>
      </c>
      <c r="M18" s="190">
        <f t="shared" si="0"/>
        <v>512121545.07363969</v>
      </c>
      <c r="N18" s="190">
        <f t="shared" si="0"/>
        <v>280250719.85973096</v>
      </c>
      <c r="O18" s="190">
        <f t="shared" si="0"/>
        <v>123364560.91548951</v>
      </c>
      <c r="P18" s="30">
        <f t="shared" si="1"/>
        <v>13250791634.63372</v>
      </c>
      <c r="Q18" s="157" t="str">
        <f t="shared" si="2"/>
        <v>Line 206 + Line 306</v>
      </c>
      <c r="R18" s="379">
        <f t="shared" si="3"/>
        <v>106</v>
      </c>
    </row>
    <row r="19" spans="1:19">
      <c r="A19" s="379">
        <f t="shared" si="4"/>
        <v>107</v>
      </c>
      <c r="B19" s="145" t="s">
        <v>477</v>
      </c>
      <c r="C19" s="152">
        <f>'1-BaseTRR'!$G$2</f>
        <v>2020</v>
      </c>
      <c r="D19" s="190">
        <f t="shared" si="0"/>
        <v>64085289.038739823</v>
      </c>
      <c r="E19" s="190">
        <f t="shared" si="0"/>
        <v>212113871.51603943</v>
      </c>
      <c r="F19" s="190">
        <f t="shared" si="0"/>
        <v>367185135.42999989</v>
      </c>
      <c r="G19" s="190">
        <f t="shared" si="0"/>
        <v>108850934.11000001</v>
      </c>
      <c r="H19" s="190">
        <f t="shared" si="0"/>
        <v>6901488438.2101545</v>
      </c>
      <c r="I19" s="190">
        <f t="shared" si="0"/>
        <v>36049976.598514833</v>
      </c>
      <c r="J19" s="190">
        <f t="shared" si="0"/>
        <v>921120826.26374531</v>
      </c>
      <c r="K19" s="190">
        <f t="shared" si="0"/>
        <v>1767896045.0571384</v>
      </c>
      <c r="L19" s="190">
        <f t="shared" si="0"/>
        <v>1992792069.5342908</v>
      </c>
      <c r="M19" s="190">
        <f t="shared" si="0"/>
        <v>512132931.50258815</v>
      </c>
      <c r="N19" s="190">
        <f t="shared" si="0"/>
        <v>280317046.34548831</v>
      </c>
      <c r="O19" s="190">
        <f t="shared" si="0"/>
        <v>123174350.79548949</v>
      </c>
      <c r="P19" s="30">
        <f t="shared" si="1"/>
        <v>13287206914.402189</v>
      </c>
      <c r="Q19" s="157" t="str">
        <f t="shared" si="2"/>
        <v>Line 207 + Line 307</v>
      </c>
      <c r="R19" s="379">
        <f t="shared" si="3"/>
        <v>107</v>
      </c>
    </row>
    <row r="20" spans="1:19">
      <c r="A20" s="379">
        <f t="shared" si="4"/>
        <v>108</v>
      </c>
      <c r="B20" s="145" t="s">
        <v>478</v>
      </c>
      <c r="C20" s="152">
        <f>'1-BaseTRR'!$G$2</f>
        <v>2020</v>
      </c>
      <c r="D20" s="190">
        <f t="shared" si="0"/>
        <v>63980250.321213931</v>
      </c>
      <c r="E20" s="190">
        <f t="shared" si="0"/>
        <v>206705285.49574962</v>
      </c>
      <c r="F20" s="190">
        <f t="shared" si="0"/>
        <v>367602462.61999995</v>
      </c>
      <c r="G20" s="190">
        <f t="shared" si="0"/>
        <v>109881774.40000001</v>
      </c>
      <c r="H20" s="190">
        <f t="shared" si="0"/>
        <v>6924673113.8227968</v>
      </c>
      <c r="I20" s="190">
        <f t="shared" si="0"/>
        <v>36049978.430000007</v>
      </c>
      <c r="J20" s="190">
        <f t="shared" si="0"/>
        <v>928201041.1544776</v>
      </c>
      <c r="K20" s="190">
        <f t="shared" si="0"/>
        <v>1769102205.1522999</v>
      </c>
      <c r="L20" s="190">
        <f t="shared" si="0"/>
        <v>2003802780.4542794</v>
      </c>
      <c r="M20" s="190">
        <f t="shared" si="0"/>
        <v>512137832.08242798</v>
      </c>
      <c r="N20" s="190">
        <f t="shared" si="0"/>
        <v>280547014.97369277</v>
      </c>
      <c r="O20" s="190">
        <f t="shared" si="0"/>
        <v>123956843.02548948</v>
      </c>
      <c r="P20" s="30">
        <f t="shared" si="1"/>
        <v>13326640581.932426</v>
      </c>
      <c r="Q20" s="157" t="str">
        <f t="shared" si="2"/>
        <v>Line 208 + Line 308</v>
      </c>
      <c r="R20" s="379">
        <f t="shared" si="3"/>
        <v>108</v>
      </c>
    </row>
    <row r="21" spans="1:19">
      <c r="A21" s="379">
        <f t="shared" si="4"/>
        <v>109</v>
      </c>
      <c r="B21" s="145" t="s">
        <v>480</v>
      </c>
      <c r="C21" s="152">
        <f>'1-BaseTRR'!$G$2</f>
        <v>2020</v>
      </c>
      <c r="D21" s="190">
        <f t="shared" si="0"/>
        <v>64003300.288752303</v>
      </c>
      <c r="E21" s="190">
        <f t="shared" si="0"/>
        <v>206734465.29716194</v>
      </c>
      <c r="F21" s="190">
        <f t="shared" si="0"/>
        <v>367612373.74000001</v>
      </c>
      <c r="G21" s="190">
        <f t="shared" si="0"/>
        <v>109855093.87</v>
      </c>
      <c r="H21" s="190">
        <f t="shared" si="0"/>
        <v>7055993771.0922356</v>
      </c>
      <c r="I21" s="190">
        <f t="shared" si="0"/>
        <v>36049986.151673555</v>
      </c>
      <c r="J21" s="190">
        <f t="shared" si="0"/>
        <v>923461973.79497552</v>
      </c>
      <c r="K21" s="190">
        <f t="shared" si="0"/>
        <v>1799173546.5562119</v>
      </c>
      <c r="L21" s="190">
        <f t="shared" si="0"/>
        <v>2025373237.9014673</v>
      </c>
      <c r="M21" s="190">
        <f t="shared" si="0"/>
        <v>512145514.47979182</v>
      </c>
      <c r="N21" s="190">
        <f t="shared" si="0"/>
        <v>280573721.10772121</v>
      </c>
      <c r="O21" s="190">
        <f t="shared" si="0"/>
        <v>124316100.7554895</v>
      </c>
      <c r="P21" s="30">
        <f t="shared" si="1"/>
        <v>13505293085.03548</v>
      </c>
      <c r="Q21" s="157" t="str">
        <f t="shared" si="2"/>
        <v>Line 209 + Line 309</v>
      </c>
      <c r="R21" s="379">
        <f t="shared" si="3"/>
        <v>109</v>
      </c>
    </row>
    <row r="22" spans="1:19">
      <c r="A22" s="379">
        <f t="shared" si="4"/>
        <v>110</v>
      </c>
      <c r="B22" s="145" t="s">
        <v>481</v>
      </c>
      <c r="C22" s="152">
        <f>'1-BaseTRR'!$G$2</f>
        <v>2020</v>
      </c>
      <c r="D22" s="190">
        <f t="shared" si="0"/>
        <v>64056807.391450807</v>
      </c>
      <c r="E22" s="190">
        <f t="shared" si="0"/>
        <v>206731964.63734192</v>
      </c>
      <c r="F22" s="190">
        <f t="shared" si="0"/>
        <v>367633468.69999999</v>
      </c>
      <c r="G22" s="190">
        <f>+G47+G72</f>
        <v>109866318.10000004</v>
      </c>
      <c r="H22" s="190">
        <f t="shared" si="0"/>
        <v>7077326537.0381155</v>
      </c>
      <c r="I22" s="190">
        <f t="shared" si="0"/>
        <v>36049987.072986782</v>
      </c>
      <c r="J22" s="190">
        <f t="shared" si="0"/>
        <v>924587534.75898099</v>
      </c>
      <c r="K22" s="190">
        <f t="shared" si="0"/>
        <v>1826630851.689436</v>
      </c>
      <c r="L22" s="190">
        <f t="shared" si="0"/>
        <v>2032353686.8898227</v>
      </c>
      <c r="M22" s="190">
        <f t="shared" si="0"/>
        <v>512178774.39438617</v>
      </c>
      <c r="N22" s="190">
        <f t="shared" si="0"/>
        <v>280751575.85376883</v>
      </c>
      <c r="O22" s="190">
        <f t="shared" si="0"/>
        <v>125192432.19548953</v>
      </c>
      <c r="P22" s="30">
        <f t="shared" si="1"/>
        <v>13563359938.721779</v>
      </c>
      <c r="Q22" s="157" t="str">
        <f t="shared" si="2"/>
        <v>Line 210 + Line 310</v>
      </c>
      <c r="R22" s="379">
        <f t="shared" si="3"/>
        <v>110</v>
      </c>
    </row>
    <row r="23" spans="1:19">
      <c r="A23" s="379">
        <f t="shared" si="4"/>
        <v>111</v>
      </c>
      <c r="B23" s="145" t="s">
        <v>482</v>
      </c>
      <c r="C23" s="152">
        <f>'1-BaseTRR'!$G$2</f>
        <v>2020</v>
      </c>
      <c r="D23" s="190">
        <f t="shared" si="0"/>
        <v>64100170.389238402</v>
      </c>
      <c r="E23" s="190">
        <f t="shared" si="0"/>
        <v>206856641.35039973</v>
      </c>
      <c r="F23" s="190">
        <f t="shared" si="0"/>
        <v>368115545.05999994</v>
      </c>
      <c r="G23" s="190">
        <f t="shared" si="0"/>
        <v>109418506.24000001</v>
      </c>
      <c r="H23" s="190">
        <f t="shared" si="0"/>
        <v>7154676303.5748549</v>
      </c>
      <c r="I23" s="190">
        <f t="shared" si="0"/>
        <v>35969876.150000006</v>
      </c>
      <c r="J23" s="190">
        <f t="shared" si="0"/>
        <v>936004358.55387235</v>
      </c>
      <c r="K23" s="190">
        <f t="shared" si="0"/>
        <v>1840300223.9759789</v>
      </c>
      <c r="L23" s="190">
        <f t="shared" si="0"/>
        <v>2045814531.1432719</v>
      </c>
      <c r="M23" s="190">
        <f t="shared" si="0"/>
        <v>512204294.02640647</v>
      </c>
      <c r="N23" s="190">
        <f t="shared" si="0"/>
        <v>280865442.00118297</v>
      </c>
      <c r="O23" s="190">
        <f t="shared" si="0"/>
        <v>125698492.90548949</v>
      </c>
      <c r="P23" s="30">
        <f t="shared" si="1"/>
        <v>13680024385.370695</v>
      </c>
      <c r="Q23" s="157" t="str">
        <f t="shared" si="2"/>
        <v>Line 211 + Line 311</v>
      </c>
      <c r="R23" s="379">
        <f t="shared" si="3"/>
        <v>111</v>
      </c>
      <c r="S23" s="157"/>
    </row>
    <row r="24" spans="1:19">
      <c r="A24" s="379">
        <f t="shared" si="4"/>
        <v>112</v>
      </c>
      <c r="B24" s="154" t="s">
        <v>470</v>
      </c>
      <c r="C24" s="155">
        <f>'1-BaseTRR'!$G$2</f>
        <v>2020</v>
      </c>
      <c r="D24" s="501">
        <f t="shared" si="0"/>
        <v>63231179.729595318</v>
      </c>
      <c r="E24" s="501">
        <f t="shared" si="0"/>
        <v>205845528.87046275</v>
      </c>
      <c r="F24" s="501">
        <f t="shared" si="0"/>
        <v>366119916.95656717</v>
      </c>
      <c r="G24" s="501">
        <f t="shared" si="0"/>
        <v>109131455.49245669</v>
      </c>
      <c r="H24" s="501">
        <f t="shared" si="0"/>
        <v>7204638732.4242744</v>
      </c>
      <c r="I24" s="501">
        <f t="shared" si="0"/>
        <v>35969891.061679393</v>
      </c>
      <c r="J24" s="501">
        <f t="shared" si="0"/>
        <v>941463910.79628062</v>
      </c>
      <c r="K24" s="501">
        <f t="shared" si="0"/>
        <v>1864869522.6619036</v>
      </c>
      <c r="L24" s="501">
        <f t="shared" si="0"/>
        <v>2062518475.7625394</v>
      </c>
      <c r="M24" s="501">
        <f t="shared" si="0"/>
        <v>512216182.99682474</v>
      </c>
      <c r="N24" s="501">
        <f t="shared" si="0"/>
        <v>281270290.6082713</v>
      </c>
      <c r="O24" s="501">
        <f t="shared" si="0"/>
        <v>125139859.76503025</v>
      </c>
      <c r="P24" s="501">
        <f t="shared" si="1"/>
        <v>13772414947.125883</v>
      </c>
      <c r="Q24" s="157" t="str">
        <f t="shared" si="2"/>
        <v>Line 212 + Line 312</v>
      </c>
      <c r="R24" s="379">
        <f t="shared" si="3"/>
        <v>112</v>
      </c>
      <c r="S24" s="157"/>
    </row>
    <row r="25" spans="1:19">
      <c r="A25" s="379">
        <f t="shared" si="4"/>
        <v>113</v>
      </c>
      <c r="B25" s="579" t="s">
        <v>763</v>
      </c>
      <c r="C25" s="163"/>
      <c r="D25" s="191">
        <f>SUM(D12:D24)/13</f>
        <v>63817451.952908508</v>
      </c>
      <c r="E25" s="191">
        <f>SUM(E12:E24)/13</f>
        <v>207296985.7048021</v>
      </c>
      <c r="F25" s="191">
        <f>SUM(F12:F24)/13</f>
        <v>366930266.16820121</v>
      </c>
      <c r="G25" s="191">
        <f>SUM(G12:G24)/13</f>
        <v>111503877.2206092</v>
      </c>
      <c r="H25" s="191">
        <f t="shared" ref="H25:P25" si="5">SUM(H12:H24)/13</f>
        <v>6890650994.3353357</v>
      </c>
      <c r="I25" s="191">
        <f t="shared" si="5"/>
        <v>36013582.502457365</v>
      </c>
      <c r="J25" s="191">
        <f t="shared" si="5"/>
        <v>919585520.18945503</v>
      </c>
      <c r="K25" s="191">
        <f t="shared" si="5"/>
        <v>1729249309.7462881</v>
      </c>
      <c r="L25" s="191">
        <f t="shared" si="5"/>
        <v>1977007988.6212363</v>
      </c>
      <c r="M25" s="191">
        <f t="shared" si="5"/>
        <v>511158580.10612559</v>
      </c>
      <c r="N25" s="191">
        <f t="shared" si="5"/>
        <v>276568065.50530118</v>
      </c>
      <c r="O25" s="191">
        <f t="shared" si="5"/>
        <v>121043436.68022873</v>
      </c>
      <c r="P25" s="191">
        <f t="shared" si="5"/>
        <v>13210826058.73295</v>
      </c>
      <c r="Q25" s="157"/>
      <c r="R25" s="379">
        <f t="shared" si="3"/>
        <v>113</v>
      </c>
      <c r="S25" s="157"/>
    </row>
    <row r="26" spans="1:19">
      <c r="A26" s="371"/>
      <c r="B26" s="17"/>
      <c r="C26" s="17"/>
      <c r="D26" s="17"/>
      <c r="E26" s="17"/>
      <c r="F26" s="17"/>
      <c r="G26" s="17"/>
      <c r="H26" s="17"/>
      <c r="I26" s="17"/>
      <c r="J26" s="17"/>
      <c r="K26" s="17"/>
      <c r="L26" s="17"/>
      <c r="M26" s="17"/>
      <c r="R26" s="379"/>
    </row>
    <row r="27" spans="1:19">
      <c r="A27" s="371"/>
      <c r="B27" s="17"/>
      <c r="C27" s="17"/>
      <c r="D27" s="17"/>
      <c r="E27" s="17"/>
      <c r="F27" s="17"/>
      <c r="G27" s="17"/>
      <c r="H27" s="17"/>
      <c r="I27" s="17"/>
      <c r="J27" s="17"/>
      <c r="K27" s="17"/>
      <c r="L27" s="17"/>
      <c r="M27" s="17"/>
      <c r="R27" s="379"/>
    </row>
    <row r="28" spans="1:19">
      <c r="B28" s="52" t="s">
        <v>764</v>
      </c>
      <c r="C28" s="52"/>
      <c r="D28" s="138"/>
      <c r="E28" s="219"/>
      <c r="F28" s="219"/>
      <c r="G28" s="138"/>
      <c r="H28" s="138"/>
      <c r="I28" s="138"/>
      <c r="J28" s="138"/>
      <c r="K28" s="138"/>
      <c r="L28" s="138"/>
      <c r="M28" s="138"/>
      <c r="N28" s="219"/>
      <c r="O28" s="219"/>
      <c r="P28" s="219"/>
      <c r="Q28" s="219"/>
    </row>
    <row r="29" spans="1:19">
      <c r="B29" s="145" t="s">
        <v>765</v>
      </c>
      <c r="C29" s="12"/>
      <c r="D29" s="17"/>
      <c r="G29" s="17"/>
      <c r="H29" s="17"/>
      <c r="I29" s="17"/>
      <c r="J29" s="17"/>
      <c r="K29" s="17"/>
      <c r="L29" s="17"/>
      <c r="M29" s="17"/>
    </row>
    <row r="30" spans="1:19">
      <c r="B30" t="s">
        <v>766</v>
      </c>
      <c r="C30" s="12"/>
      <c r="D30" s="17"/>
      <c r="G30" s="17"/>
      <c r="H30" s="17"/>
      <c r="I30" s="17"/>
      <c r="J30" s="17"/>
      <c r="K30" s="17"/>
      <c r="L30" s="17"/>
      <c r="M30" s="17"/>
    </row>
    <row r="31" spans="1:19">
      <c r="C31" s="12"/>
      <c r="D31" s="17"/>
      <c r="G31" s="17"/>
      <c r="H31" s="17"/>
      <c r="I31" s="17"/>
      <c r="J31" s="17"/>
      <c r="K31" s="17"/>
      <c r="L31" s="17"/>
      <c r="M31" s="17"/>
    </row>
    <row r="32" spans="1:19">
      <c r="A32" s="8"/>
      <c r="D32" s="147" t="s">
        <v>413</v>
      </c>
      <c r="E32" s="147" t="s">
        <v>414</v>
      </c>
      <c r="F32" s="147" t="s">
        <v>415</v>
      </c>
      <c r="G32" s="147" t="s">
        <v>416</v>
      </c>
      <c r="H32" s="147" t="s">
        <v>417</v>
      </c>
      <c r="I32" s="147" t="s">
        <v>418</v>
      </c>
      <c r="J32" s="147" t="s">
        <v>419</v>
      </c>
      <c r="K32" s="147" t="s">
        <v>420</v>
      </c>
      <c r="L32" s="147" t="s">
        <v>451</v>
      </c>
      <c r="M32" s="147" t="s">
        <v>586</v>
      </c>
      <c r="N32" s="147" t="s">
        <v>587</v>
      </c>
      <c r="O32" s="147" t="s">
        <v>588</v>
      </c>
      <c r="P32" s="147" t="s">
        <v>589</v>
      </c>
      <c r="Q32" s="147"/>
    </row>
    <row r="33" spans="1:18">
      <c r="B33" s="8"/>
      <c r="C33" s="8"/>
      <c r="D33" s="214"/>
      <c r="E33" s="214"/>
      <c r="F33" s="214"/>
      <c r="G33" s="214"/>
      <c r="H33" s="214"/>
      <c r="I33" s="214"/>
      <c r="J33" s="214"/>
      <c r="K33" s="214"/>
      <c r="L33" s="214"/>
      <c r="M33" s="214"/>
      <c r="N33" s="214"/>
      <c r="O33" s="214"/>
      <c r="P33" s="149" t="s">
        <v>749</v>
      </c>
      <c r="Q33" s="35"/>
    </row>
    <row r="34" spans="1:18">
      <c r="B34" s="8"/>
      <c r="C34" s="8"/>
      <c r="P34" s="35"/>
      <c r="Q34" s="35"/>
    </row>
    <row r="35" spans="1:18">
      <c r="A35" s="379"/>
      <c r="B35" s="379"/>
      <c r="C35" s="151" t="s">
        <v>750</v>
      </c>
      <c r="D35" s="116">
        <v>350.01</v>
      </c>
      <c r="E35" s="116">
        <v>350.02</v>
      </c>
      <c r="F35" s="116">
        <v>352.01</v>
      </c>
      <c r="G35" s="116">
        <v>352.02</v>
      </c>
      <c r="H35" s="116">
        <v>353.01</v>
      </c>
      <c r="I35" s="116">
        <v>353.02</v>
      </c>
      <c r="J35" s="116">
        <v>354</v>
      </c>
      <c r="K35" s="116">
        <v>355</v>
      </c>
      <c r="L35" s="116">
        <v>356</v>
      </c>
      <c r="M35" s="116">
        <v>357</v>
      </c>
      <c r="N35" s="116">
        <v>358</v>
      </c>
      <c r="O35" s="116">
        <v>359</v>
      </c>
    </row>
    <row r="36" spans="1:18">
      <c r="A36" s="144" t="s">
        <v>99</v>
      </c>
      <c r="B36" s="144" t="s">
        <v>426</v>
      </c>
      <c r="C36" s="144" t="s">
        <v>462</v>
      </c>
      <c r="D36" s="147" t="s">
        <v>751</v>
      </c>
      <c r="E36" s="147" t="s">
        <v>752</v>
      </c>
      <c r="F36" s="147" t="s">
        <v>753</v>
      </c>
      <c r="G36" s="147" t="s">
        <v>754</v>
      </c>
      <c r="H36" s="147" t="s">
        <v>755</v>
      </c>
      <c r="I36" s="147" t="s">
        <v>756</v>
      </c>
      <c r="J36" s="147" t="s">
        <v>757</v>
      </c>
      <c r="K36" s="147" t="s">
        <v>758</v>
      </c>
      <c r="L36" s="147" t="s">
        <v>759</v>
      </c>
      <c r="M36" s="147" t="s">
        <v>760</v>
      </c>
      <c r="N36" s="147" t="s">
        <v>761</v>
      </c>
      <c r="O36" s="147" t="s">
        <v>762</v>
      </c>
      <c r="P36" s="144" t="s">
        <v>509</v>
      </c>
      <c r="Q36" s="144"/>
      <c r="R36" s="144" t="str">
        <f>A36</f>
        <v>Line</v>
      </c>
    </row>
    <row r="37" spans="1:18">
      <c r="A37" s="379">
        <v>200</v>
      </c>
      <c r="B37" s="145" t="s">
        <v>470</v>
      </c>
      <c r="C37" s="152">
        <f>'1-BaseTRR'!$G$2-1</f>
        <v>2019</v>
      </c>
      <c r="D37" s="502">
        <v>35449638.264439024</v>
      </c>
      <c r="E37" s="502">
        <v>102400247.13047542</v>
      </c>
      <c r="F37" s="502">
        <v>178220890.7838605</v>
      </c>
      <c r="G37" s="502">
        <v>50097965.789040245</v>
      </c>
      <c r="H37" s="502">
        <v>3332349962.4514132</v>
      </c>
      <c r="I37" s="502">
        <v>8276399.6026778389</v>
      </c>
      <c r="J37" s="502">
        <v>500495848.16930991</v>
      </c>
      <c r="K37" s="502">
        <v>281632385.32504749</v>
      </c>
      <c r="L37" s="502">
        <v>709150351.48529303</v>
      </c>
      <c r="M37" s="502">
        <v>341927842.32073998</v>
      </c>
      <c r="N37" s="502">
        <v>108839513.29259278</v>
      </c>
      <c r="O37" s="502">
        <v>32266970.496872768</v>
      </c>
      <c r="P37" s="30">
        <f>SUM(D37:O37)</f>
        <v>5681108015.111763</v>
      </c>
      <c r="Q37" s="157"/>
      <c r="R37" s="379">
        <f t="shared" ref="R37:R50" si="6">A37</f>
        <v>200</v>
      </c>
    </row>
    <row r="38" spans="1:18">
      <c r="A38" s="379">
        <f>A37+1</f>
        <v>201</v>
      </c>
      <c r="B38" s="145" t="s">
        <v>472</v>
      </c>
      <c r="C38" s="152">
        <f>'1-BaseTRR'!$G$2</f>
        <v>2020</v>
      </c>
      <c r="D38" s="502">
        <v>41674485.655344084</v>
      </c>
      <c r="E38" s="502">
        <v>98805497.400764331</v>
      </c>
      <c r="F38" s="502">
        <v>174620230.60243344</v>
      </c>
      <c r="G38" s="502">
        <v>49048597.510958612</v>
      </c>
      <c r="H38" s="502">
        <v>3271611474.4164662</v>
      </c>
      <c r="I38" s="502">
        <v>9105766.7963605467</v>
      </c>
      <c r="J38" s="502">
        <v>496109204.40953606</v>
      </c>
      <c r="K38" s="502">
        <v>265774803.24450904</v>
      </c>
      <c r="L38" s="502">
        <v>689168840.79561055</v>
      </c>
      <c r="M38" s="502">
        <v>339813432.35966593</v>
      </c>
      <c r="N38" s="502">
        <v>105267162.37274887</v>
      </c>
      <c r="O38" s="502">
        <v>37817280.424022891</v>
      </c>
      <c r="P38" s="30">
        <f t="shared" ref="P38:P49" si="7">SUM(D38:O38)</f>
        <v>5578816775.9884205</v>
      </c>
      <c r="Q38" s="157"/>
      <c r="R38" s="379">
        <f t="shared" si="6"/>
        <v>201</v>
      </c>
    </row>
    <row r="39" spans="1:18">
      <c r="A39" s="379">
        <f t="shared" ref="A39:A50" si="8">A38+1</f>
        <v>202</v>
      </c>
      <c r="B39" s="145" t="s">
        <v>473</v>
      </c>
      <c r="C39" s="152">
        <f>'1-BaseTRR'!$G$2</f>
        <v>2020</v>
      </c>
      <c r="D39" s="502">
        <v>41702530.845244482</v>
      </c>
      <c r="E39" s="502">
        <v>99252132.886862263</v>
      </c>
      <c r="F39" s="502">
        <v>175327047.65466926</v>
      </c>
      <c r="G39" s="502">
        <v>44242624.720379211</v>
      </c>
      <c r="H39" s="502">
        <v>3286029642.5867834</v>
      </c>
      <c r="I39" s="502">
        <v>9105912.5115544014</v>
      </c>
      <c r="J39" s="502">
        <v>496998449.67553854</v>
      </c>
      <c r="K39" s="502">
        <v>269736298.06812835</v>
      </c>
      <c r="L39" s="502">
        <v>696016632.99242401</v>
      </c>
      <c r="M39" s="502">
        <v>340623629.39073956</v>
      </c>
      <c r="N39" s="502">
        <v>105745004.75386155</v>
      </c>
      <c r="O39" s="502">
        <v>37876834.290344886</v>
      </c>
      <c r="P39" s="30">
        <f t="shared" si="7"/>
        <v>5602656740.3765297</v>
      </c>
      <c r="Q39" s="157"/>
      <c r="R39" s="379">
        <f t="shared" si="6"/>
        <v>202</v>
      </c>
    </row>
    <row r="40" spans="1:18">
      <c r="A40" s="379">
        <f t="shared" si="8"/>
        <v>203</v>
      </c>
      <c r="B40" s="145" t="s">
        <v>474</v>
      </c>
      <c r="C40" s="152">
        <f>'1-BaseTRR'!$G$2</f>
        <v>2020</v>
      </c>
      <c r="D40" s="502">
        <v>41710634.451118387</v>
      </c>
      <c r="E40" s="502">
        <v>99716917.033023044</v>
      </c>
      <c r="F40" s="502">
        <v>175386705.70700195</v>
      </c>
      <c r="G40" s="502">
        <v>44258248.322480634</v>
      </c>
      <c r="H40" s="502">
        <v>3293839202.1433911</v>
      </c>
      <c r="I40" s="502">
        <v>9106009.4090142474</v>
      </c>
      <c r="J40" s="502">
        <v>497306162.88563979</v>
      </c>
      <c r="K40" s="502">
        <v>271936019.34435105</v>
      </c>
      <c r="L40" s="502">
        <v>701594361.93579185</v>
      </c>
      <c r="M40" s="502">
        <v>340642798.958175</v>
      </c>
      <c r="N40" s="502">
        <v>105773025.33368726</v>
      </c>
      <c r="O40" s="502">
        <v>38280052.500786394</v>
      </c>
      <c r="P40" s="30">
        <f t="shared" si="7"/>
        <v>5619550138.0244608</v>
      </c>
      <c r="Q40" s="157"/>
      <c r="R40" s="379">
        <f t="shared" si="6"/>
        <v>203</v>
      </c>
    </row>
    <row r="41" spans="1:18">
      <c r="A41" s="379">
        <f t="shared" si="8"/>
        <v>204</v>
      </c>
      <c r="B41" s="145" t="s">
        <v>475</v>
      </c>
      <c r="C41" s="152">
        <f>'1-BaseTRR'!$G$2</f>
        <v>2020</v>
      </c>
      <c r="D41" s="502">
        <v>41708180.153590478</v>
      </c>
      <c r="E41" s="502">
        <v>101073368.989236</v>
      </c>
      <c r="F41" s="502">
        <v>175433378.1828379</v>
      </c>
      <c r="G41" s="502">
        <v>44230503.861346789</v>
      </c>
      <c r="H41" s="502">
        <v>3342456864.7401443</v>
      </c>
      <c r="I41" s="502">
        <v>9106156.7450939529</v>
      </c>
      <c r="J41" s="502">
        <v>497661705.33071035</v>
      </c>
      <c r="K41" s="502">
        <v>274696332.54775798</v>
      </c>
      <c r="L41" s="502">
        <v>705960152.92220128</v>
      </c>
      <c r="M41" s="502">
        <v>340647542.25043112</v>
      </c>
      <c r="N41" s="502">
        <v>105810257.03094541</v>
      </c>
      <c r="O41" s="502">
        <v>38451170.998482734</v>
      </c>
      <c r="P41" s="30">
        <f t="shared" si="7"/>
        <v>5677235613.7527781</v>
      </c>
      <c r="Q41" s="157"/>
      <c r="R41" s="379">
        <f t="shared" si="6"/>
        <v>204</v>
      </c>
    </row>
    <row r="42" spans="1:18">
      <c r="A42" s="379">
        <f t="shared" si="8"/>
        <v>205</v>
      </c>
      <c r="B42" s="145" t="s">
        <v>437</v>
      </c>
      <c r="C42" s="152">
        <f>'1-BaseTRR'!$G$2</f>
        <v>2020</v>
      </c>
      <c r="D42" s="502">
        <v>41735615.696029812</v>
      </c>
      <c r="E42" s="502">
        <v>101846619.08561307</v>
      </c>
      <c r="F42" s="502">
        <v>175302108.5451546</v>
      </c>
      <c r="G42" s="502">
        <v>44032726.082143806</v>
      </c>
      <c r="H42" s="502">
        <v>3351864750.6634769</v>
      </c>
      <c r="I42" s="502">
        <v>9117649.4742342681</v>
      </c>
      <c r="J42" s="502">
        <v>498159370.66695935</v>
      </c>
      <c r="K42" s="502">
        <v>280339622.02939218</v>
      </c>
      <c r="L42" s="502">
        <v>709798892.88020515</v>
      </c>
      <c r="M42" s="502">
        <v>342005686.20708454</v>
      </c>
      <c r="N42" s="502">
        <v>109594792.45893052</v>
      </c>
      <c r="O42" s="502">
        <v>38961882.744350381</v>
      </c>
      <c r="P42" s="30">
        <f t="shared" si="7"/>
        <v>5702759716.5335751</v>
      </c>
      <c r="Q42" s="157"/>
      <c r="R42" s="379">
        <f t="shared" si="6"/>
        <v>205</v>
      </c>
    </row>
    <row r="43" spans="1:18">
      <c r="A43" s="379">
        <f t="shared" si="8"/>
        <v>206</v>
      </c>
      <c r="B43" s="145" t="s">
        <v>592</v>
      </c>
      <c r="C43" s="152">
        <f>'1-BaseTRR'!$G$2</f>
        <v>2020</v>
      </c>
      <c r="D43" s="502">
        <v>41934499.531086728</v>
      </c>
      <c r="E43" s="502">
        <v>102849710.95152396</v>
      </c>
      <c r="F43" s="502">
        <v>175324954.25356102</v>
      </c>
      <c r="G43" s="502">
        <v>43995517.285379425</v>
      </c>
      <c r="H43" s="502">
        <v>3382633532.090445</v>
      </c>
      <c r="I43" s="502">
        <v>9117649.5627554096</v>
      </c>
      <c r="J43" s="502">
        <v>501539973.00227356</v>
      </c>
      <c r="K43" s="502">
        <v>289626604.71451068</v>
      </c>
      <c r="L43" s="502">
        <v>717489458.46120405</v>
      </c>
      <c r="M43" s="502">
        <v>342034657.63820833</v>
      </c>
      <c r="N43" s="502">
        <v>109553412.07625452</v>
      </c>
      <c r="O43" s="502">
        <v>39323918.485935017</v>
      </c>
      <c r="P43" s="30">
        <f t="shared" si="7"/>
        <v>5755423888.0531378</v>
      </c>
      <c r="Q43" s="157"/>
      <c r="R43" s="379">
        <f t="shared" si="6"/>
        <v>206</v>
      </c>
    </row>
    <row r="44" spans="1:18">
      <c r="A44" s="379">
        <f t="shared" si="8"/>
        <v>207</v>
      </c>
      <c r="B44" s="145" t="s">
        <v>477</v>
      </c>
      <c r="C44" s="152">
        <f>'1-BaseTRR'!$G$2</f>
        <v>2020</v>
      </c>
      <c r="D44" s="502">
        <v>41943630.095520191</v>
      </c>
      <c r="E44" s="502">
        <v>103082560.40223308</v>
      </c>
      <c r="F44" s="502">
        <v>175419173.83324942</v>
      </c>
      <c r="G44" s="502">
        <v>43773755.851993494</v>
      </c>
      <c r="H44" s="502">
        <v>3387187108.5341129</v>
      </c>
      <c r="I44" s="502">
        <v>9117671.9911086913</v>
      </c>
      <c r="J44" s="502">
        <v>503069374.56111187</v>
      </c>
      <c r="K44" s="502">
        <v>291403200.39838225</v>
      </c>
      <c r="L44" s="502">
        <v>722394910.4779036</v>
      </c>
      <c r="M44" s="502">
        <v>342042262.38236445</v>
      </c>
      <c r="N44" s="502">
        <v>109579339.90555456</v>
      </c>
      <c r="O44" s="502">
        <v>39263286.751840793</v>
      </c>
      <c r="P44" s="30">
        <f t="shared" si="7"/>
        <v>5768276275.1853752</v>
      </c>
      <c r="Q44" s="157"/>
      <c r="R44" s="379">
        <f t="shared" si="6"/>
        <v>207</v>
      </c>
    </row>
    <row r="45" spans="1:18">
      <c r="A45" s="379">
        <f t="shared" si="8"/>
        <v>208</v>
      </c>
      <c r="B45" s="145" t="s">
        <v>478</v>
      </c>
      <c r="C45" s="152">
        <f>'1-BaseTRR'!$G$2</f>
        <v>2020</v>
      </c>
      <c r="D45" s="502">
        <v>41874882.568908408</v>
      </c>
      <c r="E45" s="502">
        <v>100454109.50865237</v>
      </c>
      <c r="F45" s="502">
        <v>175618547.89233881</v>
      </c>
      <c r="G45" s="502">
        <v>44188302.144552253</v>
      </c>
      <c r="H45" s="502">
        <v>3398565934.2836285</v>
      </c>
      <c r="I45" s="502">
        <v>9117672.4543234445</v>
      </c>
      <c r="J45" s="502">
        <v>506936228.04578054</v>
      </c>
      <c r="K45" s="502">
        <v>291602012.37768698</v>
      </c>
      <c r="L45" s="502">
        <v>726386336.20211494</v>
      </c>
      <c r="M45" s="502">
        <v>342045535.3712942</v>
      </c>
      <c r="N45" s="502">
        <v>109669237.4369611</v>
      </c>
      <c r="O45" s="502">
        <v>39512715.440599114</v>
      </c>
      <c r="P45" s="30">
        <f t="shared" si="7"/>
        <v>5785971513.726841</v>
      </c>
      <c r="Q45" s="157"/>
      <c r="R45" s="379">
        <f t="shared" si="6"/>
        <v>208</v>
      </c>
    </row>
    <row r="46" spans="1:18">
      <c r="A46" s="379">
        <f t="shared" si="8"/>
        <v>209</v>
      </c>
      <c r="B46" s="145" t="s">
        <v>480</v>
      </c>
      <c r="C46" s="152">
        <f>'1-BaseTRR'!$G$2</f>
        <v>2020</v>
      </c>
      <c r="D46" s="502">
        <v>41889968.703755341</v>
      </c>
      <c r="E46" s="502">
        <v>100468290.23441118</v>
      </c>
      <c r="F46" s="502">
        <v>175623282.83478177</v>
      </c>
      <c r="G46" s="502">
        <v>44177572.728072993</v>
      </c>
      <c r="H46" s="502">
        <v>3463016906.1818895</v>
      </c>
      <c r="I46" s="502">
        <v>9117674.4072702527</v>
      </c>
      <c r="J46" s="502">
        <v>504347990.34170234</v>
      </c>
      <c r="K46" s="502">
        <v>296558686.80991572</v>
      </c>
      <c r="L46" s="502">
        <v>734205711.29636145</v>
      </c>
      <c r="M46" s="502">
        <v>342050666.2746461</v>
      </c>
      <c r="N46" s="502">
        <v>109679677.18929303</v>
      </c>
      <c r="O46" s="502">
        <v>39627233.107464895</v>
      </c>
      <c r="P46" s="30">
        <f t="shared" si="7"/>
        <v>5860763660.1095638</v>
      </c>
      <c r="Q46" s="157"/>
      <c r="R46" s="379">
        <f t="shared" si="6"/>
        <v>209</v>
      </c>
    </row>
    <row r="47" spans="1:18">
      <c r="A47" s="379">
        <f t="shared" si="8"/>
        <v>210</v>
      </c>
      <c r="B47" s="145" t="s">
        <v>481</v>
      </c>
      <c r="C47" s="152">
        <f>'1-BaseTRR'!$G$2</f>
        <v>2020</v>
      </c>
      <c r="D47" s="502">
        <v>41924988.942514248</v>
      </c>
      <c r="E47" s="502">
        <v>100467074.97010481</v>
      </c>
      <c r="F47" s="502">
        <v>175633360.74943075</v>
      </c>
      <c r="G47" s="502">
        <v>44182086.485420749</v>
      </c>
      <c r="H47" s="502">
        <v>3473486831.6839309</v>
      </c>
      <c r="I47" s="502">
        <v>9117674.6402865425</v>
      </c>
      <c r="J47" s="502">
        <v>504962714.52776724</v>
      </c>
      <c r="K47" s="502">
        <v>301084488.31985575</v>
      </c>
      <c r="L47" s="502">
        <v>736736151.32526922</v>
      </c>
      <c r="M47" s="502">
        <v>342072879.83627182</v>
      </c>
      <c r="N47" s="502">
        <v>109749202.77086239</v>
      </c>
      <c r="O47" s="502">
        <v>39906574.158553541</v>
      </c>
      <c r="P47" s="30">
        <f t="shared" si="7"/>
        <v>5879324028.4102688</v>
      </c>
      <c r="Q47" s="157"/>
      <c r="R47" s="379">
        <f t="shared" si="6"/>
        <v>210</v>
      </c>
    </row>
    <row r="48" spans="1:18">
      <c r="A48" s="379">
        <f t="shared" si="8"/>
        <v>211</v>
      </c>
      <c r="B48" s="145" t="s">
        <v>482</v>
      </c>
      <c r="C48" s="152">
        <f>'1-BaseTRR'!$G$2</f>
        <v>2020</v>
      </c>
      <c r="D48" s="502">
        <v>41953369.894934312</v>
      </c>
      <c r="E48" s="502">
        <v>100527665.04237437</v>
      </c>
      <c r="F48" s="502">
        <v>175863668.10295886</v>
      </c>
      <c r="G48" s="502">
        <v>44002001.608910091</v>
      </c>
      <c r="H48" s="502">
        <v>3511449386.3425498</v>
      </c>
      <c r="I48" s="502">
        <v>9097413.1814003661</v>
      </c>
      <c r="J48" s="502">
        <v>511198003.36524481</v>
      </c>
      <c r="K48" s="502">
        <v>303337617.87624091</v>
      </c>
      <c r="L48" s="502">
        <v>741615759.9548341</v>
      </c>
      <c r="M48" s="502">
        <v>342089923.83429354</v>
      </c>
      <c r="N48" s="502">
        <v>109793714.43161899</v>
      </c>
      <c r="O48" s="502">
        <v>40067887.018270254</v>
      </c>
      <c r="P48" s="30">
        <f t="shared" si="7"/>
        <v>5930996410.6536293</v>
      </c>
      <c r="Q48" s="157"/>
      <c r="R48" s="379">
        <f t="shared" si="6"/>
        <v>211</v>
      </c>
    </row>
    <row r="49" spans="1:18">
      <c r="A49" s="379">
        <f t="shared" si="8"/>
        <v>212</v>
      </c>
      <c r="B49" s="154" t="s">
        <v>470</v>
      </c>
      <c r="C49" s="155">
        <f>'1-BaseTRR'!$G$2</f>
        <v>2020</v>
      </c>
      <c r="D49" s="503">
        <v>45183261.536581069</v>
      </c>
      <c r="E49" s="503">
        <v>100461805.5968153</v>
      </c>
      <c r="F49" s="503">
        <v>177010988.13358477</v>
      </c>
      <c r="G49" s="503">
        <v>43880753.898035169</v>
      </c>
      <c r="H49" s="503">
        <v>3533671154.4547281</v>
      </c>
      <c r="I49" s="503">
        <v>9119741.0124074612</v>
      </c>
      <c r="J49" s="503">
        <v>517511887.20272338</v>
      </c>
      <c r="K49" s="503">
        <v>299366891.20009452</v>
      </c>
      <c r="L49" s="503">
        <v>749772188.93034244</v>
      </c>
      <c r="M49" s="503">
        <v>342595756.17671096</v>
      </c>
      <c r="N49" s="503">
        <v>110131457.56783737</v>
      </c>
      <c r="O49" s="503">
        <v>40170760.111428887</v>
      </c>
      <c r="P49" s="504">
        <f t="shared" si="7"/>
        <v>5968876645.82129</v>
      </c>
      <c r="Q49" s="157"/>
      <c r="R49" s="379">
        <f t="shared" si="6"/>
        <v>212</v>
      </c>
    </row>
    <row r="50" spans="1:18">
      <c r="A50" s="379">
        <f t="shared" si="8"/>
        <v>213</v>
      </c>
      <c r="B50" s="579" t="s">
        <v>763</v>
      </c>
      <c r="C50" s="163"/>
      <c r="D50" s="191">
        <f>SUM(D37:D49)/13</f>
        <v>41591206.641466655</v>
      </c>
      <c r="E50" s="191">
        <f>SUM(E37:E49)/13</f>
        <v>100877384.55631454</v>
      </c>
      <c r="F50" s="191">
        <f>SUM(F37:F49)/13</f>
        <v>175752641.32891253</v>
      </c>
      <c r="G50" s="191">
        <f>SUM(G37:G49)/13</f>
        <v>44931588.945285648</v>
      </c>
      <c r="H50" s="191">
        <f t="shared" ref="H50" si="9">SUM(H37:H49)/13</f>
        <v>3386781750.0440745</v>
      </c>
      <c r="I50" s="191">
        <f t="shared" ref="I50" si="10">SUM(I37:I49)/13</f>
        <v>9047953.2144990321</v>
      </c>
      <c r="J50" s="191">
        <f t="shared" ref="J50" si="11">SUM(J37:J49)/13</f>
        <v>502792070.16802287</v>
      </c>
      <c r="K50" s="191">
        <f t="shared" ref="K50" si="12">SUM(K37:K49)/13</f>
        <v>285930381.71199024</v>
      </c>
      <c r="L50" s="191">
        <f t="shared" ref="L50" si="13">SUM(L37:L49)/13</f>
        <v>718483826.89688885</v>
      </c>
      <c r="M50" s="191">
        <f t="shared" ref="M50" si="14">SUM(M37:M49)/13</f>
        <v>341584047.15389419</v>
      </c>
      <c r="N50" s="191">
        <f t="shared" ref="N50" si="15">SUM(N37:N49)/13</f>
        <v>108398907.43239602</v>
      </c>
      <c r="O50" s="191">
        <f t="shared" ref="O50" si="16">SUM(O37:O49)/13</f>
        <v>38578966.65607328</v>
      </c>
      <c r="P50" s="345">
        <f t="shared" ref="P50" si="17">SUM(P37:P49)/13</f>
        <v>5754750724.7498178</v>
      </c>
      <c r="Q50" s="157"/>
      <c r="R50" s="379">
        <f t="shared" si="6"/>
        <v>213</v>
      </c>
    </row>
    <row r="51" spans="1:18">
      <c r="A51" s="371"/>
      <c r="B51" s="17"/>
      <c r="C51" s="17"/>
      <c r="D51" s="17"/>
      <c r="E51" s="17"/>
      <c r="F51" s="17"/>
      <c r="G51" s="17"/>
      <c r="H51" s="17"/>
      <c r="I51" s="17"/>
      <c r="J51" s="17"/>
      <c r="K51" s="17"/>
      <c r="L51" s="17"/>
      <c r="M51" s="17"/>
      <c r="R51" s="379"/>
    </row>
    <row r="52" spans="1:18">
      <c r="A52" s="371"/>
      <c r="B52" s="17"/>
      <c r="C52" s="17"/>
      <c r="D52" s="17"/>
      <c r="E52" s="17"/>
      <c r="F52" s="17"/>
      <c r="G52" s="17"/>
      <c r="H52" s="17"/>
      <c r="I52" s="17"/>
      <c r="J52" s="17"/>
      <c r="K52" s="17"/>
      <c r="L52" s="17"/>
      <c r="M52" s="17"/>
      <c r="R52" s="379"/>
    </row>
    <row r="53" spans="1:18">
      <c r="B53" s="52" t="s">
        <v>767</v>
      </c>
      <c r="C53" s="52"/>
      <c r="D53" s="138"/>
      <c r="E53" s="138"/>
      <c r="F53" s="219"/>
      <c r="G53" s="138"/>
      <c r="H53" s="138"/>
      <c r="I53" s="138"/>
      <c r="J53" s="138"/>
      <c r="K53" s="138"/>
      <c r="L53" s="138"/>
      <c r="M53" s="138"/>
      <c r="N53" s="219"/>
      <c r="O53" s="219"/>
      <c r="P53" s="219"/>
      <c r="Q53" s="219"/>
    </row>
    <row r="54" spans="1:18">
      <c r="B54" s="145" t="s">
        <v>768</v>
      </c>
      <c r="C54" s="12"/>
      <c r="D54" s="17"/>
      <c r="E54" s="17"/>
      <c r="G54" s="17"/>
      <c r="H54" s="17"/>
      <c r="I54" s="17"/>
      <c r="J54" s="17"/>
      <c r="K54" s="17"/>
      <c r="L54" s="17"/>
      <c r="M54" s="17"/>
    </row>
    <row r="55" spans="1:18">
      <c r="B55" t="s">
        <v>769</v>
      </c>
      <c r="C55" s="12"/>
      <c r="D55" s="17"/>
      <c r="E55" s="17"/>
      <c r="G55" s="17"/>
      <c r="H55" s="17"/>
      <c r="I55" s="17"/>
      <c r="J55" s="17"/>
      <c r="K55" s="17"/>
      <c r="L55" s="17"/>
      <c r="M55" s="17"/>
    </row>
    <row r="56" spans="1:18">
      <c r="B56" s="145"/>
      <c r="C56" s="12"/>
      <c r="D56" s="17"/>
      <c r="E56" s="17"/>
      <c r="G56" s="17"/>
      <c r="H56" s="17"/>
      <c r="I56" s="17"/>
      <c r="J56" s="17"/>
      <c r="K56" s="17"/>
      <c r="L56" s="17"/>
      <c r="M56" s="17"/>
    </row>
    <row r="57" spans="1:18">
      <c r="A57" s="8"/>
      <c r="D57" s="147" t="s">
        <v>413</v>
      </c>
      <c r="E57" s="147" t="s">
        <v>414</v>
      </c>
      <c r="F57" s="147" t="s">
        <v>415</v>
      </c>
      <c r="G57" s="147" t="s">
        <v>416</v>
      </c>
      <c r="H57" s="147" t="s">
        <v>417</v>
      </c>
      <c r="I57" s="147" t="s">
        <v>418</v>
      </c>
      <c r="J57" s="147" t="s">
        <v>419</v>
      </c>
      <c r="K57" s="147" t="s">
        <v>420</v>
      </c>
      <c r="L57" s="147" t="s">
        <v>451</v>
      </c>
      <c r="M57" s="147" t="s">
        <v>586</v>
      </c>
      <c r="N57" s="147" t="s">
        <v>587</v>
      </c>
      <c r="O57" s="147" t="s">
        <v>588</v>
      </c>
      <c r="P57" s="147" t="s">
        <v>589</v>
      </c>
      <c r="Q57" s="147"/>
      <c r="R57" s="379"/>
    </row>
    <row r="58" spans="1:18">
      <c r="B58" s="8"/>
      <c r="C58" s="8"/>
      <c r="D58" s="214"/>
      <c r="E58" s="214"/>
      <c r="F58" s="214"/>
      <c r="G58" s="214"/>
      <c r="H58" s="214"/>
      <c r="I58" s="214"/>
      <c r="J58" s="214"/>
      <c r="K58" s="214"/>
      <c r="L58" s="214"/>
      <c r="M58" s="214"/>
      <c r="N58" s="214"/>
      <c r="O58" s="214"/>
      <c r="P58" s="149" t="s">
        <v>749</v>
      </c>
      <c r="Q58" s="35"/>
      <c r="R58" s="379"/>
    </row>
    <row r="59" spans="1:18">
      <c r="B59" s="8"/>
      <c r="C59" s="8"/>
      <c r="N59" s="35"/>
      <c r="P59" s="35"/>
      <c r="Q59" s="35"/>
      <c r="R59" s="379"/>
    </row>
    <row r="60" spans="1:18">
      <c r="A60" s="379"/>
      <c r="B60" s="379"/>
      <c r="C60" s="151" t="s">
        <v>750</v>
      </c>
      <c r="D60" s="116">
        <v>350.01</v>
      </c>
      <c r="E60" s="116">
        <v>350.02</v>
      </c>
      <c r="F60" s="116">
        <v>352.01</v>
      </c>
      <c r="G60" s="116">
        <v>352.02</v>
      </c>
      <c r="H60" s="116">
        <v>353.01</v>
      </c>
      <c r="I60" s="116">
        <v>353.02</v>
      </c>
      <c r="J60" s="116">
        <v>354</v>
      </c>
      <c r="K60" s="116">
        <v>355</v>
      </c>
      <c r="L60" s="116">
        <v>356</v>
      </c>
      <c r="M60" s="116">
        <v>357</v>
      </c>
      <c r="N60" s="116">
        <v>358</v>
      </c>
      <c r="O60" s="116">
        <v>359</v>
      </c>
      <c r="R60" s="379"/>
    </row>
    <row r="61" spans="1:18">
      <c r="A61" s="144" t="s">
        <v>99</v>
      </c>
      <c r="B61" s="144" t="s">
        <v>426</v>
      </c>
      <c r="C61" s="144" t="s">
        <v>462</v>
      </c>
      <c r="D61" s="147" t="s">
        <v>751</v>
      </c>
      <c r="E61" s="147" t="s">
        <v>752</v>
      </c>
      <c r="F61" s="147" t="s">
        <v>753</v>
      </c>
      <c r="G61" s="147" t="s">
        <v>754</v>
      </c>
      <c r="H61" s="147" t="s">
        <v>755</v>
      </c>
      <c r="I61" s="147" t="s">
        <v>756</v>
      </c>
      <c r="J61" s="147" t="s">
        <v>757</v>
      </c>
      <c r="K61" s="147" t="s">
        <v>758</v>
      </c>
      <c r="L61" s="147" t="s">
        <v>759</v>
      </c>
      <c r="M61" s="147" t="s">
        <v>760</v>
      </c>
      <c r="N61" s="147" t="s">
        <v>761</v>
      </c>
      <c r="O61" s="147" t="s">
        <v>762</v>
      </c>
      <c r="P61" s="144" t="s">
        <v>509</v>
      </c>
      <c r="Q61" s="144"/>
      <c r="R61" s="144" t="str">
        <f>A61</f>
        <v>Line</v>
      </c>
    </row>
    <row r="62" spans="1:18">
      <c r="A62" s="379">
        <v>300</v>
      </c>
      <c r="B62" s="145" t="s">
        <v>470</v>
      </c>
      <c r="C62" s="152">
        <f>'1-BaseTRR'!$G$2-1</f>
        <v>2019</v>
      </c>
      <c r="D62" s="502">
        <v>28035609.937839881</v>
      </c>
      <c r="E62" s="502">
        <v>105554620.94557858</v>
      </c>
      <c r="F62" s="502">
        <v>186838517.46618834</v>
      </c>
      <c r="G62" s="502">
        <v>71524055.116422594</v>
      </c>
      <c r="H62" s="502">
        <v>3322571612.3498812</v>
      </c>
      <c r="I62" s="502">
        <v>27646004.164014466</v>
      </c>
      <c r="J62" s="502">
        <v>408655729.53983968</v>
      </c>
      <c r="K62" s="502">
        <v>1307554258.2039297</v>
      </c>
      <c r="L62" s="502">
        <v>1187966689.622833</v>
      </c>
      <c r="M62" s="502">
        <v>167031678.31382436</v>
      </c>
      <c r="N62" s="502">
        <v>160563291.22369206</v>
      </c>
      <c r="O62" s="502">
        <v>70046933.040686145</v>
      </c>
      <c r="P62" s="30">
        <f>SUM(D62:O62)</f>
        <v>7043988999.9247303</v>
      </c>
      <c r="Q62" s="157"/>
      <c r="R62" s="379">
        <f t="shared" ref="R62:R75" si="18">A62</f>
        <v>300</v>
      </c>
    </row>
    <row r="63" spans="1:18">
      <c r="A63" s="379">
        <f>A62+1</f>
        <v>301</v>
      </c>
      <c r="B63" s="145" t="s">
        <v>472</v>
      </c>
      <c r="C63" s="152">
        <f>'1-BaseTRR'!$G$2</f>
        <v>2020</v>
      </c>
      <c r="D63" s="502">
        <v>21999580.053355493</v>
      </c>
      <c r="E63" s="502">
        <v>104507424.77506164</v>
      </c>
      <c r="F63" s="502">
        <v>190892567.23756659</v>
      </c>
      <c r="G63" s="502">
        <v>72919132.969041422</v>
      </c>
      <c r="H63" s="502">
        <v>3394388377.8245096</v>
      </c>
      <c r="I63" s="502">
        <v>26897138.357547607</v>
      </c>
      <c r="J63" s="502">
        <v>412267539.21839201</v>
      </c>
      <c r="K63" s="502">
        <v>1346637904.9531021</v>
      </c>
      <c r="L63" s="502">
        <v>1211966093.2795372</v>
      </c>
      <c r="M63" s="502">
        <v>168982317.2245383</v>
      </c>
      <c r="N63" s="502">
        <v>164018818.53325689</v>
      </c>
      <c r="O63" s="502">
        <v>80820748.901466638</v>
      </c>
      <c r="P63" s="30">
        <f t="shared" ref="P63:P74" si="19">SUM(D63:O63)</f>
        <v>7196297643.3273745</v>
      </c>
      <c r="Q63" s="157"/>
      <c r="R63" s="379">
        <f t="shared" si="18"/>
        <v>301</v>
      </c>
    </row>
    <row r="64" spans="1:18">
      <c r="A64" s="379">
        <f t="shared" ref="A64:A75" si="20">A63+1</f>
        <v>302</v>
      </c>
      <c r="B64" s="145" t="s">
        <v>473</v>
      </c>
      <c r="C64" s="152">
        <f>'1-BaseTRR'!$G$2</f>
        <v>2020</v>
      </c>
      <c r="D64" s="502">
        <v>22014384.85275789</v>
      </c>
      <c r="E64" s="502">
        <v>104979834.97179317</v>
      </c>
      <c r="F64" s="502">
        <v>191665250.4553307</v>
      </c>
      <c r="G64" s="502">
        <v>65774232.059620783</v>
      </c>
      <c r="H64" s="502">
        <v>3409347630.4281731</v>
      </c>
      <c r="I64" s="502">
        <v>26897568.779478844</v>
      </c>
      <c r="J64" s="502">
        <v>413006503.45110112</v>
      </c>
      <c r="K64" s="502">
        <v>1366710157.9456222</v>
      </c>
      <c r="L64" s="502">
        <v>1224008558.7322428</v>
      </c>
      <c r="M64" s="502">
        <v>169385211.7504214</v>
      </c>
      <c r="N64" s="502">
        <v>164763354.06578791</v>
      </c>
      <c r="O64" s="502">
        <v>80948023.73514466</v>
      </c>
      <c r="P64" s="30">
        <f t="shared" si="19"/>
        <v>7239500711.2274752</v>
      </c>
      <c r="Q64" s="157"/>
      <c r="R64" s="379">
        <f t="shared" si="18"/>
        <v>302</v>
      </c>
    </row>
    <row r="65" spans="1:18">
      <c r="A65" s="379">
        <f t="shared" si="20"/>
        <v>303</v>
      </c>
      <c r="B65" s="145" t="s">
        <v>474</v>
      </c>
      <c r="C65" s="152">
        <f>'1-BaseTRR'!$G$2</f>
        <v>2020</v>
      </c>
      <c r="D65" s="502">
        <v>22018662.672228035</v>
      </c>
      <c r="E65" s="502">
        <v>105471441.16243379</v>
      </c>
      <c r="F65" s="502">
        <v>191730467.86299807</v>
      </c>
      <c r="G65" s="502">
        <v>65797459.217519343</v>
      </c>
      <c r="H65" s="502">
        <v>3417450266.8207183</v>
      </c>
      <c r="I65" s="502">
        <v>26897855.000775989</v>
      </c>
      <c r="J65" s="502">
        <v>413262213.6189146</v>
      </c>
      <c r="K65" s="502">
        <v>1377855789.5658185</v>
      </c>
      <c r="L65" s="502">
        <v>1233817502.428915</v>
      </c>
      <c r="M65" s="502">
        <v>169394744.38691241</v>
      </c>
      <c r="N65" s="502">
        <v>164807013.4776504</v>
      </c>
      <c r="O65" s="502">
        <v>81809756.714703143</v>
      </c>
      <c r="P65" s="30">
        <f t="shared" si="19"/>
        <v>7270313172.9295883</v>
      </c>
      <c r="Q65" s="157"/>
      <c r="R65" s="379">
        <f t="shared" si="18"/>
        <v>303</v>
      </c>
    </row>
    <row r="66" spans="1:18">
      <c r="A66" s="379">
        <f t="shared" si="20"/>
        <v>304</v>
      </c>
      <c r="B66" s="145" t="s">
        <v>475</v>
      </c>
      <c r="C66" s="152">
        <f>'1-BaseTRR'!$G$2</f>
        <v>2020</v>
      </c>
      <c r="D66" s="502">
        <v>22017367.070996471</v>
      </c>
      <c r="E66" s="502">
        <v>106906172.06814364</v>
      </c>
      <c r="F66" s="502">
        <v>191781489.60716215</v>
      </c>
      <c r="G66" s="502">
        <v>65756212.328653201</v>
      </c>
      <c r="H66" s="502">
        <v>3467892451.0977607</v>
      </c>
      <c r="I66" s="502">
        <v>26898290.210573208</v>
      </c>
      <c r="J66" s="502">
        <v>413557669.95718485</v>
      </c>
      <c r="K66" s="502">
        <v>1391841849.7335732</v>
      </c>
      <c r="L66" s="502">
        <v>1241495142.9905059</v>
      </c>
      <c r="M66" s="502">
        <v>169397103.12980005</v>
      </c>
      <c r="N66" s="502">
        <v>164865024.91121265</v>
      </c>
      <c r="O66" s="502">
        <v>82175460.567006767</v>
      </c>
      <c r="P66" s="30">
        <f t="shared" si="19"/>
        <v>7344584233.6725731</v>
      </c>
      <c r="Q66" s="157"/>
      <c r="R66" s="379">
        <f t="shared" si="18"/>
        <v>304</v>
      </c>
    </row>
    <row r="67" spans="1:18">
      <c r="A67" s="379">
        <f t="shared" si="20"/>
        <v>305</v>
      </c>
      <c r="B67" s="145" t="s">
        <v>437</v>
      </c>
      <c r="C67" s="152">
        <f>'1-BaseTRR'!$G$2</f>
        <v>2020</v>
      </c>
      <c r="D67" s="502">
        <v>22031850.043076634</v>
      </c>
      <c r="E67" s="502">
        <v>107724045.34853068</v>
      </c>
      <c r="F67" s="502">
        <v>191637987.3448455</v>
      </c>
      <c r="G67" s="502">
        <v>65462181.8178562</v>
      </c>
      <c r="H67" s="502">
        <v>3477653395.7844334</v>
      </c>
      <c r="I67" s="502">
        <v>26932238.09576574</v>
      </c>
      <c r="J67" s="502">
        <v>413971230.64444107</v>
      </c>
      <c r="K67" s="502">
        <v>1420435484.0127416</v>
      </c>
      <c r="L67" s="502">
        <v>1248245916.3781204</v>
      </c>
      <c r="M67" s="502">
        <v>170072480.53123513</v>
      </c>
      <c r="N67" s="502">
        <v>170761783.36469272</v>
      </c>
      <c r="O67" s="502">
        <v>83266922.071139157</v>
      </c>
      <c r="P67" s="30">
        <f t="shared" si="19"/>
        <v>7398195515.4368773</v>
      </c>
      <c r="Q67" s="157"/>
      <c r="R67" s="379">
        <f t="shared" si="18"/>
        <v>305</v>
      </c>
    </row>
    <row r="68" spans="1:18">
      <c r="A68" s="379">
        <f t="shared" si="20"/>
        <v>306</v>
      </c>
      <c r="B68" s="145" t="s">
        <v>592</v>
      </c>
      <c r="C68" s="152">
        <f>'1-BaseTRR'!$G$2</f>
        <v>2020</v>
      </c>
      <c r="D68" s="502">
        <v>22136839.001712799</v>
      </c>
      <c r="E68" s="502">
        <v>108785024.24623261</v>
      </c>
      <c r="F68" s="502">
        <v>191662961.97643891</v>
      </c>
      <c r="G68" s="502">
        <v>65406864.574620582</v>
      </c>
      <c r="H68" s="502">
        <v>3509576866.7993255</v>
      </c>
      <c r="I68" s="502">
        <v>26932238.357244592</v>
      </c>
      <c r="J68" s="502">
        <v>416780516.57074153</v>
      </c>
      <c r="K68" s="502">
        <v>1467491121.9202905</v>
      </c>
      <c r="L68" s="502">
        <v>1261770475.4855134</v>
      </c>
      <c r="M68" s="502">
        <v>170086887.43543136</v>
      </c>
      <c r="N68" s="502">
        <v>170697307.78347647</v>
      </c>
      <c r="O68" s="502">
        <v>84040642.429554492</v>
      </c>
      <c r="P68" s="30">
        <f t="shared" si="19"/>
        <v>7495367746.5805845</v>
      </c>
      <c r="Q68" s="157"/>
      <c r="R68" s="379">
        <f t="shared" si="18"/>
        <v>306</v>
      </c>
    </row>
    <row r="69" spans="1:18">
      <c r="A69" s="379">
        <f t="shared" si="20"/>
        <v>307</v>
      </c>
      <c r="B69" s="145" t="s">
        <v>477</v>
      </c>
      <c r="C69" s="152">
        <f>'1-BaseTRR'!$G$2</f>
        <v>2020</v>
      </c>
      <c r="D69" s="502">
        <v>22141658.943219632</v>
      </c>
      <c r="E69" s="502">
        <v>109031311.11380637</v>
      </c>
      <c r="F69" s="502">
        <v>191765961.59675047</v>
      </c>
      <c r="G69" s="502">
        <v>65077178.258006521</v>
      </c>
      <c r="H69" s="502">
        <v>3514301329.6760416</v>
      </c>
      <c r="I69" s="502">
        <v>26932304.607406143</v>
      </c>
      <c r="J69" s="502">
        <v>418051451.7026335</v>
      </c>
      <c r="K69" s="502">
        <v>1476492844.6587563</v>
      </c>
      <c r="L69" s="502">
        <v>1270397159.0563872</v>
      </c>
      <c r="M69" s="502">
        <v>170090669.12022373</v>
      </c>
      <c r="N69" s="502">
        <v>170737706.43993372</v>
      </c>
      <c r="O69" s="502">
        <v>83911064.043648705</v>
      </c>
      <c r="P69" s="30">
        <f t="shared" si="19"/>
        <v>7518930639.216814</v>
      </c>
      <c r="Q69" s="157"/>
      <c r="R69" s="379">
        <f t="shared" si="18"/>
        <v>307</v>
      </c>
    </row>
    <row r="70" spans="1:18">
      <c r="A70" s="379">
        <f t="shared" si="20"/>
        <v>308</v>
      </c>
      <c r="B70" s="145" t="s">
        <v>478</v>
      </c>
      <c r="C70" s="152">
        <f>'1-BaseTRR'!$G$2</f>
        <v>2020</v>
      </c>
      <c r="D70" s="502">
        <v>22105367.752305523</v>
      </c>
      <c r="E70" s="502">
        <v>106251175.98709725</v>
      </c>
      <c r="F70" s="502">
        <v>191983914.72766113</v>
      </c>
      <c r="G70" s="502">
        <v>65693472.25544776</v>
      </c>
      <c r="H70" s="502">
        <v>3526107179.5391684</v>
      </c>
      <c r="I70" s="502">
        <v>26932305.975676559</v>
      </c>
      <c r="J70" s="502">
        <v>421264813.10869706</v>
      </c>
      <c r="K70" s="502">
        <v>1477500192.7746129</v>
      </c>
      <c r="L70" s="502">
        <v>1277416444.2521646</v>
      </c>
      <c r="M70" s="502">
        <v>170092296.71113375</v>
      </c>
      <c r="N70" s="502">
        <v>170877777.53673166</v>
      </c>
      <c r="O70" s="502">
        <v>84444127.584890366</v>
      </c>
      <c r="P70" s="30">
        <f t="shared" si="19"/>
        <v>7540669068.2055874</v>
      </c>
      <c r="Q70" s="157"/>
      <c r="R70" s="379">
        <f t="shared" si="18"/>
        <v>308</v>
      </c>
    </row>
    <row r="71" spans="1:18">
      <c r="A71" s="379">
        <f t="shared" si="20"/>
        <v>309</v>
      </c>
      <c r="B71" s="145" t="s">
        <v>480</v>
      </c>
      <c r="C71" s="152">
        <f>'1-BaseTRR'!$G$2</f>
        <v>2020</v>
      </c>
      <c r="D71" s="502">
        <v>22113331.584996957</v>
      </c>
      <c r="E71" s="502">
        <v>106266175.06275074</v>
      </c>
      <c r="F71" s="502">
        <v>191989090.90521824</v>
      </c>
      <c r="G71" s="502">
        <v>65677521.141927004</v>
      </c>
      <c r="H71" s="502">
        <v>3592976864.9103456</v>
      </c>
      <c r="I71" s="502">
        <v>26932311.744403306</v>
      </c>
      <c r="J71" s="502">
        <v>419113983.45327318</v>
      </c>
      <c r="K71" s="502">
        <v>1502614859.7462962</v>
      </c>
      <c r="L71" s="502">
        <v>1291167526.6051059</v>
      </c>
      <c r="M71" s="502">
        <v>170094848.20514572</v>
      </c>
      <c r="N71" s="502">
        <v>170894043.91842818</v>
      </c>
      <c r="O71" s="502">
        <v>84688867.648024604</v>
      </c>
      <c r="P71" s="30">
        <f t="shared" si="19"/>
        <v>7644529424.9259148</v>
      </c>
      <c r="Q71" s="157"/>
      <c r="R71" s="379">
        <f t="shared" si="18"/>
        <v>309</v>
      </c>
    </row>
    <row r="72" spans="1:18">
      <c r="A72" s="379">
        <f t="shared" si="20"/>
        <v>310</v>
      </c>
      <c r="B72" s="145" t="s">
        <v>481</v>
      </c>
      <c r="C72" s="152">
        <f>'1-BaseTRR'!$G$2</f>
        <v>2020</v>
      </c>
      <c r="D72" s="502">
        <v>22131818.448936559</v>
      </c>
      <c r="E72" s="502">
        <v>106264889.66723712</v>
      </c>
      <c r="F72" s="502">
        <v>192000107.95056924</v>
      </c>
      <c r="G72" s="502">
        <v>65684231.61457929</v>
      </c>
      <c r="H72" s="502">
        <v>3603839705.3541846</v>
      </c>
      <c r="I72" s="502">
        <v>26932312.432700239</v>
      </c>
      <c r="J72" s="502">
        <v>419624820.23121369</v>
      </c>
      <c r="K72" s="502">
        <v>1525546363.3695803</v>
      </c>
      <c r="L72" s="502">
        <v>1295617535.5645535</v>
      </c>
      <c r="M72" s="502">
        <v>170105894.55811432</v>
      </c>
      <c r="N72" s="502">
        <v>171002373.08290645</v>
      </c>
      <c r="O72" s="502">
        <v>85285858.036935985</v>
      </c>
      <c r="P72" s="30">
        <f t="shared" si="19"/>
        <v>7684035910.311511</v>
      </c>
      <c r="Q72" s="157"/>
      <c r="R72" s="379">
        <f t="shared" si="18"/>
        <v>310</v>
      </c>
    </row>
    <row r="73" spans="1:18">
      <c r="A73" s="379">
        <f t="shared" si="20"/>
        <v>311</v>
      </c>
      <c r="B73" s="145" t="s">
        <v>482</v>
      </c>
      <c r="C73" s="152">
        <f>'1-BaseTRR'!$G$2</f>
        <v>2020</v>
      </c>
      <c r="D73" s="502">
        <v>22146800.494304087</v>
      </c>
      <c r="E73" s="502">
        <v>106328976.30802536</v>
      </c>
      <c r="F73" s="502">
        <v>192251876.95704108</v>
      </c>
      <c r="G73" s="502">
        <v>65416504.631089911</v>
      </c>
      <c r="H73" s="502">
        <v>3643226917.232305</v>
      </c>
      <c r="I73" s="502">
        <v>26872462.968599636</v>
      </c>
      <c r="J73" s="502">
        <v>424806355.18862748</v>
      </c>
      <c r="K73" s="502">
        <v>1536962606.0997379</v>
      </c>
      <c r="L73" s="502">
        <v>1304198771.1884377</v>
      </c>
      <c r="M73" s="502">
        <v>170114370.19211292</v>
      </c>
      <c r="N73" s="502">
        <v>171071727.56956398</v>
      </c>
      <c r="O73" s="502">
        <v>85630605.887219235</v>
      </c>
      <c r="P73" s="30">
        <f t="shared" si="19"/>
        <v>7749027974.7170649</v>
      </c>
      <c r="Q73" s="157"/>
      <c r="R73" s="379">
        <f t="shared" si="18"/>
        <v>311</v>
      </c>
    </row>
    <row r="74" spans="1:18">
      <c r="A74" s="379">
        <f t="shared" si="20"/>
        <v>312</v>
      </c>
      <c r="B74" s="154" t="s">
        <v>470</v>
      </c>
      <c r="C74" s="155">
        <f>'1-BaseTRR'!$G$2</f>
        <v>2020</v>
      </c>
      <c r="D74" s="503">
        <v>18047918.193014249</v>
      </c>
      <c r="E74" s="503">
        <v>105383723.27364744</v>
      </c>
      <c r="F74" s="503">
        <v>189108928.82298237</v>
      </c>
      <c r="G74" s="503">
        <v>65250701.594421521</v>
      </c>
      <c r="H74" s="503">
        <v>3670967577.9695468</v>
      </c>
      <c r="I74" s="503">
        <v>26850150.049271934</v>
      </c>
      <c r="J74" s="503">
        <v>423952023.5935573</v>
      </c>
      <c r="K74" s="503">
        <v>1565502631.4618092</v>
      </c>
      <c r="L74" s="503">
        <v>1312746286.832197</v>
      </c>
      <c r="M74" s="503">
        <v>169620426.82011375</v>
      </c>
      <c r="N74" s="503">
        <v>171138833.04043391</v>
      </c>
      <c r="O74" s="503">
        <v>84969099.653601363</v>
      </c>
      <c r="P74" s="504">
        <f t="shared" si="19"/>
        <v>7803538301.3045979</v>
      </c>
      <c r="Q74" s="157"/>
      <c r="R74" s="379">
        <f t="shared" si="18"/>
        <v>312</v>
      </c>
    </row>
    <row r="75" spans="1:18">
      <c r="A75" s="379">
        <f t="shared" si="20"/>
        <v>313</v>
      </c>
      <c r="B75" s="579" t="s">
        <v>763</v>
      </c>
      <c r="C75" s="163"/>
      <c r="D75" s="191">
        <f>SUM(D62:D74)/13</f>
        <v>22226245.311441861</v>
      </c>
      <c r="E75" s="191">
        <f>SUM(E62:E74)/13</f>
        <v>106419601.14848757</v>
      </c>
      <c r="F75" s="191">
        <f>SUM(F62:F74)/13</f>
        <v>191177624.83928868</v>
      </c>
      <c r="G75" s="191">
        <f>SUM(G62:G74)/13</f>
        <v>66572288.275323555</v>
      </c>
      <c r="H75" s="191">
        <f t="shared" ref="H75" si="21">SUM(H62:H74)/13</f>
        <v>3503869244.2912607</v>
      </c>
      <c r="I75" s="191">
        <f t="shared" ref="I75" si="22">SUM(I62:I74)/13</f>
        <v>26965629.287958324</v>
      </c>
      <c r="J75" s="191">
        <f t="shared" ref="J75" si="23">SUM(J62:J74)/13</f>
        <v>416793450.02143204</v>
      </c>
      <c r="K75" s="191">
        <f t="shared" ref="K75" si="24">SUM(K62:K74)/13</f>
        <v>1443318928.0342977</v>
      </c>
      <c r="L75" s="191">
        <f t="shared" ref="L75" si="25">SUM(L62:L74)/13</f>
        <v>1258524161.7243474</v>
      </c>
      <c r="M75" s="191">
        <f t="shared" ref="M75" si="26">SUM(M62:M74)/13</f>
        <v>169574532.95223135</v>
      </c>
      <c r="N75" s="191">
        <f t="shared" ref="N75" si="27">SUM(N62:N74)/13</f>
        <v>168169158.07290518</v>
      </c>
      <c r="O75" s="191">
        <f t="shared" ref="O75" si="28">SUM(O62:O74)/13</f>
        <v>82464470.024155483</v>
      </c>
      <c r="P75" s="345">
        <f t="shared" ref="P75" si="29">SUM(P62:P74)/13</f>
        <v>7456075333.9831295</v>
      </c>
      <c r="Q75" s="157"/>
      <c r="R75" s="379">
        <f t="shared" si="18"/>
        <v>313</v>
      </c>
    </row>
    <row r="76" spans="1:18">
      <c r="A76" s="379"/>
      <c r="B76" s="156"/>
      <c r="C76" s="156"/>
      <c r="D76" s="20"/>
      <c r="E76" s="20"/>
      <c r="F76" s="20"/>
      <c r="G76" s="20"/>
      <c r="H76" s="20"/>
      <c r="I76" s="20"/>
      <c r="J76" s="20"/>
      <c r="K76" s="20"/>
      <c r="L76" s="20"/>
      <c r="M76" s="20"/>
      <c r="N76" s="20"/>
      <c r="R76" s="379"/>
    </row>
    <row r="77" spans="1:18">
      <c r="A77" s="379"/>
      <c r="B77" s="156"/>
      <c r="C77" s="156"/>
      <c r="D77" s="20"/>
      <c r="E77" s="20"/>
      <c r="F77" s="20"/>
      <c r="G77" s="20"/>
      <c r="H77" s="20"/>
      <c r="I77" s="20"/>
      <c r="J77" s="20"/>
      <c r="K77" s="20"/>
      <c r="L77" s="20"/>
      <c r="M77" s="20"/>
      <c r="N77" s="20"/>
      <c r="R77" s="379"/>
    </row>
    <row r="78" spans="1:18">
      <c r="B78" s="52" t="s">
        <v>770</v>
      </c>
      <c r="C78" s="52"/>
      <c r="D78" s="138"/>
      <c r="E78" s="138"/>
      <c r="F78" s="138"/>
      <c r="G78" s="219"/>
      <c r="H78" s="138"/>
      <c r="I78" s="138"/>
      <c r="J78" s="138"/>
      <c r="K78" s="138"/>
      <c r="L78" s="138"/>
      <c r="M78" s="138"/>
      <c r="N78" s="219"/>
      <c r="O78" s="219"/>
      <c r="P78" s="219"/>
      <c r="Q78" s="219"/>
    </row>
    <row r="79" spans="1:18">
      <c r="B79" s="145" t="s">
        <v>771</v>
      </c>
      <c r="C79" s="145"/>
      <c r="D79" s="145"/>
      <c r="E79" s="145"/>
      <c r="F79" s="145"/>
      <c r="G79" s="145"/>
      <c r="H79" s="145"/>
      <c r="I79" s="145"/>
      <c r="J79" s="145"/>
      <c r="K79" s="145"/>
      <c r="L79" s="145"/>
      <c r="M79" s="145"/>
      <c r="N79" s="145"/>
      <c r="O79" s="145"/>
      <c r="P79" s="145"/>
      <c r="Q79" s="145"/>
    </row>
    <row r="80" spans="1:18">
      <c r="B80" s="145"/>
      <c r="C80" s="145"/>
      <c r="D80" s="145"/>
      <c r="E80" s="145"/>
      <c r="F80" s="145"/>
      <c r="G80" s="145"/>
      <c r="H80" s="145"/>
      <c r="I80" s="145"/>
      <c r="J80" s="145"/>
      <c r="K80" s="145"/>
      <c r="L80" s="145"/>
      <c r="M80" s="145"/>
      <c r="N80" s="145"/>
      <c r="O80" s="145"/>
      <c r="P80" s="145"/>
      <c r="Q80" s="145"/>
    </row>
    <row r="81" spans="1:18">
      <c r="A81" s="8"/>
      <c r="D81" s="147" t="s">
        <v>413</v>
      </c>
      <c r="E81" s="147" t="s">
        <v>414</v>
      </c>
      <c r="F81" s="147" t="s">
        <v>415</v>
      </c>
      <c r="G81" s="147"/>
      <c r="H81" s="147"/>
      <c r="I81" s="147"/>
      <c r="J81" s="147"/>
      <c r="K81" s="147"/>
      <c r="L81" s="147"/>
      <c r="M81" s="147"/>
      <c r="N81" s="147"/>
      <c r="R81" s="379"/>
    </row>
    <row r="82" spans="1:18">
      <c r="B82" s="379"/>
      <c r="C82" s="379"/>
      <c r="D82" s="133" t="s">
        <v>528</v>
      </c>
      <c r="E82" s="149" t="s">
        <v>110</v>
      </c>
      <c r="F82" s="149" t="s">
        <v>110</v>
      </c>
      <c r="R82" s="379"/>
    </row>
    <row r="83" spans="1:18">
      <c r="B83" s="379"/>
      <c r="C83" s="379"/>
      <c r="D83" s="133"/>
      <c r="E83" s="147"/>
      <c r="R83" s="379"/>
    </row>
    <row r="84" spans="1:18">
      <c r="B84" s="379"/>
      <c r="C84" s="379"/>
      <c r="D84" s="116" t="s">
        <v>772</v>
      </c>
      <c r="E84" s="116" t="s">
        <v>773</v>
      </c>
      <c r="F84" s="116" t="s">
        <v>773</v>
      </c>
      <c r="R84" s="379"/>
    </row>
    <row r="85" spans="1:18">
      <c r="A85" s="144" t="s">
        <v>99</v>
      </c>
      <c r="B85" s="144" t="s">
        <v>426</v>
      </c>
      <c r="C85" s="144" t="s">
        <v>462</v>
      </c>
      <c r="D85" s="158" t="s">
        <v>774</v>
      </c>
      <c r="E85" s="158" t="s">
        <v>775</v>
      </c>
      <c r="F85" s="158" t="s">
        <v>776</v>
      </c>
      <c r="G85" s="147"/>
      <c r="H85" s="147"/>
      <c r="I85" s="147"/>
      <c r="J85" s="147"/>
      <c r="K85" s="147"/>
      <c r="L85" s="147"/>
      <c r="M85" s="147"/>
      <c r="N85" s="144"/>
      <c r="R85" s="144" t="str">
        <f>A85</f>
        <v>Line</v>
      </c>
    </row>
    <row r="86" spans="1:18">
      <c r="A86" s="379">
        <v>400</v>
      </c>
      <c r="B86" s="145" t="s">
        <v>470</v>
      </c>
      <c r="C86" s="152">
        <f>'1-BaseTRR'!$G$2-1</f>
        <v>2019</v>
      </c>
      <c r="D86" s="190">
        <f>+E86+F86</f>
        <v>847614862.22000015</v>
      </c>
      <c r="E86" s="502">
        <v>376811657.08015251</v>
      </c>
      <c r="F86" s="502">
        <v>470803205.13984764</v>
      </c>
      <c r="G86" s="159" t="s">
        <v>777</v>
      </c>
      <c r="H86" s="159"/>
      <c r="I86" s="159"/>
      <c r="J86" s="159"/>
      <c r="K86" s="159"/>
      <c r="L86" s="159"/>
      <c r="M86" s="159"/>
      <c r="N86" s="20"/>
      <c r="R86" s="379">
        <f>A86</f>
        <v>400</v>
      </c>
    </row>
    <row r="87" spans="1:18">
      <c r="A87" s="379">
        <f>+A86+1</f>
        <v>401</v>
      </c>
      <c r="B87" s="154" t="s">
        <v>470</v>
      </c>
      <c r="C87" s="155">
        <f>'1-BaseTRR'!$G$2</f>
        <v>2020</v>
      </c>
      <c r="D87" s="501">
        <f>+E87+F87</f>
        <v>933668339.15999973</v>
      </c>
      <c r="E87" s="503">
        <v>391924988.71774495</v>
      </c>
      <c r="F87" s="503">
        <v>541743350.44225478</v>
      </c>
      <c r="G87" s="159" t="s">
        <v>778</v>
      </c>
      <c r="H87" s="160"/>
      <c r="I87" s="160"/>
      <c r="J87" s="160"/>
      <c r="K87" s="160"/>
      <c r="L87" s="160"/>
      <c r="M87" s="160"/>
      <c r="N87" s="160"/>
      <c r="R87" s="379">
        <f>A87</f>
        <v>401</v>
      </c>
    </row>
    <row r="88" spans="1:18">
      <c r="A88" s="379">
        <f t="shared" ref="A88" si="30">A87+1</f>
        <v>402</v>
      </c>
      <c r="B88" s="163" t="s">
        <v>779</v>
      </c>
      <c r="C88" s="163"/>
      <c r="D88" s="520">
        <f>AVERAGE(D86:D87)</f>
        <v>890641600.68999994</v>
      </c>
      <c r="E88" s="520">
        <f t="shared" ref="E88:F88" si="31">AVERAGE(E86:E87)</f>
        <v>384368322.89894873</v>
      </c>
      <c r="F88" s="520">
        <f t="shared" si="31"/>
        <v>506273277.79105121</v>
      </c>
      <c r="G88" s="20" t="s">
        <v>780</v>
      </c>
      <c r="H88" s="20"/>
      <c r="I88" s="20"/>
      <c r="J88" s="20"/>
      <c r="K88" s="20"/>
      <c r="L88" s="20"/>
      <c r="M88" s="20"/>
      <c r="N88" s="20"/>
      <c r="R88" s="379">
        <f>A88</f>
        <v>402</v>
      </c>
    </row>
    <row r="89" spans="1:18">
      <c r="A89" s="379"/>
      <c r="B89" s="156"/>
      <c r="C89" s="156"/>
      <c r="D89" s="20"/>
      <c r="E89" s="20"/>
      <c r="F89" s="20"/>
      <c r="G89" s="20"/>
      <c r="H89" s="20"/>
      <c r="I89" s="20"/>
      <c r="J89" s="20"/>
      <c r="K89" s="20"/>
      <c r="L89" s="20"/>
      <c r="M89" s="20"/>
      <c r="N89" s="20"/>
      <c r="R89" s="379"/>
    </row>
    <row r="90" spans="1:18">
      <c r="A90" s="379"/>
      <c r="B90" s="156"/>
      <c r="C90" s="156"/>
      <c r="D90" s="20"/>
      <c r="E90" s="20"/>
      <c r="F90" s="20"/>
      <c r="G90" s="20"/>
      <c r="H90" s="20"/>
      <c r="I90" s="20"/>
      <c r="J90" s="20"/>
      <c r="K90" s="20"/>
      <c r="L90" s="20"/>
      <c r="M90" s="20"/>
      <c r="N90" s="20"/>
      <c r="R90" s="379"/>
    </row>
    <row r="91" spans="1:18">
      <c r="B91" s="52" t="s">
        <v>781</v>
      </c>
      <c r="C91" s="52"/>
      <c r="D91" s="138"/>
      <c r="E91" s="138"/>
      <c r="F91" s="138"/>
      <c r="G91" s="138"/>
      <c r="H91" s="138"/>
      <c r="I91" s="219"/>
      <c r="J91" s="138"/>
      <c r="K91" s="138"/>
      <c r="L91" s="138"/>
      <c r="M91" s="138"/>
      <c r="N91" s="219"/>
      <c r="O91" s="219"/>
      <c r="P91" s="219"/>
      <c r="Q91" s="219"/>
    </row>
    <row r="92" spans="1:18">
      <c r="A92" s="371"/>
      <c r="B92" s="145" t="s">
        <v>782</v>
      </c>
      <c r="C92" s="145"/>
      <c r="D92" s="145"/>
      <c r="E92" s="145"/>
      <c r="F92" s="145"/>
      <c r="G92" s="145"/>
      <c r="H92" s="145"/>
      <c r="I92" s="145"/>
      <c r="J92" s="145"/>
      <c r="K92" s="145"/>
      <c r="L92" s="145"/>
      <c r="M92" s="145"/>
      <c r="N92" s="145"/>
      <c r="O92" s="145"/>
      <c r="P92" s="145"/>
      <c r="Q92" s="145"/>
      <c r="R92" s="379"/>
    </row>
    <row r="93" spans="1:18">
      <c r="A93" s="371"/>
      <c r="B93" s="17"/>
      <c r="C93" s="17"/>
      <c r="D93" s="17"/>
      <c r="E93" s="17"/>
      <c r="F93" s="17"/>
      <c r="G93" s="17"/>
      <c r="H93" s="17"/>
      <c r="I93" s="17"/>
      <c r="J93" s="17"/>
      <c r="K93" s="17"/>
      <c r="L93" s="17"/>
      <c r="M93" s="17"/>
      <c r="R93" s="379"/>
    </row>
    <row r="94" spans="1:18">
      <c r="A94" s="8"/>
      <c r="D94" s="147" t="s">
        <v>413</v>
      </c>
      <c r="E94" s="147" t="s">
        <v>414</v>
      </c>
      <c r="F94" s="147" t="s">
        <v>415</v>
      </c>
      <c r="G94" s="147" t="s">
        <v>416</v>
      </c>
      <c r="H94" s="147" t="s">
        <v>417</v>
      </c>
      <c r="I94" s="147"/>
      <c r="J94" s="147"/>
      <c r="K94" s="147"/>
      <c r="L94" s="147"/>
      <c r="M94" s="147"/>
      <c r="N94" s="147"/>
      <c r="R94" s="379"/>
    </row>
    <row r="95" spans="1:18" ht="29">
      <c r="B95" s="379"/>
      <c r="C95" s="379"/>
      <c r="D95" s="149" t="s">
        <v>202</v>
      </c>
      <c r="E95" s="149" t="s">
        <v>783</v>
      </c>
      <c r="F95" s="161" t="s">
        <v>784</v>
      </c>
      <c r="G95" s="149" t="s">
        <v>785</v>
      </c>
      <c r="H95" s="149" t="s">
        <v>786</v>
      </c>
      <c r="R95" s="379"/>
    </row>
    <row r="96" spans="1:18">
      <c r="B96" s="379"/>
      <c r="C96" s="379"/>
      <c r="D96" s="147"/>
      <c r="F96" s="133"/>
      <c r="G96" s="5"/>
      <c r="H96" s="5"/>
      <c r="R96" s="379"/>
    </row>
    <row r="97" spans="1:18">
      <c r="B97" s="379"/>
      <c r="C97" s="379"/>
      <c r="D97" s="116"/>
      <c r="E97" s="8" t="s">
        <v>787</v>
      </c>
      <c r="F97" s="8" t="s">
        <v>787</v>
      </c>
      <c r="G97" s="8"/>
      <c r="H97" s="2"/>
      <c r="R97" s="379"/>
    </row>
    <row r="98" spans="1:18">
      <c r="B98" s="379"/>
      <c r="C98" s="379"/>
      <c r="D98" s="116" t="s">
        <v>788</v>
      </c>
      <c r="E98" s="8" t="s">
        <v>427</v>
      </c>
      <c r="F98" s="8" t="s">
        <v>427</v>
      </c>
      <c r="G98" s="2" t="s">
        <v>775</v>
      </c>
      <c r="H98" s="2" t="s">
        <v>776</v>
      </c>
      <c r="R98" s="379"/>
    </row>
    <row r="99" spans="1:18">
      <c r="A99" s="144" t="s">
        <v>99</v>
      </c>
      <c r="B99" s="144" t="s">
        <v>426</v>
      </c>
      <c r="C99" s="144" t="s">
        <v>462</v>
      </c>
      <c r="D99" s="162" t="s">
        <v>789</v>
      </c>
      <c r="E99" s="162" t="s">
        <v>790</v>
      </c>
      <c r="F99" s="158" t="s">
        <v>791</v>
      </c>
      <c r="G99" s="158" t="s">
        <v>791</v>
      </c>
      <c r="H99" s="158" t="s">
        <v>791</v>
      </c>
      <c r="I99" s="147"/>
      <c r="J99" s="147"/>
      <c r="K99" s="147"/>
      <c r="L99" s="147"/>
      <c r="M99" s="147"/>
      <c r="N99" s="144"/>
      <c r="R99" s="144" t="str">
        <f>A99</f>
        <v>Line</v>
      </c>
    </row>
    <row r="100" spans="1:18">
      <c r="A100" s="379">
        <v>500</v>
      </c>
      <c r="B100" s="145" t="s">
        <v>470</v>
      </c>
      <c r="C100" s="152">
        <f>'1-BaseTRR'!$G$2-1</f>
        <v>2019</v>
      </c>
      <c r="D100" s="502">
        <v>3325056684.6400013</v>
      </c>
      <c r="E100" s="28">
        <f>'24-Allocators'!$C$24</f>
        <v>9.5345604059498199E-2</v>
      </c>
      <c r="F100" s="491">
        <f>+E100*D100</f>
        <v>317029538.12907332</v>
      </c>
      <c r="G100" s="505">
        <f>+F100*'24-Allocators'!$C$43</f>
        <v>137398576.31642413</v>
      </c>
      <c r="H100" s="505">
        <f>+F100*'24-Allocators'!$C$44</f>
        <v>179630961.81264931</v>
      </c>
      <c r="I100" s="159" t="s">
        <v>792</v>
      </c>
      <c r="J100" s="159"/>
      <c r="K100" s="159"/>
      <c r="L100" s="159"/>
      <c r="M100" s="159"/>
      <c r="N100" s="20"/>
      <c r="R100" s="379">
        <f t="shared" ref="R100:R102" si="32">A100</f>
        <v>500</v>
      </c>
    </row>
    <row r="101" spans="1:18">
      <c r="A101" s="379">
        <f>+A100+1</f>
        <v>501</v>
      </c>
      <c r="B101" s="154" t="s">
        <v>470</v>
      </c>
      <c r="C101" s="155">
        <f>'1-BaseTRR'!$G$2</f>
        <v>2020</v>
      </c>
      <c r="D101" s="506">
        <v>3477057482.269999</v>
      </c>
      <c r="E101" s="38">
        <f>'24-Allocators'!$C$24</f>
        <v>9.5345604059498199E-2</v>
      </c>
      <c r="F101" s="501">
        <f>+E101*D101</f>
        <v>331522145.99663103</v>
      </c>
      <c r="G101" s="501">
        <f>+F101*'24-Allocators'!$C$43</f>
        <v>143679579.97263211</v>
      </c>
      <c r="H101" s="501">
        <f>+F101*'24-Allocators'!$C$44</f>
        <v>187842566.02399904</v>
      </c>
      <c r="I101" s="159" t="s">
        <v>793</v>
      </c>
      <c r="J101" s="160"/>
      <c r="K101" s="160"/>
      <c r="L101" s="160"/>
      <c r="M101" s="160"/>
      <c r="N101" s="160"/>
      <c r="R101" s="379">
        <f t="shared" si="32"/>
        <v>501</v>
      </c>
    </row>
    <row r="102" spans="1:18">
      <c r="A102" s="379">
        <f t="shared" ref="A102" si="33">A101+1</f>
        <v>502</v>
      </c>
      <c r="B102" s="163" t="s">
        <v>779</v>
      </c>
      <c r="C102" s="163"/>
      <c r="D102" s="520">
        <f>AVERAGE(D100:D101)</f>
        <v>3401057083.4549999</v>
      </c>
      <c r="E102" s="12"/>
      <c r="F102" s="520">
        <f>AVERAGE(F100:F101)</f>
        <v>324275842.06285214</v>
      </c>
      <c r="G102" s="520">
        <f t="shared" ref="G102:H102" si="34">AVERAGE(G100:G101)</f>
        <v>140539078.14452812</v>
      </c>
      <c r="H102" s="520">
        <f t="shared" si="34"/>
        <v>183736763.91832417</v>
      </c>
      <c r="I102" s="20" t="s">
        <v>794</v>
      </c>
      <c r="J102" s="20"/>
      <c r="K102" s="20"/>
      <c r="L102" s="20"/>
      <c r="M102" s="20"/>
      <c r="N102" s="20"/>
      <c r="R102" s="379">
        <f t="shared" si="32"/>
        <v>502</v>
      </c>
    </row>
    <row r="103" spans="1:18">
      <c r="A103" s="379"/>
      <c r="B103" s="145"/>
      <c r="C103" s="145"/>
      <c r="D103" s="20"/>
      <c r="E103" s="20"/>
      <c r="F103" s="20"/>
      <c r="G103" s="20"/>
      <c r="H103" s="20"/>
      <c r="I103" s="20"/>
      <c r="J103" s="20"/>
      <c r="K103" s="20"/>
      <c r="L103" s="20"/>
      <c r="M103" s="20"/>
      <c r="N103" s="20"/>
      <c r="R103" s="379"/>
    </row>
    <row r="104" spans="1:18">
      <c r="A104" s="379"/>
      <c r="B104" s="145"/>
      <c r="C104" s="145"/>
      <c r="D104" s="20"/>
      <c r="E104" s="20"/>
      <c r="F104" s="20"/>
      <c r="G104" s="20"/>
      <c r="H104" s="20"/>
      <c r="I104" s="20"/>
      <c r="J104" s="20"/>
      <c r="K104" s="20"/>
      <c r="L104" s="20"/>
      <c r="M104" s="20"/>
      <c r="N104" s="20"/>
      <c r="R104" s="379"/>
    </row>
    <row r="105" spans="1:18">
      <c r="B105" s="52" t="s">
        <v>795</v>
      </c>
      <c r="C105" s="52"/>
      <c r="D105" s="138"/>
      <c r="E105" s="138"/>
      <c r="F105" s="138"/>
      <c r="G105" s="138"/>
      <c r="H105" s="138"/>
      <c r="I105" s="219"/>
      <c r="J105" s="54"/>
      <c r="K105" s="54"/>
      <c r="L105" s="54"/>
      <c r="M105" s="54"/>
      <c r="N105" s="54"/>
      <c r="O105" s="219"/>
      <c r="P105" s="219"/>
      <c r="Q105" s="219"/>
    </row>
    <row r="106" spans="1:18">
      <c r="A106" s="371"/>
      <c r="B106" s="145" t="s">
        <v>796</v>
      </c>
      <c r="C106" s="145"/>
      <c r="D106" s="145"/>
      <c r="E106" s="145"/>
      <c r="F106" s="145"/>
      <c r="G106" s="145"/>
      <c r="H106" s="145"/>
      <c r="I106" s="145"/>
      <c r="J106" s="145"/>
      <c r="K106" s="145"/>
      <c r="L106" s="145"/>
      <c r="M106" s="145"/>
      <c r="N106" s="145"/>
      <c r="O106" s="145"/>
      <c r="P106" s="145"/>
      <c r="Q106" s="145"/>
      <c r="R106" s="379"/>
    </row>
    <row r="107" spans="1:18">
      <c r="A107" s="371"/>
      <c r="B107" s="145"/>
      <c r="C107" s="145"/>
      <c r="D107" s="145"/>
      <c r="E107" s="145"/>
      <c r="F107" s="145"/>
      <c r="G107" s="145"/>
      <c r="H107" s="145"/>
      <c r="I107" s="145"/>
      <c r="J107" s="145"/>
      <c r="K107" s="145"/>
      <c r="L107" s="145"/>
      <c r="M107" s="145"/>
      <c r="N107" s="145"/>
      <c r="O107" s="145"/>
      <c r="P107" s="145"/>
      <c r="Q107" s="145"/>
      <c r="R107" s="379"/>
    </row>
    <row r="108" spans="1:18">
      <c r="A108" s="8"/>
      <c r="D108" s="147" t="s">
        <v>413</v>
      </c>
      <c r="E108" s="147" t="s">
        <v>414</v>
      </c>
      <c r="F108" s="147" t="s">
        <v>415</v>
      </c>
      <c r="G108" s="147" t="s">
        <v>416</v>
      </c>
      <c r="H108" s="147" t="s">
        <v>417</v>
      </c>
      <c r="I108" s="20"/>
      <c r="J108" s="20"/>
      <c r="K108" s="20"/>
      <c r="L108" s="20"/>
      <c r="M108" s="20"/>
      <c r="N108" s="20"/>
      <c r="R108" s="379"/>
    </row>
    <row r="109" spans="1:18" ht="29">
      <c r="B109" s="379"/>
      <c r="C109" s="379"/>
      <c r="D109" s="149" t="s">
        <v>249</v>
      </c>
      <c r="E109" s="149" t="s">
        <v>797</v>
      </c>
      <c r="F109" s="161" t="s">
        <v>784</v>
      </c>
      <c r="G109" s="149" t="s">
        <v>785</v>
      </c>
      <c r="H109" s="149" t="s">
        <v>786</v>
      </c>
      <c r="I109" s="20"/>
      <c r="J109" s="20"/>
      <c r="K109" s="20"/>
      <c r="L109" s="20"/>
      <c r="M109" s="20"/>
      <c r="N109" s="20"/>
      <c r="R109" s="379"/>
    </row>
    <row r="110" spans="1:18">
      <c r="B110" s="379"/>
      <c r="C110" s="379"/>
      <c r="D110" s="147"/>
      <c r="F110" s="133"/>
      <c r="G110" s="5"/>
      <c r="H110" s="5"/>
      <c r="I110" s="20"/>
      <c r="J110" s="20"/>
      <c r="K110" s="20"/>
      <c r="L110" s="20"/>
      <c r="M110" s="20"/>
      <c r="N110" s="20"/>
      <c r="R110" s="379"/>
    </row>
    <row r="111" spans="1:18">
      <c r="B111" s="379"/>
      <c r="C111" s="379"/>
      <c r="D111" s="147"/>
      <c r="E111" s="8" t="s">
        <v>787</v>
      </c>
      <c r="F111" s="8" t="s">
        <v>787</v>
      </c>
      <c r="G111" s="8"/>
      <c r="H111" s="2"/>
      <c r="I111" s="20"/>
      <c r="J111" s="20"/>
      <c r="K111" s="20"/>
      <c r="L111" s="20"/>
      <c r="M111" s="20"/>
      <c r="N111" s="20"/>
      <c r="R111" s="379"/>
    </row>
    <row r="112" spans="1:18">
      <c r="B112" s="379"/>
      <c r="C112" s="379"/>
      <c r="D112" s="116" t="s">
        <v>798</v>
      </c>
      <c r="E112" s="8" t="s">
        <v>427</v>
      </c>
      <c r="F112" s="8" t="s">
        <v>427</v>
      </c>
      <c r="G112" s="2" t="s">
        <v>775</v>
      </c>
      <c r="H112" s="2" t="s">
        <v>776</v>
      </c>
      <c r="I112" s="20"/>
      <c r="J112" s="20"/>
      <c r="K112" s="20"/>
      <c r="L112" s="20"/>
      <c r="M112" s="20"/>
      <c r="N112" s="20"/>
      <c r="R112" s="379"/>
    </row>
    <row r="113" spans="1:18">
      <c r="A113" s="144" t="s">
        <v>99</v>
      </c>
      <c r="B113" s="144" t="s">
        <v>426</v>
      </c>
      <c r="C113" s="144" t="s">
        <v>462</v>
      </c>
      <c r="D113" s="162" t="s">
        <v>789</v>
      </c>
      <c r="E113" s="162" t="s">
        <v>790</v>
      </c>
      <c r="F113" s="158" t="s">
        <v>791</v>
      </c>
      <c r="G113" s="158" t="s">
        <v>791</v>
      </c>
      <c r="H113" s="158" t="s">
        <v>791</v>
      </c>
      <c r="I113" s="20"/>
      <c r="J113" s="20"/>
      <c r="K113" s="20"/>
      <c r="L113" s="20"/>
      <c r="M113" s="20"/>
      <c r="N113" s="20"/>
      <c r="R113" s="144" t="str">
        <f>A113</f>
        <v>Line</v>
      </c>
    </row>
    <row r="114" spans="1:18">
      <c r="A114" s="379">
        <v>600</v>
      </c>
      <c r="B114" s="145" t="s">
        <v>470</v>
      </c>
      <c r="C114" s="152">
        <f>'1-BaseTRR'!$G$2-1</f>
        <v>2019</v>
      </c>
      <c r="D114" s="502">
        <v>217812856.03999996</v>
      </c>
      <c r="E114" s="28">
        <f>'24-Allocators'!$C$23</f>
        <v>0.13651159222612441</v>
      </c>
      <c r="F114" s="190">
        <f>+D114*E114</f>
        <v>29733979.785340015</v>
      </c>
      <c r="G114" s="505">
        <f>+F114*'24-Allocators'!$C$43</f>
        <v>12886516.867913257</v>
      </c>
      <c r="H114" s="505">
        <f>+F114*'24-Allocators'!$C$44</f>
        <v>16847462.917426769</v>
      </c>
      <c r="I114" s="159" t="s">
        <v>799</v>
      </c>
      <c r="J114" s="20"/>
      <c r="K114" s="20"/>
      <c r="L114" s="20"/>
      <c r="M114" s="20"/>
      <c r="N114" s="20"/>
      <c r="R114" s="379">
        <f t="shared" ref="R114:R116" si="35">A114</f>
        <v>600</v>
      </c>
    </row>
    <row r="115" spans="1:18">
      <c r="A115" s="379">
        <f>+A114+1</f>
        <v>601</v>
      </c>
      <c r="B115" s="154" t="s">
        <v>470</v>
      </c>
      <c r="C115" s="155">
        <f>'1-BaseTRR'!$G$2</f>
        <v>2020</v>
      </c>
      <c r="D115" s="506">
        <v>208887972.34</v>
      </c>
      <c r="E115" s="38">
        <f>'24-Allocators'!$C$23</f>
        <v>0.13651159222612441</v>
      </c>
      <c r="F115" s="501">
        <f>+D115*E115</f>
        <v>28515629.701020036</v>
      </c>
      <c r="G115" s="501">
        <f>+F115*'24-Allocators'!$C$43</f>
        <v>12358491.725434557</v>
      </c>
      <c r="H115" s="501">
        <f>+F115*'24-Allocators'!$C$44</f>
        <v>16157137.975585489</v>
      </c>
      <c r="I115" s="159" t="s">
        <v>800</v>
      </c>
      <c r="J115" s="20"/>
      <c r="K115" s="20"/>
      <c r="L115" s="20"/>
      <c r="M115" s="20"/>
      <c r="N115" s="20"/>
      <c r="R115" s="379">
        <f t="shared" si="35"/>
        <v>601</v>
      </c>
    </row>
    <row r="116" spans="1:18">
      <c r="A116" s="379">
        <f t="shared" ref="A116" si="36">A115+1</f>
        <v>602</v>
      </c>
      <c r="B116" s="163" t="s">
        <v>779</v>
      </c>
      <c r="C116" s="163"/>
      <c r="D116" s="520">
        <f>AVERAGE(D114:D115)</f>
        <v>213350414.19</v>
      </c>
      <c r="E116" s="12"/>
      <c r="F116" s="520">
        <f>AVERAGE(F114:F115)</f>
        <v>29124804.743180025</v>
      </c>
      <c r="G116" s="520">
        <f t="shared" ref="G116:H116" si="37">AVERAGE(G114:G115)</f>
        <v>12622504.296673907</v>
      </c>
      <c r="H116" s="520">
        <f t="shared" si="37"/>
        <v>16502300.446506128</v>
      </c>
      <c r="I116" s="20" t="s">
        <v>801</v>
      </c>
      <c r="J116" s="20"/>
      <c r="K116" s="20"/>
      <c r="L116" s="20"/>
      <c r="M116" s="20"/>
      <c r="N116" s="20"/>
      <c r="R116" s="379">
        <f t="shared" si="35"/>
        <v>602</v>
      </c>
    </row>
    <row r="117" spans="1:18">
      <c r="A117" s="379"/>
      <c r="B117" s="145"/>
      <c r="C117" s="145"/>
      <c r="D117" s="20"/>
      <c r="E117" s="20"/>
      <c r="F117" s="20"/>
      <c r="G117" s="20"/>
      <c r="H117" s="20"/>
      <c r="I117" s="20"/>
      <c r="J117" s="20"/>
      <c r="K117" s="20"/>
      <c r="L117" s="20"/>
      <c r="M117" s="20"/>
      <c r="N117" s="20"/>
      <c r="R117" s="379"/>
    </row>
    <row r="118" spans="1:18">
      <c r="A118" s="379"/>
      <c r="B118" s="145"/>
      <c r="C118" s="145"/>
      <c r="D118" s="20"/>
      <c r="E118" s="20"/>
      <c r="F118" s="20"/>
      <c r="G118" s="20"/>
      <c r="H118" s="20"/>
      <c r="I118" s="20"/>
      <c r="J118" s="20"/>
      <c r="K118" s="20"/>
      <c r="L118" s="20"/>
      <c r="M118" s="20"/>
      <c r="N118" s="20"/>
      <c r="R118" s="379"/>
    </row>
    <row r="119" spans="1:18">
      <c r="B119" s="52" t="s">
        <v>802</v>
      </c>
      <c r="C119" s="52"/>
      <c r="D119" s="138"/>
      <c r="E119" s="138"/>
      <c r="F119" s="138"/>
      <c r="G119" s="138"/>
      <c r="H119" s="138"/>
      <c r="I119" s="219"/>
      <c r="J119" s="219"/>
      <c r="K119" s="138"/>
      <c r="L119" s="138"/>
      <c r="M119" s="138"/>
      <c r="N119" s="219"/>
      <c r="O119" s="219"/>
      <c r="P119" s="219"/>
      <c r="Q119" s="219"/>
    </row>
    <row r="120" spans="1:18">
      <c r="A120" s="371"/>
      <c r="B120" s="145" t="s">
        <v>803</v>
      </c>
      <c r="C120" s="145"/>
      <c r="D120" s="145"/>
      <c r="E120" s="145"/>
      <c r="F120" s="145"/>
      <c r="G120" s="145"/>
      <c r="H120" s="145"/>
      <c r="I120" s="145"/>
      <c r="J120" s="145"/>
      <c r="K120" s="145"/>
      <c r="L120" s="145"/>
      <c r="M120" s="145"/>
      <c r="N120" s="145"/>
      <c r="O120" s="145"/>
      <c r="P120" s="145"/>
      <c r="Q120" s="145"/>
      <c r="R120" s="379"/>
    </row>
    <row r="121" spans="1:18">
      <c r="A121" s="371"/>
      <c r="C121" s="17"/>
      <c r="D121" s="17"/>
      <c r="E121" s="17"/>
      <c r="F121" s="17"/>
      <c r="G121" s="17"/>
      <c r="H121" s="17"/>
      <c r="I121" s="17"/>
      <c r="J121" s="17"/>
      <c r="K121" s="17"/>
      <c r="L121" s="17"/>
      <c r="M121" s="17"/>
      <c r="R121" s="379"/>
    </row>
    <row r="122" spans="1:18">
      <c r="A122" s="8"/>
      <c r="D122" s="147" t="s">
        <v>413</v>
      </c>
      <c r="E122" s="147" t="s">
        <v>414</v>
      </c>
      <c r="F122" s="147" t="s">
        <v>415</v>
      </c>
      <c r="G122" s="147"/>
      <c r="H122" s="147"/>
      <c r="I122" s="147"/>
      <c r="J122" s="147"/>
      <c r="K122" s="147"/>
      <c r="L122" s="147"/>
      <c r="M122" s="147"/>
      <c r="N122" s="147"/>
      <c r="R122" s="379"/>
    </row>
    <row r="123" spans="1:18" ht="29">
      <c r="B123" s="379"/>
      <c r="C123" s="379"/>
      <c r="D123" s="149" t="s">
        <v>804</v>
      </c>
      <c r="E123" s="149" t="s">
        <v>804</v>
      </c>
      <c r="F123" s="149" t="s">
        <v>804</v>
      </c>
      <c r="R123" s="379"/>
    </row>
    <row r="124" spans="1:18">
      <c r="B124" s="379"/>
      <c r="C124" s="379"/>
      <c r="D124" s="116"/>
      <c r="E124" s="147"/>
      <c r="R124" s="379"/>
    </row>
    <row r="125" spans="1:18">
      <c r="B125" s="379"/>
      <c r="C125" s="379"/>
      <c r="D125" s="8" t="s">
        <v>805</v>
      </c>
      <c r="E125" s="2" t="s">
        <v>806</v>
      </c>
      <c r="F125" s="2" t="s">
        <v>807</v>
      </c>
      <c r="R125" s="379"/>
    </row>
    <row r="126" spans="1:18">
      <c r="A126" s="144" t="s">
        <v>99</v>
      </c>
      <c r="B126" s="144" t="s">
        <v>426</v>
      </c>
      <c r="C126" s="144" t="s">
        <v>462</v>
      </c>
      <c r="D126" s="13" t="s">
        <v>808</v>
      </c>
      <c r="E126" s="158" t="s">
        <v>809</v>
      </c>
      <c r="F126" s="158" t="s">
        <v>809</v>
      </c>
      <c r="G126" s="147" t="s">
        <v>134</v>
      </c>
      <c r="H126" s="147"/>
      <c r="I126" s="147"/>
      <c r="J126" s="147"/>
      <c r="K126" s="147"/>
      <c r="L126" s="147"/>
      <c r="M126" s="147"/>
      <c r="N126" s="144"/>
      <c r="R126" s="144" t="str">
        <f>A126</f>
        <v>Line</v>
      </c>
    </row>
    <row r="127" spans="1:18">
      <c r="A127" s="379">
        <v>700</v>
      </c>
      <c r="B127" s="145" t="s">
        <v>470</v>
      </c>
      <c r="C127" s="152">
        <f>'1-BaseTRR'!$G$2-1</f>
        <v>2019</v>
      </c>
      <c r="D127" s="190">
        <f t="shared" ref="D127:F128" si="38">+D86+F100+F114</f>
        <v>1194378380.1344135</v>
      </c>
      <c r="E127" s="190">
        <f t="shared" si="38"/>
        <v>527096750.26448989</v>
      </c>
      <c r="F127" s="190">
        <f t="shared" si="38"/>
        <v>667281629.86992383</v>
      </c>
      <c r="G127" s="159" t="s">
        <v>810</v>
      </c>
      <c r="H127" s="159"/>
      <c r="I127" s="159"/>
      <c r="J127" s="159"/>
      <c r="K127" s="159"/>
      <c r="L127" s="159"/>
      <c r="M127" s="159"/>
      <c r="N127" s="20"/>
      <c r="R127" s="379">
        <f t="shared" ref="R127:R129" si="39">A127</f>
        <v>700</v>
      </c>
    </row>
    <row r="128" spans="1:18">
      <c r="A128" s="379">
        <f>+A127+1</f>
        <v>701</v>
      </c>
      <c r="B128" s="154" t="s">
        <v>470</v>
      </c>
      <c r="C128" s="155">
        <f>'1-BaseTRR'!$G$2</f>
        <v>2020</v>
      </c>
      <c r="D128" s="501">
        <f t="shared" si="38"/>
        <v>1293706114.8576508</v>
      </c>
      <c r="E128" s="501">
        <f t="shared" si="38"/>
        <v>547963060.41581166</v>
      </c>
      <c r="F128" s="501">
        <f t="shared" si="38"/>
        <v>745743054.44183922</v>
      </c>
      <c r="G128" s="159" t="s">
        <v>811</v>
      </c>
      <c r="H128" s="160"/>
      <c r="I128" s="160"/>
      <c r="J128" s="160"/>
      <c r="K128" s="160"/>
      <c r="L128" s="160"/>
      <c r="M128" s="160"/>
      <c r="N128" s="160"/>
      <c r="R128" s="379">
        <f t="shared" si="39"/>
        <v>701</v>
      </c>
    </row>
    <row r="129" spans="1:18">
      <c r="A129" s="379">
        <f t="shared" ref="A129" si="40">A128+1</f>
        <v>702</v>
      </c>
      <c r="B129" s="163" t="s">
        <v>779</v>
      </c>
      <c r="C129" s="163"/>
      <c r="D129" s="520">
        <f>AVERAGE(D127:D128)</f>
        <v>1244042247.4960322</v>
      </c>
      <c r="E129" s="520">
        <f t="shared" ref="E129:F129" si="41">AVERAGE(E127:E128)</f>
        <v>537529905.34015083</v>
      </c>
      <c r="F129" s="520">
        <f t="shared" si="41"/>
        <v>706512342.15588152</v>
      </c>
      <c r="G129" s="20" t="s">
        <v>812</v>
      </c>
      <c r="H129" s="20"/>
      <c r="I129" s="20"/>
      <c r="J129" s="20"/>
      <c r="K129" s="20"/>
      <c r="L129" s="20"/>
      <c r="M129" s="20"/>
      <c r="N129" s="20"/>
      <c r="R129" s="379">
        <f t="shared" si="39"/>
        <v>702</v>
      </c>
    </row>
    <row r="130" spans="1:18">
      <c r="A130" s="379"/>
      <c r="B130" s="156"/>
      <c r="C130" s="156"/>
      <c r="D130" s="20"/>
      <c r="E130" s="20"/>
      <c r="F130" s="20"/>
      <c r="G130" s="20"/>
      <c r="H130" s="20"/>
      <c r="I130" s="20"/>
      <c r="J130" s="20"/>
      <c r="K130" s="20"/>
      <c r="L130" s="20"/>
      <c r="M130" s="20"/>
      <c r="N130" s="20"/>
    </row>
    <row r="131" spans="1:18">
      <c r="A131" s="379"/>
      <c r="C131" s="156"/>
      <c r="D131" s="20"/>
      <c r="E131" s="20"/>
      <c r="F131" s="20"/>
      <c r="G131" s="20"/>
      <c r="H131" s="20"/>
      <c r="I131" s="20"/>
      <c r="J131" s="20"/>
      <c r="K131" s="20"/>
      <c r="L131" s="20"/>
      <c r="M131" s="20"/>
      <c r="N131" s="20"/>
    </row>
    <row r="132" spans="1:18">
      <c r="B132" s="16" t="s">
        <v>304</v>
      </c>
      <c r="C132" s="163"/>
      <c r="D132" s="20"/>
      <c r="E132" s="20"/>
      <c r="F132" s="20"/>
      <c r="G132" s="20"/>
      <c r="H132" s="20"/>
      <c r="I132" s="20"/>
      <c r="J132" s="20"/>
      <c r="K132" s="20"/>
      <c r="L132" s="20"/>
      <c r="M132" s="20"/>
      <c r="N132" s="20"/>
    </row>
    <row r="133" spans="1:18" ht="15" customHeight="1">
      <c r="B133" s="408" t="s">
        <v>813</v>
      </c>
      <c r="C133" s="408"/>
      <c r="D133" s="408"/>
      <c r="E133" s="408"/>
      <c r="F133" s="408"/>
      <c r="G133" s="408"/>
      <c r="H133" s="408"/>
      <c r="I133" s="408"/>
      <c r="J133" s="408"/>
      <c r="K133" s="408"/>
      <c r="L133" s="408"/>
      <c r="M133" s="408"/>
      <c r="N133" s="304"/>
      <c r="O133" s="304"/>
      <c r="P133" s="304"/>
      <c r="Q133" s="6"/>
    </row>
    <row r="134" spans="1:18">
      <c r="A134" s="379"/>
      <c r="B134" s="408" t="s">
        <v>814</v>
      </c>
      <c r="C134" s="408"/>
      <c r="D134" s="408"/>
      <c r="E134" s="408"/>
      <c r="F134" s="408"/>
      <c r="G134" s="408"/>
      <c r="H134" s="408"/>
      <c r="I134" s="408"/>
      <c r="J134" s="408"/>
      <c r="K134" s="408"/>
      <c r="L134" s="408"/>
      <c r="M134" s="408"/>
      <c r="N134" s="147"/>
      <c r="O134" s="147"/>
    </row>
    <row r="135" spans="1:18">
      <c r="B135" s="408" t="s">
        <v>815</v>
      </c>
      <c r="C135" s="408"/>
      <c r="D135" s="408"/>
      <c r="E135" s="408"/>
      <c r="F135" s="408"/>
      <c r="G135" s="408"/>
      <c r="H135" s="408"/>
      <c r="I135" s="408"/>
      <c r="J135" s="408"/>
      <c r="K135" s="408"/>
      <c r="L135" s="408"/>
      <c r="M135" s="408"/>
    </row>
    <row r="136" spans="1:18">
      <c r="B136" s="408" t="s">
        <v>745</v>
      </c>
      <c r="C136" s="408"/>
      <c r="D136" s="408"/>
      <c r="E136" s="408"/>
      <c r="F136" s="408"/>
      <c r="G136" s="408"/>
      <c r="H136" s="408"/>
      <c r="I136" s="408"/>
      <c r="J136" s="408"/>
      <c r="K136" s="408"/>
      <c r="L136" s="408"/>
      <c r="M136" s="408"/>
    </row>
    <row r="137" spans="1:18">
      <c r="B137" s="379"/>
      <c r="C137" s="379"/>
      <c r="D137" s="20"/>
      <c r="E137" s="147"/>
      <c r="H137" s="17"/>
      <c r="I137" s="17"/>
      <c r="L137" s="17"/>
      <c r="M137" s="17"/>
    </row>
  </sheetData>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50" max="17" man="1"/>
    <brk id="102" max="17"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49"/>
  <sheetViews>
    <sheetView tabSelected="1" view="pageBreakPreview" topLeftCell="B31" zoomScale="90" zoomScaleNormal="90" zoomScaleSheetLayoutView="90" zoomScalePageLayoutView="85" workbookViewId="0">
      <selection activeCell="E21" sqref="E21"/>
    </sheetView>
  </sheetViews>
  <sheetFormatPr defaultColWidth="9.1796875" defaultRowHeight="14.5"/>
  <cols>
    <col min="1" max="1" width="6.7265625" style="164" bestFit="1" customWidth="1"/>
    <col min="2" max="2" width="66.26953125" style="64" customWidth="1"/>
    <col min="3" max="3" width="7.81640625" style="64" bestFit="1" customWidth="1"/>
    <col min="4" max="4" width="12.7265625" style="64" bestFit="1" customWidth="1"/>
    <col min="5" max="5" width="12.453125" style="64" bestFit="1" customWidth="1"/>
    <col min="6" max="7" width="12.54296875" style="64" bestFit="1" customWidth="1"/>
    <col min="8" max="8" width="12.7265625" style="164" bestFit="1" customWidth="1"/>
    <col min="9" max="9" width="12.54296875" style="164" bestFit="1" customWidth="1"/>
    <col min="10" max="10" width="11.81640625" style="64" bestFit="1" customWidth="1"/>
    <col min="11" max="11" width="14.81640625" style="64" bestFit="1" customWidth="1"/>
    <col min="12" max="12" width="25" style="64" bestFit="1" customWidth="1"/>
    <col min="13" max="13" width="12.1796875" style="64" bestFit="1" customWidth="1"/>
    <col min="14" max="14" width="15.7265625" style="64" bestFit="1" customWidth="1"/>
    <col min="15" max="15" width="15" style="64" bestFit="1" customWidth="1"/>
    <col min="16" max="16" width="14.81640625" style="64" bestFit="1" customWidth="1"/>
    <col min="17" max="17" width="4.7265625" style="64" bestFit="1" customWidth="1"/>
    <col min="18" max="16384" width="9.1796875" style="64"/>
  </cols>
  <sheetData>
    <row r="1" spans="1:17">
      <c r="B1" s="86" t="s">
        <v>28</v>
      </c>
      <c r="G1" s="135"/>
      <c r="H1" s="8"/>
      <c r="I1" s="8"/>
      <c r="P1" s="15" t="str">
        <f>CONCATENATE("Prior Year: ",'1-BaseTRR'!$G$2)</f>
        <v>Prior Year: 2020</v>
      </c>
    </row>
    <row r="2" spans="1:17">
      <c r="B2" s="113" t="s">
        <v>130</v>
      </c>
      <c r="C2" s="87"/>
      <c r="D2" s="87"/>
      <c r="H2" s="8"/>
      <c r="I2" s="8"/>
      <c r="J2" s="15"/>
    </row>
    <row r="3" spans="1:17">
      <c r="B3" s="64" t="s">
        <v>816</v>
      </c>
      <c r="H3" s="64"/>
      <c r="I3" s="64"/>
    </row>
    <row r="5" spans="1:17">
      <c r="B5" s="165" t="s">
        <v>817</v>
      </c>
      <c r="C5" s="165"/>
      <c r="D5" s="165"/>
      <c r="E5" s="166"/>
      <c r="F5" s="166"/>
      <c r="G5" s="166"/>
      <c r="H5" s="166"/>
      <c r="I5" s="166"/>
      <c r="J5" s="167"/>
      <c r="K5" s="166"/>
      <c r="L5" s="166"/>
      <c r="M5" s="166"/>
      <c r="N5" s="166"/>
      <c r="O5" s="166"/>
      <c r="P5" s="166"/>
      <c r="Q5" s="164"/>
    </row>
    <row r="6" spans="1:17">
      <c r="A6" s="35"/>
      <c r="E6" s="449"/>
      <c r="F6" s="449"/>
      <c r="G6" s="449"/>
      <c r="H6"/>
      <c r="I6"/>
      <c r="J6" s="168"/>
      <c r="K6"/>
      <c r="L6"/>
      <c r="M6"/>
      <c r="N6"/>
      <c r="O6"/>
      <c r="P6"/>
      <c r="Q6" s="35"/>
    </row>
    <row r="7" spans="1:17">
      <c r="A7" s="35"/>
      <c r="C7" s="168" t="s">
        <v>413</v>
      </c>
      <c r="D7" s="168" t="s">
        <v>414</v>
      </c>
      <c r="E7" s="168" t="s">
        <v>415</v>
      </c>
      <c r="F7" s="168" t="s">
        <v>416</v>
      </c>
      <c r="G7" s="168" t="s">
        <v>417</v>
      </c>
      <c r="H7" s="168" t="s">
        <v>418</v>
      </c>
      <c r="I7" s="168" t="s">
        <v>419</v>
      </c>
      <c r="J7" s="168" t="s">
        <v>420</v>
      </c>
      <c r="K7" s="168" t="s">
        <v>451</v>
      </c>
      <c r="L7" s="168" t="s">
        <v>586</v>
      </c>
      <c r="M7" s="168" t="s">
        <v>587</v>
      </c>
      <c r="N7" s="168" t="s">
        <v>588</v>
      </c>
      <c r="O7" s="168" t="s">
        <v>589</v>
      </c>
      <c r="P7" s="168" t="s">
        <v>590</v>
      </c>
      <c r="Q7" s="35"/>
    </row>
    <row r="8" spans="1:17">
      <c r="A8" s="35"/>
      <c r="C8" s="449"/>
      <c r="D8" s="449"/>
      <c r="E8" s="449"/>
      <c r="F8" s="449"/>
      <c r="G8" s="168"/>
      <c r="J8" s="164"/>
      <c r="K8" s="164" t="s">
        <v>818</v>
      </c>
      <c r="L8" s="164" t="s">
        <v>819</v>
      </c>
      <c r="M8" s="164" t="s">
        <v>820</v>
      </c>
      <c r="N8" s="164" t="s">
        <v>821</v>
      </c>
      <c r="O8" s="164"/>
      <c r="P8" s="164"/>
      <c r="Q8" s="35"/>
    </row>
    <row r="9" spans="1:17">
      <c r="A9" s="35"/>
      <c r="E9" s="449"/>
      <c r="F9" s="449"/>
      <c r="G9" s="449"/>
      <c r="H9"/>
      <c r="I9"/>
      <c r="J9" s="676"/>
      <c r="K9"/>
      <c r="L9"/>
      <c r="M9"/>
      <c r="N9"/>
      <c r="O9"/>
      <c r="P9"/>
      <c r="Q9" s="35"/>
    </row>
    <row r="10" spans="1:17">
      <c r="A10" s="35"/>
      <c r="D10" s="379" t="s">
        <v>822</v>
      </c>
      <c r="E10" s="379" t="s">
        <v>823</v>
      </c>
      <c r="F10" s="379" t="s">
        <v>493</v>
      </c>
      <c r="G10" s="379" t="s">
        <v>824</v>
      </c>
      <c r="H10"/>
      <c r="I10" s="379" t="s">
        <v>505</v>
      </c>
      <c r="J10" s="602" t="s">
        <v>825</v>
      </c>
      <c r="K10" s="379" t="s">
        <v>826</v>
      </c>
      <c r="L10"/>
      <c r="M10" s="602" t="s">
        <v>827</v>
      </c>
      <c r="N10" s="8" t="s">
        <v>828</v>
      </c>
      <c r="O10" s="379" t="s">
        <v>706</v>
      </c>
      <c r="P10" s="379" t="s">
        <v>829</v>
      </c>
      <c r="Q10" s="35"/>
    </row>
    <row r="11" spans="1:17">
      <c r="A11" s="91" t="s">
        <v>99</v>
      </c>
      <c r="C11" s="91" t="s">
        <v>830</v>
      </c>
      <c r="D11" s="91" t="s">
        <v>831</v>
      </c>
      <c r="E11" s="91" t="s">
        <v>831</v>
      </c>
      <c r="F11" s="144" t="s">
        <v>832</v>
      </c>
      <c r="G11" s="144" t="s">
        <v>493</v>
      </c>
      <c r="H11" s="91" t="s">
        <v>833</v>
      </c>
      <c r="I11" s="91" t="s">
        <v>493</v>
      </c>
      <c r="J11" s="91" t="s">
        <v>492</v>
      </c>
      <c r="K11" s="91" t="s">
        <v>492</v>
      </c>
      <c r="L11" s="91" t="s">
        <v>834</v>
      </c>
      <c r="M11" s="13" t="s">
        <v>835</v>
      </c>
      <c r="N11" s="13" t="s">
        <v>835</v>
      </c>
      <c r="O11" s="246" t="s">
        <v>836</v>
      </c>
      <c r="P11" s="246" t="s">
        <v>837</v>
      </c>
      <c r="Q11" s="91" t="str">
        <f>A11</f>
        <v>Line</v>
      </c>
    </row>
    <row r="12" spans="1:17">
      <c r="A12" s="71">
        <v>100</v>
      </c>
      <c r="B12" s="64" t="s">
        <v>838</v>
      </c>
      <c r="C12" s="164" t="s">
        <v>806</v>
      </c>
      <c r="D12" s="507">
        <f ca="1">SUMIF($C$17:$P43,$C12,D$17:D$43)</f>
        <v>26990050.549999997</v>
      </c>
      <c r="E12" s="507">
        <f ca="1">SUMIF($C$17:$P43,$C12,E$17:E$43)</f>
        <v>15983718.484999999</v>
      </c>
      <c r="F12" s="201"/>
      <c r="G12" s="201"/>
      <c r="H12" s="507">
        <f ca="1">SUMIF($C$17:$P43,$C12,H$17:H$43)</f>
        <v>15862727.543319441</v>
      </c>
      <c r="I12" s="507">
        <f ca="1">SUMIF($C$17:$P43,$C12,I$17:I$43)</f>
        <v>15862727.543319441</v>
      </c>
      <c r="J12" s="507">
        <f ca="1">SUMIF($C$17:$P43,$C12,J$17:J$43)</f>
        <v>0</v>
      </c>
      <c r="K12" s="507">
        <f ca="1">SUMIF($C$17:$P43,$C12,K$17:K$43)</f>
        <v>7931363.7716597207</v>
      </c>
      <c r="L12" s="507">
        <f ca="1">SUMIF($C$17:$P43,$C12,L$17:L$43)</f>
        <v>2219481.1124061691</v>
      </c>
      <c r="M12" s="507">
        <f ca="1">SUMIF($C$17:$P43,$C12,M$17:M$43)</f>
        <v>-2219481.1124061691</v>
      </c>
      <c r="N12" s="507">
        <f ca="1">SUMIF($C$17:$P43,$C12,N$17:N$43)</f>
        <v>5711882.6592535507</v>
      </c>
      <c r="O12" s="201"/>
      <c r="P12" s="201"/>
      <c r="Q12" s="71">
        <f>A12</f>
        <v>100</v>
      </c>
    </row>
    <row r="13" spans="1:17">
      <c r="A13" s="71">
        <f>A12+1</f>
        <v>101</v>
      </c>
      <c r="B13" s="594" t="s">
        <v>839</v>
      </c>
      <c r="C13" s="595" t="s">
        <v>807</v>
      </c>
      <c r="D13" s="596">
        <f ca="1">SUMIF($C$17:$P43,$C13,D$17:D$43)</f>
        <v>31431261.894000001</v>
      </c>
      <c r="E13" s="596">
        <f ca="1">SUMIF($C$17:$P43,$C13,E$17:E$43)</f>
        <v>15715630.947000001</v>
      </c>
      <c r="F13" s="597"/>
      <c r="G13" s="597"/>
      <c r="H13" s="596">
        <f ca="1">SUMIF($C$17:$P43,$C13,H$17:H$43)</f>
        <v>15222396.940402769</v>
      </c>
      <c r="I13" s="596">
        <f ca="1">SUMIF($C$17:$P43,$C13,I$17:I$43)</f>
        <v>15222396.940402769</v>
      </c>
      <c r="J13" s="596">
        <f ca="1">SUMIF($C$17:$P43,$C13,J$17:J$43)</f>
        <v>0</v>
      </c>
      <c r="K13" s="596">
        <f ca="1">SUMIF($C$17:$P43,$C13,K$17:K$43)</f>
        <v>7611198.4702013843</v>
      </c>
      <c r="L13" s="596">
        <f ca="1">SUMIF($C$17:$P43,$C13,L$17:L$43)</f>
        <v>2129887.3351072748</v>
      </c>
      <c r="M13" s="596">
        <f ca="1">SUMIF($C$17:$P43,$C13,M$17:M$43)</f>
        <v>-2129887.3351072748</v>
      </c>
      <c r="N13" s="596">
        <f ca="1">SUMIF($C$17:$P43,$C13,N$17:N$43)</f>
        <v>5481311.1350941109</v>
      </c>
      <c r="O13" s="597"/>
      <c r="P13" s="597"/>
      <c r="Q13" s="71">
        <f>A13</f>
        <v>101</v>
      </c>
    </row>
    <row r="14" spans="1:17">
      <c r="A14" s="71">
        <f t="shared" ref="A14" si="0">A13+1</f>
        <v>102</v>
      </c>
      <c r="B14" s="1" t="s">
        <v>840</v>
      </c>
      <c r="C14" s="1"/>
      <c r="D14" s="1"/>
      <c r="E14" s="507">
        <f ca="1">E12+E13</f>
        <v>31699349.432</v>
      </c>
      <c r="F14" s="507"/>
      <c r="G14" s="507"/>
      <c r="H14" s="507">
        <f t="shared" ref="H14:N14" ca="1" si="1">H12+H13</f>
        <v>31085124.48372221</v>
      </c>
      <c r="I14" s="507">
        <f t="shared" ca="1" si="1"/>
        <v>31085124.48372221</v>
      </c>
      <c r="J14" s="507">
        <f t="shared" ca="1" si="1"/>
        <v>0</v>
      </c>
      <c r="K14" s="507">
        <f t="shared" ca="1" si="1"/>
        <v>15542562.241861105</v>
      </c>
      <c r="L14" s="507">
        <f t="shared" ca="1" si="1"/>
        <v>4349368.4475134443</v>
      </c>
      <c r="M14" s="507">
        <f t="shared" ca="1" si="1"/>
        <v>-4349368.4475134443</v>
      </c>
      <c r="N14" s="507">
        <f t="shared" ca="1" si="1"/>
        <v>11193193.794347662</v>
      </c>
      <c r="O14" s="507"/>
      <c r="P14"/>
      <c r="Q14" s="71">
        <f>A14</f>
        <v>102</v>
      </c>
    </row>
    <row r="15" spans="1:17">
      <c r="A15" s="91"/>
      <c r="C15" s="91"/>
      <c r="D15" s="91"/>
      <c r="E15" s="91"/>
      <c r="F15" s="144"/>
      <c r="G15" s="144"/>
      <c r="H15" s="91"/>
      <c r="I15" s="91"/>
      <c r="J15" s="91"/>
      <c r="K15" s="91"/>
      <c r="L15" s="91"/>
      <c r="M15" s="91"/>
      <c r="N15" s="13"/>
      <c r="O15" s="246"/>
      <c r="P15" s="246"/>
      <c r="Q15" s="91"/>
    </row>
    <row r="16" spans="1:17">
      <c r="A16" s="91"/>
      <c r="C16" s="91"/>
      <c r="D16" s="91"/>
      <c r="E16" s="91"/>
      <c r="F16" s="144"/>
      <c r="G16" s="144"/>
      <c r="H16" s="91"/>
      <c r="I16" s="91"/>
      <c r="J16" s="91"/>
      <c r="K16" s="91"/>
      <c r="L16" s="91"/>
      <c r="M16" s="91"/>
      <c r="N16" s="13"/>
      <c r="O16" s="246"/>
      <c r="P16" s="246"/>
      <c r="Q16" s="91"/>
    </row>
    <row r="17" spans="1:17">
      <c r="A17" s="71">
        <f>A14+1</f>
        <v>103</v>
      </c>
      <c r="B17" s="605" t="s">
        <v>841</v>
      </c>
      <c r="C17" s="120" t="s">
        <v>807</v>
      </c>
      <c r="D17" s="663">
        <v>7600000</v>
      </c>
      <c r="E17" s="606">
        <v>3800000</v>
      </c>
      <c r="F17" s="120">
        <v>60</v>
      </c>
      <c r="G17" s="604">
        <v>42430</v>
      </c>
      <c r="H17" s="606">
        <v>3557222</v>
      </c>
      <c r="I17" s="606">
        <v>3557222</v>
      </c>
      <c r="J17" s="606">
        <v>0</v>
      </c>
      <c r="K17" s="507">
        <f>(H17+J17)/2</f>
        <v>1778611</v>
      </c>
      <c r="L17" s="507">
        <f>K17*'1-BaseTRR'!$E$99</f>
        <v>497719.38779599994</v>
      </c>
      <c r="M17" s="507">
        <f>J17-L17</f>
        <v>-497719.38779599994</v>
      </c>
      <c r="N17" s="507">
        <f t="shared" ref="N17:N40" si="2">K17-L17</f>
        <v>1280891.6122040001</v>
      </c>
      <c r="O17" s="120" t="s">
        <v>842</v>
      </c>
      <c r="P17" s="120" t="s">
        <v>843</v>
      </c>
      <c r="Q17" s="71">
        <f t="shared" ref="Q17:Q43" si="3">A17</f>
        <v>103</v>
      </c>
    </row>
    <row r="18" spans="1:17">
      <c r="A18" s="71">
        <f t="shared" ref="A18:A43" si="4">A17+1</f>
        <v>104</v>
      </c>
      <c r="B18" s="605" t="s">
        <v>844</v>
      </c>
      <c r="C18" s="120" t="s">
        <v>807</v>
      </c>
      <c r="D18" s="663">
        <v>428546</v>
      </c>
      <c r="E18" s="606">
        <v>214273</v>
      </c>
      <c r="F18" s="120">
        <v>60</v>
      </c>
      <c r="G18" s="604">
        <v>42795</v>
      </c>
      <c r="H18" s="606">
        <v>206535.54702777753</v>
      </c>
      <c r="I18" s="606">
        <v>206535.54702777753</v>
      </c>
      <c r="J18" s="606">
        <v>0</v>
      </c>
      <c r="K18" s="507">
        <f t="shared" ref="K18:K40" si="5">(H18+J18)/2</f>
        <v>103267.77351388877</v>
      </c>
      <c r="L18" s="507">
        <f>K18*'1-BaseTRR'!$E$99</f>
        <v>28898.040669032573</v>
      </c>
      <c r="M18" s="507">
        <f t="shared" ref="M18:M40" si="6">J18-L18</f>
        <v>-28898.040669032573</v>
      </c>
      <c r="N18" s="507">
        <f t="shared" si="2"/>
        <v>74369.732844856189</v>
      </c>
      <c r="O18" s="120" t="s">
        <v>845</v>
      </c>
      <c r="P18" s="120" t="s">
        <v>843</v>
      </c>
      <c r="Q18" s="71">
        <f t="shared" si="3"/>
        <v>104</v>
      </c>
    </row>
    <row r="19" spans="1:17">
      <c r="A19" s="71">
        <f t="shared" si="4"/>
        <v>105</v>
      </c>
      <c r="B19" s="605" t="s">
        <v>846</v>
      </c>
      <c r="C19" s="120" t="s">
        <v>807</v>
      </c>
      <c r="D19" s="663">
        <v>6310382</v>
      </c>
      <c r="E19" s="606">
        <v>3155191</v>
      </c>
      <c r="F19" s="120">
        <v>60</v>
      </c>
      <c r="G19" s="604">
        <v>42795</v>
      </c>
      <c r="H19" s="606">
        <v>3041253.296611107</v>
      </c>
      <c r="I19" s="606">
        <v>3041253.296611107</v>
      </c>
      <c r="J19" s="606">
        <v>0</v>
      </c>
      <c r="K19" s="507">
        <f t="shared" si="5"/>
        <v>1520626.6483055535</v>
      </c>
      <c r="L19" s="507">
        <f>K19*'1-BaseTRR'!$E$99</f>
        <v>425526.0787552328</v>
      </c>
      <c r="M19" s="507">
        <f t="shared" si="6"/>
        <v>-425526.0787552328</v>
      </c>
      <c r="N19" s="507">
        <f t="shared" si="2"/>
        <v>1095100.5695503207</v>
      </c>
      <c r="O19" s="120" t="s">
        <v>845</v>
      </c>
      <c r="P19" s="120" t="s">
        <v>843</v>
      </c>
      <c r="Q19" s="71">
        <f t="shared" si="3"/>
        <v>105</v>
      </c>
    </row>
    <row r="20" spans="1:17">
      <c r="A20" s="71">
        <f t="shared" si="4"/>
        <v>106</v>
      </c>
      <c r="B20" s="605" t="s">
        <v>847</v>
      </c>
      <c r="C20" s="120" t="s">
        <v>807</v>
      </c>
      <c r="D20" s="663">
        <v>2668232</v>
      </c>
      <c r="E20" s="606">
        <v>1334116</v>
      </c>
      <c r="F20" s="120">
        <v>60</v>
      </c>
      <c r="G20" s="604">
        <v>42795</v>
      </c>
      <c r="H20" s="606">
        <v>1285939.8828750013</v>
      </c>
      <c r="I20" s="606">
        <v>1285939.8828750013</v>
      </c>
      <c r="J20" s="606">
        <v>0</v>
      </c>
      <c r="K20" s="507">
        <f t="shared" si="5"/>
        <v>642969.94143750065</v>
      </c>
      <c r="L20" s="507">
        <f>K20*'1-BaseTRR'!$E$99</f>
        <v>179926.1365321044</v>
      </c>
      <c r="M20" s="507">
        <f t="shared" si="6"/>
        <v>-179926.1365321044</v>
      </c>
      <c r="N20" s="507">
        <f t="shared" si="2"/>
        <v>463043.80490539625</v>
      </c>
      <c r="O20" s="120" t="s">
        <v>845</v>
      </c>
      <c r="P20" s="120" t="s">
        <v>843</v>
      </c>
      <c r="Q20" s="71">
        <f t="shared" si="3"/>
        <v>106</v>
      </c>
    </row>
    <row r="21" spans="1:17">
      <c r="A21" s="71">
        <f t="shared" si="4"/>
        <v>107</v>
      </c>
      <c r="B21" s="605" t="s">
        <v>848</v>
      </c>
      <c r="C21" s="120" t="s">
        <v>807</v>
      </c>
      <c r="D21" s="663">
        <v>1805178</v>
      </c>
      <c r="E21" s="606">
        <v>902589</v>
      </c>
      <c r="F21" s="120">
        <v>60</v>
      </c>
      <c r="G21" s="604">
        <v>42795</v>
      </c>
      <c r="H21" s="606">
        <v>869995.02638888801</v>
      </c>
      <c r="I21" s="606">
        <v>869995.02638888801</v>
      </c>
      <c r="J21" s="606">
        <v>0</v>
      </c>
      <c r="K21" s="507">
        <f t="shared" ref="K21:K39" si="7">(H21+J21)/2</f>
        <v>434997.51319444401</v>
      </c>
      <c r="L21" s="507">
        <f>K21*'1-BaseTRR'!$E$99</f>
        <v>121727.96410228043</v>
      </c>
      <c r="M21" s="507">
        <f t="shared" ref="M21:M39" si="8">J21-L21</f>
        <v>-121727.96410228043</v>
      </c>
      <c r="N21" s="507">
        <f t="shared" ref="N21:N39" si="9">K21-L21</f>
        <v>313269.54909216356</v>
      </c>
      <c r="O21" s="120" t="s">
        <v>845</v>
      </c>
      <c r="P21" s="120" t="s">
        <v>843</v>
      </c>
      <c r="Q21" s="71">
        <f t="shared" si="3"/>
        <v>107</v>
      </c>
    </row>
    <row r="22" spans="1:17">
      <c r="A22" s="71">
        <f t="shared" si="4"/>
        <v>108</v>
      </c>
      <c r="B22" s="605" t="s">
        <v>849</v>
      </c>
      <c r="C22" s="120" t="s">
        <v>807</v>
      </c>
      <c r="D22" s="663">
        <v>1417632</v>
      </c>
      <c r="E22" s="606">
        <v>708816</v>
      </c>
      <c r="F22" s="120">
        <v>60</v>
      </c>
      <c r="G22" s="604">
        <v>42795</v>
      </c>
      <c r="H22" s="606">
        <v>683220.22330555506</v>
      </c>
      <c r="I22" s="606">
        <v>683220.22330555506</v>
      </c>
      <c r="J22" s="606">
        <v>0</v>
      </c>
      <c r="K22" s="507">
        <f t="shared" si="7"/>
        <v>341610.11165277753</v>
      </c>
      <c r="L22" s="507">
        <f>K22*'1-BaseTRR'!$E$99</f>
        <v>95594.807204466648</v>
      </c>
      <c r="M22" s="507">
        <f t="shared" si="8"/>
        <v>-95594.807204466648</v>
      </c>
      <c r="N22" s="507">
        <f t="shared" si="9"/>
        <v>246015.30444831087</v>
      </c>
      <c r="O22" s="120" t="s">
        <v>845</v>
      </c>
      <c r="P22" s="120" t="s">
        <v>843</v>
      </c>
      <c r="Q22" s="71">
        <f t="shared" si="3"/>
        <v>108</v>
      </c>
    </row>
    <row r="23" spans="1:17">
      <c r="A23" s="71">
        <f t="shared" si="4"/>
        <v>109</v>
      </c>
      <c r="B23" s="605" t="s">
        <v>850</v>
      </c>
      <c r="C23" s="120" t="s">
        <v>807</v>
      </c>
      <c r="D23" s="663">
        <v>549956</v>
      </c>
      <c r="E23" s="606">
        <v>274978</v>
      </c>
      <c r="F23" s="120">
        <v>60</v>
      </c>
      <c r="G23" s="604">
        <v>42795</v>
      </c>
      <c r="H23" s="606">
        <v>265048.10394444398</v>
      </c>
      <c r="I23" s="606">
        <v>265048.10394444398</v>
      </c>
      <c r="J23" s="606">
        <v>0</v>
      </c>
      <c r="K23" s="507">
        <f t="shared" si="7"/>
        <v>132524.05197222199</v>
      </c>
      <c r="L23" s="507">
        <f>K23*'1-BaseTRR'!$E$99</f>
        <v>37085.000607698712</v>
      </c>
      <c r="M23" s="507">
        <f t="shared" si="8"/>
        <v>-37085.000607698712</v>
      </c>
      <c r="N23" s="507">
        <f t="shared" si="9"/>
        <v>95439.051364523271</v>
      </c>
      <c r="O23" s="120" t="s">
        <v>845</v>
      </c>
      <c r="P23" s="120" t="s">
        <v>843</v>
      </c>
      <c r="Q23" s="71">
        <f t="shared" si="3"/>
        <v>109</v>
      </c>
    </row>
    <row r="24" spans="1:17">
      <c r="A24" s="71">
        <f t="shared" si="4"/>
        <v>110</v>
      </c>
      <c r="B24" s="605" t="s">
        <v>851</v>
      </c>
      <c r="C24" s="120" t="s">
        <v>807</v>
      </c>
      <c r="D24" s="663">
        <v>142198</v>
      </c>
      <c r="E24" s="606">
        <v>71099</v>
      </c>
      <c r="F24" s="120">
        <v>60</v>
      </c>
      <c r="G24" s="604">
        <v>42795</v>
      </c>
      <c r="H24" s="606">
        <v>68531.372250000117</v>
      </c>
      <c r="I24" s="606">
        <v>68531.372250000117</v>
      </c>
      <c r="J24" s="606">
        <v>0</v>
      </c>
      <c r="K24" s="507">
        <f t="shared" si="7"/>
        <v>34265.686125000058</v>
      </c>
      <c r="L24" s="507">
        <f>K24*'1-BaseTRR'!$E$99</f>
        <v>9588.7725424755154</v>
      </c>
      <c r="M24" s="507">
        <f t="shared" si="8"/>
        <v>-9588.7725424755154</v>
      </c>
      <c r="N24" s="507">
        <f t="shared" si="9"/>
        <v>24676.913582524543</v>
      </c>
      <c r="O24" s="120" t="s">
        <v>845</v>
      </c>
      <c r="P24" s="120" t="s">
        <v>843</v>
      </c>
      <c r="Q24" s="71">
        <f t="shared" si="3"/>
        <v>110</v>
      </c>
    </row>
    <row r="25" spans="1:17">
      <c r="A25" s="71">
        <f t="shared" si="4"/>
        <v>111</v>
      </c>
      <c r="B25" s="605" t="s">
        <v>852</v>
      </c>
      <c r="C25" s="120" t="s">
        <v>807</v>
      </c>
      <c r="D25" s="663">
        <v>92724</v>
      </c>
      <c r="E25" s="606">
        <v>46362</v>
      </c>
      <c r="F25" s="120">
        <v>40</v>
      </c>
      <c r="G25" s="604">
        <v>42795</v>
      </c>
      <c r="H25" s="606">
        <v>43850.252083333384</v>
      </c>
      <c r="I25" s="606">
        <v>43850.252083333384</v>
      </c>
      <c r="J25" s="606">
        <v>0</v>
      </c>
      <c r="K25" s="507">
        <f t="shared" si="7"/>
        <v>21925.126041666692</v>
      </c>
      <c r="L25" s="507">
        <f>K25*'1-BaseTRR'!$E$99</f>
        <v>6135.4395709958399</v>
      </c>
      <c r="M25" s="507">
        <f t="shared" si="8"/>
        <v>-6135.4395709958399</v>
      </c>
      <c r="N25" s="507">
        <f t="shared" si="9"/>
        <v>15789.686470670851</v>
      </c>
      <c r="O25" s="120" t="s">
        <v>845</v>
      </c>
      <c r="P25" s="120" t="s">
        <v>843</v>
      </c>
      <c r="Q25" s="71">
        <f t="shared" si="3"/>
        <v>111</v>
      </c>
    </row>
    <row r="26" spans="1:17">
      <c r="A26" s="71">
        <f t="shared" si="4"/>
        <v>112</v>
      </c>
      <c r="B26" s="605" t="s">
        <v>853</v>
      </c>
      <c r="C26" s="120" t="s">
        <v>807</v>
      </c>
      <c r="D26" s="663">
        <v>79966</v>
      </c>
      <c r="E26" s="606">
        <v>39983</v>
      </c>
      <c r="F26" s="120">
        <v>60</v>
      </c>
      <c r="G26" s="604">
        <v>42795</v>
      </c>
      <c r="H26" s="606">
        <v>38538.6875</v>
      </c>
      <c r="I26" s="606">
        <v>38538.6875</v>
      </c>
      <c r="J26" s="606">
        <v>0</v>
      </c>
      <c r="K26" s="507">
        <f t="shared" si="7"/>
        <v>19269.34375</v>
      </c>
      <c r="L26" s="507">
        <f>K26*'1-BaseTRR'!$E$99</f>
        <v>5392.2560776249993</v>
      </c>
      <c r="M26" s="507">
        <f t="shared" si="8"/>
        <v>-5392.2560776249993</v>
      </c>
      <c r="N26" s="507">
        <f t="shared" si="9"/>
        <v>13877.087672375001</v>
      </c>
      <c r="O26" s="120" t="s">
        <v>845</v>
      </c>
      <c r="P26" s="120" t="s">
        <v>843</v>
      </c>
      <c r="Q26" s="71">
        <f t="shared" si="3"/>
        <v>112</v>
      </c>
    </row>
    <row r="27" spans="1:17">
      <c r="A27" s="71">
        <f t="shared" si="4"/>
        <v>113</v>
      </c>
      <c r="B27" s="605" t="s">
        <v>854</v>
      </c>
      <c r="C27" s="120" t="s">
        <v>807</v>
      </c>
      <c r="D27" s="663">
        <v>70608</v>
      </c>
      <c r="E27" s="606">
        <v>35304</v>
      </c>
      <c r="F27" s="120">
        <v>60</v>
      </c>
      <c r="G27" s="604">
        <v>42795</v>
      </c>
      <c r="H27" s="606">
        <v>34029.133333333346</v>
      </c>
      <c r="I27" s="606">
        <v>34029.133333333346</v>
      </c>
      <c r="J27" s="606">
        <v>0</v>
      </c>
      <c r="K27" s="507">
        <f t="shared" si="7"/>
        <v>17014.566666666673</v>
      </c>
      <c r="L27" s="507">
        <f>K27*'1-BaseTRR'!$E$99</f>
        <v>4761.2882777333343</v>
      </c>
      <c r="M27" s="507">
        <f t="shared" si="8"/>
        <v>-4761.2882777333343</v>
      </c>
      <c r="N27" s="507">
        <f t="shared" si="9"/>
        <v>12253.278388933339</v>
      </c>
      <c r="O27" s="120" t="s">
        <v>845</v>
      </c>
      <c r="P27" s="120" t="s">
        <v>843</v>
      </c>
      <c r="Q27" s="71">
        <f t="shared" si="3"/>
        <v>113</v>
      </c>
    </row>
    <row r="28" spans="1:17">
      <c r="A28" s="71">
        <f t="shared" si="4"/>
        <v>114</v>
      </c>
      <c r="B28" s="605" t="s">
        <v>855</v>
      </c>
      <c r="C28" s="120" t="s">
        <v>807</v>
      </c>
      <c r="D28" s="663">
        <v>64744</v>
      </c>
      <c r="E28" s="606">
        <v>32372</v>
      </c>
      <c r="F28" s="120">
        <v>40</v>
      </c>
      <c r="G28" s="604">
        <v>42795</v>
      </c>
      <c r="H28" s="606">
        <v>30618.043750000015</v>
      </c>
      <c r="I28" s="606">
        <v>30618.043750000015</v>
      </c>
      <c r="J28" s="606">
        <v>0</v>
      </c>
      <c r="K28" s="507">
        <f t="shared" si="7"/>
        <v>15309.021875000008</v>
      </c>
      <c r="L28" s="507">
        <f>K28*'1-BaseTRR'!$E$99</f>
        <v>4284.0154454125013</v>
      </c>
      <c r="M28" s="507">
        <f t="shared" si="8"/>
        <v>-4284.0154454125013</v>
      </c>
      <c r="N28" s="507">
        <f t="shared" si="9"/>
        <v>11025.006429587505</v>
      </c>
      <c r="O28" s="120" t="s">
        <v>845</v>
      </c>
      <c r="P28" s="120" t="s">
        <v>843</v>
      </c>
      <c r="Q28" s="71">
        <f t="shared" si="3"/>
        <v>114</v>
      </c>
    </row>
    <row r="29" spans="1:17">
      <c r="A29" s="71">
        <f t="shared" si="4"/>
        <v>115</v>
      </c>
      <c r="B29" s="605" t="s">
        <v>856</v>
      </c>
      <c r="C29" s="120" t="s">
        <v>807</v>
      </c>
      <c r="D29" s="663">
        <v>62314</v>
      </c>
      <c r="E29" s="606">
        <v>31157</v>
      </c>
      <c r="F29" s="120">
        <v>60</v>
      </c>
      <c r="G29" s="604">
        <v>42795</v>
      </c>
      <c r="H29" s="606">
        <v>30031.886111111096</v>
      </c>
      <c r="I29" s="606">
        <v>30031.886111111096</v>
      </c>
      <c r="J29" s="606">
        <v>0</v>
      </c>
      <c r="K29" s="507">
        <f t="shared" si="7"/>
        <v>15015.943055555548</v>
      </c>
      <c r="L29" s="507">
        <f>K29*'1-BaseTRR'!$E$99</f>
        <v>4202.0014408944417</v>
      </c>
      <c r="M29" s="507">
        <f t="shared" si="8"/>
        <v>-4202.0014408944417</v>
      </c>
      <c r="N29" s="507">
        <f t="shared" si="9"/>
        <v>10813.941614661107</v>
      </c>
      <c r="O29" s="120" t="s">
        <v>845</v>
      </c>
      <c r="P29" s="120" t="s">
        <v>843</v>
      </c>
      <c r="Q29" s="71">
        <f t="shared" si="3"/>
        <v>115</v>
      </c>
    </row>
    <row r="30" spans="1:17">
      <c r="A30" s="71">
        <f t="shared" si="4"/>
        <v>116</v>
      </c>
      <c r="B30" s="605" t="s">
        <v>857</v>
      </c>
      <c r="C30" s="120" t="s">
        <v>807</v>
      </c>
      <c r="D30" s="663">
        <v>55554</v>
      </c>
      <c r="E30" s="606">
        <v>27777</v>
      </c>
      <c r="F30" s="120">
        <v>60</v>
      </c>
      <c r="G30" s="604">
        <v>42795</v>
      </c>
      <c r="H30" s="606">
        <v>26773.459722222193</v>
      </c>
      <c r="I30" s="606">
        <v>26773.459722222193</v>
      </c>
      <c r="J30" s="606">
        <v>0</v>
      </c>
      <c r="K30" s="507">
        <f t="shared" si="7"/>
        <v>13386.729861111096</v>
      </c>
      <c r="L30" s="507">
        <f>K30*'1-BaseTRR'!$E$99</f>
        <v>3746.0889374138842</v>
      </c>
      <c r="M30" s="507">
        <f t="shared" si="8"/>
        <v>-3746.0889374138842</v>
      </c>
      <c r="N30" s="507">
        <f t="shared" si="9"/>
        <v>9640.6409236972122</v>
      </c>
      <c r="O30" s="120" t="s">
        <v>845</v>
      </c>
      <c r="P30" s="120" t="s">
        <v>843</v>
      </c>
      <c r="Q30" s="71">
        <f t="shared" si="3"/>
        <v>116</v>
      </c>
    </row>
    <row r="31" spans="1:17">
      <c r="A31" s="71">
        <f t="shared" si="4"/>
        <v>117</v>
      </c>
      <c r="B31" s="605" t="s">
        <v>858</v>
      </c>
      <c r="C31" s="120" t="s">
        <v>806</v>
      </c>
      <c r="D31" s="663">
        <v>576922</v>
      </c>
      <c r="E31" s="606">
        <v>288461</v>
      </c>
      <c r="F31" s="120">
        <v>60</v>
      </c>
      <c r="G31" s="604">
        <v>43160</v>
      </c>
      <c r="H31" s="606">
        <v>282852.13906944462</v>
      </c>
      <c r="I31" s="606">
        <v>282852.13906944462</v>
      </c>
      <c r="J31" s="606">
        <v>0</v>
      </c>
      <c r="K31" s="507">
        <f t="shared" si="7"/>
        <v>141426.06953472231</v>
      </c>
      <c r="L31" s="507">
        <f>K31*'1-BaseTRR'!$E$99</f>
        <v>39576.105594318549</v>
      </c>
      <c r="M31" s="507">
        <f t="shared" si="8"/>
        <v>-39576.105594318549</v>
      </c>
      <c r="N31" s="507">
        <f t="shared" si="9"/>
        <v>101849.96394040376</v>
      </c>
      <c r="O31" s="120" t="s">
        <v>859</v>
      </c>
      <c r="P31" s="120" t="s">
        <v>843</v>
      </c>
      <c r="Q31" s="71">
        <f t="shared" si="3"/>
        <v>117</v>
      </c>
    </row>
    <row r="32" spans="1:17">
      <c r="A32" s="71">
        <f t="shared" si="4"/>
        <v>118</v>
      </c>
      <c r="B32" s="605" t="s">
        <v>860</v>
      </c>
      <c r="C32" s="120" t="s">
        <v>807</v>
      </c>
      <c r="D32" s="663">
        <v>55158</v>
      </c>
      <c r="E32" s="606">
        <v>27579</v>
      </c>
      <c r="F32" s="120">
        <v>40</v>
      </c>
      <c r="G32" s="604">
        <v>43160</v>
      </c>
      <c r="H32" s="606">
        <v>26775.078500000007</v>
      </c>
      <c r="I32" s="606">
        <v>26775.078500000007</v>
      </c>
      <c r="J32" s="606">
        <v>0</v>
      </c>
      <c r="K32" s="507">
        <f t="shared" si="7"/>
        <v>13387.539250000003</v>
      </c>
      <c r="L32" s="507">
        <f>K32*'1-BaseTRR'!$E$99</f>
        <v>3746.3154335630006</v>
      </c>
      <c r="M32" s="507">
        <f t="shared" si="8"/>
        <v>-3746.3154335630006</v>
      </c>
      <c r="N32" s="507">
        <f t="shared" si="9"/>
        <v>9641.2238164370028</v>
      </c>
      <c r="O32" s="120" t="s">
        <v>859</v>
      </c>
      <c r="P32" s="120" t="s">
        <v>843</v>
      </c>
      <c r="Q32" s="71">
        <f t="shared" si="3"/>
        <v>118</v>
      </c>
    </row>
    <row r="33" spans="1:17">
      <c r="A33" s="71">
        <f t="shared" si="4"/>
        <v>119</v>
      </c>
      <c r="B33" s="605" t="s">
        <v>861</v>
      </c>
      <c r="C33" s="120" t="s">
        <v>806</v>
      </c>
      <c r="D33" s="663">
        <v>11867852</v>
      </c>
      <c r="E33" s="606">
        <v>5933926</v>
      </c>
      <c r="F33" s="120">
        <v>60</v>
      </c>
      <c r="G33" s="604">
        <v>43160</v>
      </c>
      <c r="H33" s="606">
        <v>5818543.9192499947</v>
      </c>
      <c r="I33" s="606">
        <v>5818543.9192499947</v>
      </c>
      <c r="J33" s="606">
        <v>0</v>
      </c>
      <c r="K33" s="507">
        <f t="shared" si="7"/>
        <v>2909271.9596249973</v>
      </c>
      <c r="L33" s="507">
        <f>K33*'1-BaseTRR'!$E$99</f>
        <v>814119.02809362067</v>
      </c>
      <c r="M33" s="507">
        <f t="shared" si="8"/>
        <v>-814119.02809362067</v>
      </c>
      <c r="N33" s="507">
        <f t="shared" si="9"/>
        <v>2095152.9315313767</v>
      </c>
      <c r="O33" s="120" t="s">
        <v>859</v>
      </c>
      <c r="P33" s="120" t="s">
        <v>843</v>
      </c>
      <c r="Q33" s="71">
        <f t="shared" si="3"/>
        <v>119</v>
      </c>
    </row>
    <row r="34" spans="1:17">
      <c r="A34" s="71">
        <f t="shared" si="4"/>
        <v>120</v>
      </c>
      <c r="B34" s="605" t="s">
        <v>862</v>
      </c>
      <c r="C34" s="120" t="s">
        <v>806</v>
      </c>
      <c r="D34" s="663">
        <v>1449351.9200000002</v>
      </c>
      <c r="E34" s="606">
        <v>724675.96000000008</v>
      </c>
      <c r="F34" s="120">
        <v>60</v>
      </c>
      <c r="G34" s="604">
        <v>43831</v>
      </c>
      <c r="H34" s="606">
        <v>724675.96000000008</v>
      </c>
      <c r="I34" s="606">
        <v>724675.96000000008</v>
      </c>
      <c r="J34" s="606">
        <v>0</v>
      </c>
      <c r="K34" s="507">
        <f t="shared" si="7"/>
        <v>362337.98000000004</v>
      </c>
      <c r="L34" s="507">
        <f>K34*'1-BaseTRR'!$E$99</f>
        <v>101395.21097128</v>
      </c>
      <c r="M34" s="507">
        <f t="shared" si="8"/>
        <v>-101395.21097128</v>
      </c>
      <c r="N34" s="507">
        <f t="shared" si="9"/>
        <v>260942.76902872004</v>
      </c>
      <c r="O34" s="120" t="s">
        <v>863</v>
      </c>
      <c r="P34" s="120" t="s">
        <v>843</v>
      </c>
      <c r="Q34" s="71">
        <f t="shared" si="3"/>
        <v>120</v>
      </c>
    </row>
    <row r="35" spans="1:17">
      <c r="A35" s="71">
        <f t="shared" si="4"/>
        <v>121</v>
      </c>
      <c r="B35" s="605" t="s">
        <v>864</v>
      </c>
      <c r="C35" s="120" t="s">
        <v>807</v>
      </c>
      <c r="D35" s="663">
        <v>3212516.67</v>
      </c>
      <c r="E35" s="606">
        <v>1606258.335</v>
      </c>
      <c r="F35" s="120">
        <v>60</v>
      </c>
      <c r="G35" s="604">
        <v>43831</v>
      </c>
      <c r="H35" s="606">
        <v>1606258.335</v>
      </c>
      <c r="I35" s="606">
        <v>1606258.335</v>
      </c>
      <c r="J35" s="606">
        <v>0</v>
      </c>
      <c r="K35" s="507">
        <f t="shared" si="7"/>
        <v>803129.16749999998</v>
      </c>
      <c r="L35" s="507">
        <f>K35*'1-BaseTRR'!$E$99</f>
        <v>224744.45371652997</v>
      </c>
      <c r="M35" s="507">
        <f t="shared" si="8"/>
        <v>-224744.45371652997</v>
      </c>
      <c r="N35" s="507">
        <f t="shared" si="9"/>
        <v>578384.71378346998</v>
      </c>
      <c r="O35" s="120" t="s">
        <v>863</v>
      </c>
      <c r="P35" s="120" t="s">
        <v>843</v>
      </c>
      <c r="Q35" s="71">
        <f t="shared" si="3"/>
        <v>121</v>
      </c>
    </row>
    <row r="36" spans="1:17">
      <c r="A36" s="71">
        <f t="shared" si="4"/>
        <v>122</v>
      </c>
      <c r="B36" s="605" t="s">
        <v>865</v>
      </c>
      <c r="C36" s="120" t="s">
        <v>806</v>
      </c>
      <c r="D36" s="663">
        <v>1649957.46</v>
      </c>
      <c r="E36" s="606">
        <v>824978.73</v>
      </c>
      <c r="F36" s="120">
        <v>60</v>
      </c>
      <c r="G36" s="604">
        <v>43831</v>
      </c>
      <c r="H36" s="606">
        <v>824978.73</v>
      </c>
      <c r="I36" s="606">
        <v>824978.73</v>
      </c>
      <c r="J36" s="606">
        <v>0</v>
      </c>
      <c r="K36" s="507">
        <f t="shared" si="7"/>
        <v>412489.36499999999</v>
      </c>
      <c r="L36" s="507">
        <f>K36*'1-BaseTRR'!$E$99</f>
        <v>115429.37394413998</v>
      </c>
      <c r="M36" s="507">
        <f t="shared" si="8"/>
        <v>-115429.37394413998</v>
      </c>
      <c r="N36" s="507">
        <f t="shared" si="9"/>
        <v>297059.99105586001</v>
      </c>
      <c r="O36" s="120" t="s">
        <v>863</v>
      </c>
      <c r="P36" s="120" t="s">
        <v>843</v>
      </c>
      <c r="Q36" s="71">
        <f t="shared" si="3"/>
        <v>122</v>
      </c>
    </row>
    <row r="37" spans="1:17">
      <c r="A37" s="71">
        <f t="shared" si="4"/>
        <v>123</v>
      </c>
      <c r="B37" s="605" t="s">
        <v>866</v>
      </c>
      <c r="C37" s="120" t="s">
        <v>807</v>
      </c>
      <c r="D37" s="663">
        <v>4682763.66</v>
      </c>
      <c r="E37" s="606">
        <v>2341381.83</v>
      </c>
      <c r="F37" s="120">
        <v>60</v>
      </c>
      <c r="G37" s="604">
        <v>43831</v>
      </c>
      <c r="H37" s="606">
        <v>2341381.83</v>
      </c>
      <c r="I37" s="606">
        <v>2341381.83</v>
      </c>
      <c r="J37" s="606">
        <v>0</v>
      </c>
      <c r="K37" s="507">
        <f t="shared" si="7"/>
        <v>1170690.915</v>
      </c>
      <c r="L37" s="507">
        <f>K37*'1-BaseTRR'!$E$99</f>
        <v>327601.46288993995</v>
      </c>
      <c r="M37" s="507">
        <f t="shared" si="8"/>
        <v>-327601.46288993995</v>
      </c>
      <c r="N37" s="507">
        <f t="shared" si="9"/>
        <v>843089.45211006003</v>
      </c>
      <c r="O37" s="120" t="s">
        <v>863</v>
      </c>
      <c r="P37" s="120" t="s">
        <v>843</v>
      </c>
      <c r="Q37" s="71">
        <f t="shared" si="3"/>
        <v>123</v>
      </c>
    </row>
    <row r="38" spans="1:17">
      <c r="A38" s="71">
        <f t="shared" si="4"/>
        <v>124</v>
      </c>
      <c r="B38" s="605" t="s">
        <v>867</v>
      </c>
      <c r="C38" s="120" t="s">
        <v>807</v>
      </c>
      <c r="D38" s="663">
        <v>873769.44050000003</v>
      </c>
      <c r="E38" s="606">
        <v>436884.72025000001</v>
      </c>
      <c r="F38" s="120">
        <v>60</v>
      </c>
      <c r="G38" s="604">
        <v>43831</v>
      </c>
      <c r="H38" s="606">
        <v>436884.72025000001</v>
      </c>
      <c r="I38" s="606">
        <v>436884.72025000001</v>
      </c>
      <c r="J38" s="606">
        <v>0</v>
      </c>
      <c r="K38" s="507">
        <f t="shared" si="7"/>
        <v>218442.36012500001</v>
      </c>
      <c r="L38" s="507">
        <f>K38*'1-BaseTRR'!$E$99</f>
        <v>61128.036287939496</v>
      </c>
      <c r="M38" s="507">
        <f t="shared" si="8"/>
        <v>-61128.036287939496</v>
      </c>
      <c r="N38" s="507">
        <f t="shared" si="9"/>
        <v>157314.32383706051</v>
      </c>
      <c r="O38" s="120" t="s">
        <v>863</v>
      </c>
      <c r="P38" s="120" t="s">
        <v>843</v>
      </c>
      <c r="Q38" s="71">
        <f t="shared" si="3"/>
        <v>124</v>
      </c>
    </row>
    <row r="39" spans="1:17">
      <c r="A39" s="71">
        <f t="shared" si="4"/>
        <v>125</v>
      </c>
      <c r="B39" s="605" t="s">
        <v>868</v>
      </c>
      <c r="C39" s="120" t="s">
        <v>807</v>
      </c>
      <c r="D39" s="663">
        <v>609208.80350000004</v>
      </c>
      <c r="E39" s="606">
        <v>304604.40175000002</v>
      </c>
      <c r="F39" s="120">
        <v>60</v>
      </c>
      <c r="G39" s="604">
        <v>43831</v>
      </c>
      <c r="H39" s="606">
        <v>304604.40175000002</v>
      </c>
      <c r="I39" s="606">
        <v>304604.40175000002</v>
      </c>
      <c r="J39" s="606">
        <v>0</v>
      </c>
      <c r="K39" s="507">
        <f t="shared" si="7"/>
        <v>152302.20087500001</v>
      </c>
      <c r="L39" s="507">
        <f>K39*'1-BaseTRR'!$E$99</f>
        <v>42619.638684056496</v>
      </c>
      <c r="M39" s="507">
        <f t="shared" si="8"/>
        <v>-42619.638684056496</v>
      </c>
      <c r="N39" s="507">
        <f t="shared" si="9"/>
        <v>109682.56219094351</v>
      </c>
      <c r="O39" s="120" t="s">
        <v>863</v>
      </c>
      <c r="P39" s="120" t="s">
        <v>843</v>
      </c>
      <c r="Q39" s="71">
        <f t="shared" si="3"/>
        <v>125</v>
      </c>
    </row>
    <row r="40" spans="1:17">
      <c r="A40" s="71">
        <f t="shared" si="4"/>
        <v>126</v>
      </c>
      <c r="B40" s="605" t="s">
        <v>869</v>
      </c>
      <c r="C40" s="120" t="s">
        <v>807</v>
      </c>
      <c r="D40" s="663">
        <v>649811.31999999995</v>
      </c>
      <c r="E40" s="606">
        <v>324905.65999999997</v>
      </c>
      <c r="F40" s="120">
        <v>1</v>
      </c>
      <c r="G40" s="604">
        <v>43831</v>
      </c>
      <c r="H40" s="606">
        <v>324905.65999999997</v>
      </c>
      <c r="I40" s="606">
        <v>324905.65999999997</v>
      </c>
      <c r="J40" s="606">
        <v>0</v>
      </c>
      <c r="K40" s="507">
        <f t="shared" si="5"/>
        <v>162452.82999999999</v>
      </c>
      <c r="L40" s="507">
        <f>K40*'1-BaseTRR'!$E$99</f>
        <v>45460.150135879994</v>
      </c>
      <c r="M40" s="507">
        <f t="shared" si="6"/>
        <v>-45460.150135879994</v>
      </c>
      <c r="N40" s="507">
        <f t="shared" si="2"/>
        <v>116992.67986412</v>
      </c>
      <c r="O40" s="120" t="s">
        <v>870</v>
      </c>
      <c r="P40" s="120" t="s">
        <v>843</v>
      </c>
      <c r="Q40" s="71">
        <f t="shared" si="3"/>
        <v>126</v>
      </c>
    </row>
    <row r="41" spans="1:17">
      <c r="A41" s="71">
        <f t="shared" si="4"/>
        <v>127</v>
      </c>
      <c r="B41" s="605" t="s">
        <v>871</v>
      </c>
      <c r="C41" s="120" t="s">
        <v>806</v>
      </c>
      <c r="D41" s="663">
        <v>2220688.17</v>
      </c>
      <c r="E41" s="606">
        <v>1110344.085</v>
      </c>
      <c r="F41" s="120">
        <v>1</v>
      </c>
      <c r="G41" s="604">
        <v>43831</v>
      </c>
      <c r="H41" s="606">
        <v>1110344.085</v>
      </c>
      <c r="I41" s="606">
        <v>1110344.085</v>
      </c>
      <c r="J41" s="606">
        <v>0</v>
      </c>
      <c r="K41" s="507">
        <f t="shared" ref="K41:K42" si="10">(H41+J41)/2</f>
        <v>555172.04249999998</v>
      </c>
      <c r="L41" s="507">
        <f>K41*'1-BaseTRR'!$E$99</f>
        <v>155357.12368502998</v>
      </c>
      <c r="M41" s="507">
        <f t="shared" ref="M41:M42" si="11">J41-L41</f>
        <v>-155357.12368502998</v>
      </c>
      <c r="N41" s="507">
        <f t="shared" ref="N41:N42" si="12">K41-L41</f>
        <v>399814.91881497001</v>
      </c>
      <c r="O41" s="120" t="s">
        <v>870</v>
      </c>
      <c r="P41" s="120" t="s">
        <v>843</v>
      </c>
      <c r="Q41" s="71">
        <f t="shared" si="3"/>
        <v>127</v>
      </c>
    </row>
    <row r="42" spans="1:17">
      <c r="A42" s="71">
        <f t="shared" si="4"/>
        <v>128</v>
      </c>
      <c r="B42" s="605" t="s">
        <v>872</v>
      </c>
      <c r="C42" s="120" t="s">
        <v>806</v>
      </c>
      <c r="D42" s="663">
        <v>9225279</v>
      </c>
      <c r="E42" s="606">
        <v>7101332.71</v>
      </c>
      <c r="F42" s="120">
        <v>1</v>
      </c>
      <c r="G42" s="604">
        <v>43831</v>
      </c>
      <c r="H42" s="606">
        <v>7101332.71</v>
      </c>
      <c r="I42" s="606">
        <v>7101332.71</v>
      </c>
      <c r="J42" s="606">
        <v>0</v>
      </c>
      <c r="K42" s="507">
        <f t="shared" si="10"/>
        <v>3550666.355</v>
      </c>
      <c r="L42" s="507">
        <f>K42*'1-BaseTRR'!$E$99</f>
        <v>993604.27011777984</v>
      </c>
      <c r="M42" s="507">
        <f t="shared" si="11"/>
        <v>-993604.27011777984</v>
      </c>
      <c r="N42" s="507">
        <f t="shared" si="12"/>
        <v>2557062.0848822203</v>
      </c>
      <c r="O42" s="120" t="s">
        <v>873</v>
      </c>
      <c r="P42" s="120" t="s">
        <v>843</v>
      </c>
      <c r="Q42" s="71">
        <f t="shared" si="3"/>
        <v>128</v>
      </c>
    </row>
    <row r="43" spans="1:17">
      <c r="A43" s="71">
        <f t="shared" si="4"/>
        <v>129</v>
      </c>
      <c r="B43" s="408" t="s">
        <v>745</v>
      </c>
      <c r="C43" s="120"/>
      <c r="D43" s="663"/>
      <c r="E43" s="606"/>
      <c r="F43" s="120"/>
      <c r="G43" s="604"/>
      <c r="H43" s="606"/>
      <c r="I43" s="606"/>
      <c r="J43" s="606"/>
      <c r="K43" s="507"/>
      <c r="L43" s="507"/>
      <c r="M43" s="507"/>
      <c r="N43" s="507"/>
      <c r="O43" s="120"/>
      <c r="P43" s="120"/>
      <c r="Q43" s="71">
        <f t="shared" si="3"/>
        <v>129</v>
      </c>
    </row>
    <row r="44" spans="1:17">
      <c r="H44" s="64"/>
      <c r="I44" s="64"/>
      <c r="K44" s="507"/>
      <c r="L44" s="507"/>
      <c r="M44" s="507"/>
      <c r="N44" s="507"/>
      <c r="Q44" s="164"/>
    </row>
    <row r="45" spans="1:17">
      <c r="B45" s="16" t="s">
        <v>304</v>
      </c>
      <c r="H45" s="64"/>
      <c r="I45" s="64"/>
      <c r="K45" s="507"/>
      <c r="L45" s="507"/>
      <c r="M45" s="507"/>
      <c r="N45" s="507"/>
    </row>
    <row r="46" spans="1:17">
      <c r="B46" s="809" t="s">
        <v>874</v>
      </c>
      <c r="C46" s="809"/>
      <c r="D46" s="809"/>
      <c r="E46" s="809"/>
      <c r="F46" s="809"/>
      <c r="G46" s="809"/>
      <c r="H46" s="809"/>
      <c r="I46" s="809"/>
      <c r="J46" s="809"/>
      <c r="K46" s="809"/>
      <c r="L46" s="809"/>
      <c r="M46" s="809"/>
      <c r="N46" s="809"/>
      <c r="O46" s="809"/>
      <c r="P46" s="809"/>
    </row>
    <row r="47" spans="1:17">
      <c r="B47" s="810" t="s">
        <v>875</v>
      </c>
      <c r="C47" s="810"/>
      <c r="D47" s="810"/>
      <c r="E47" s="810"/>
      <c r="F47" s="810"/>
      <c r="G47" s="810"/>
      <c r="H47" s="810"/>
      <c r="I47" s="810"/>
      <c r="J47" s="810"/>
      <c r="K47" s="810"/>
      <c r="L47" s="810"/>
      <c r="M47" s="810"/>
      <c r="N47" s="810"/>
      <c r="O47" s="810"/>
      <c r="P47" s="810"/>
    </row>
    <row r="48" spans="1:17">
      <c r="B48" s="810" t="s">
        <v>876</v>
      </c>
      <c r="C48" s="810"/>
      <c r="D48" s="810"/>
      <c r="E48" s="810"/>
      <c r="F48" s="810"/>
      <c r="G48" s="810"/>
      <c r="H48" s="810"/>
      <c r="I48" s="810"/>
      <c r="J48" s="810"/>
      <c r="K48" s="810"/>
      <c r="L48" s="810"/>
      <c r="M48" s="810"/>
      <c r="N48" s="810"/>
      <c r="O48" s="810"/>
      <c r="P48" s="810"/>
    </row>
    <row r="49" spans="2:16">
      <c r="B49" s="809" t="s">
        <v>126</v>
      </c>
      <c r="C49" s="809"/>
      <c r="D49" s="809"/>
      <c r="E49" s="809"/>
      <c r="F49" s="809"/>
      <c r="G49" s="809"/>
      <c r="H49" s="809"/>
      <c r="I49" s="809"/>
      <c r="J49" s="809"/>
      <c r="K49" s="809"/>
      <c r="L49" s="809"/>
      <c r="M49" s="809"/>
      <c r="N49" s="809"/>
      <c r="O49" s="809"/>
      <c r="P49" s="809"/>
    </row>
  </sheetData>
  <mergeCells count="4">
    <mergeCell ref="B46:P46"/>
    <mergeCell ref="B47:P47"/>
    <mergeCell ref="B48:P48"/>
    <mergeCell ref="B49:P49"/>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128"/>
  <sheetViews>
    <sheetView tabSelected="1" view="pageBreakPreview" topLeftCell="A97" zoomScale="90" zoomScaleNormal="75" zoomScaleSheetLayoutView="90" zoomScalePageLayoutView="85" workbookViewId="0">
      <selection activeCell="E21" sqref="E21"/>
    </sheetView>
  </sheetViews>
  <sheetFormatPr defaultColWidth="9.1796875" defaultRowHeight="14.5"/>
  <cols>
    <col min="1" max="1" width="5.26953125" style="170" customWidth="1"/>
    <col min="2" max="2" width="15.453125" style="170" customWidth="1"/>
    <col min="3" max="3" width="18.1796875" style="170" bestFit="1" customWidth="1"/>
    <col min="4" max="4" width="29" style="170" customWidth="1"/>
    <col min="5" max="5" width="18.81640625" style="170" customWidth="1"/>
    <col min="6" max="6" width="28.453125" style="170" bestFit="1" customWidth="1"/>
    <col min="7" max="7" width="18.81640625" style="170" customWidth="1"/>
    <col min="8" max="8" width="24.453125" style="170" bestFit="1" customWidth="1"/>
    <col min="9" max="9" width="18.81640625" style="170" customWidth="1"/>
    <col min="10" max="10" width="5.7265625" style="172" customWidth="1"/>
    <col min="11" max="17" width="15.54296875" style="170" customWidth="1"/>
    <col min="18" max="16384" width="9.1796875" style="170"/>
  </cols>
  <sheetData>
    <row r="1" spans="1:12">
      <c r="B1" s="171" t="s">
        <v>30</v>
      </c>
      <c r="F1" s="135"/>
      <c r="G1" s="73"/>
      <c r="H1" s="8"/>
      <c r="I1" s="15" t="str">
        <f>CONCATENATE("Prior Year: ",'1-BaseTRR'!$G$2)</f>
        <v>Prior Year: 2020</v>
      </c>
    </row>
    <row r="2" spans="1:12">
      <c r="B2" s="113" t="s">
        <v>130</v>
      </c>
      <c r="C2" s="113"/>
      <c r="G2" s="73"/>
      <c r="H2" s="15"/>
      <c r="I2" s="8"/>
    </row>
    <row r="3" spans="1:12">
      <c r="B3" s="200"/>
    </row>
    <row r="4" spans="1:12">
      <c r="B4" s="170" t="s">
        <v>877</v>
      </c>
    </row>
    <row r="5" spans="1:12">
      <c r="B5" s="170" t="s">
        <v>878</v>
      </c>
    </row>
    <row r="7" spans="1:12">
      <c r="B7" s="173" t="s">
        <v>879</v>
      </c>
      <c r="C7" s="174"/>
      <c r="D7" s="174"/>
      <c r="E7" s="174"/>
      <c r="F7" s="174"/>
      <c r="G7" s="174"/>
      <c r="H7" s="174"/>
      <c r="I7" s="174"/>
    </row>
    <row r="8" spans="1:12">
      <c r="B8" s="170" t="s">
        <v>880</v>
      </c>
    </row>
    <row r="9" spans="1:12">
      <c r="B9" s="175"/>
    </row>
    <row r="10" spans="1:12">
      <c r="D10" s="168" t="s">
        <v>413</v>
      </c>
      <c r="E10" s="168" t="s">
        <v>414</v>
      </c>
      <c r="F10" s="168" t="s">
        <v>415</v>
      </c>
      <c r="G10" s="168" t="s">
        <v>416</v>
      </c>
      <c r="H10" s="168" t="s">
        <v>417</v>
      </c>
      <c r="I10" s="168" t="s">
        <v>418</v>
      </c>
      <c r="J10" s="177"/>
      <c r="K10" s="176"/>
      <c r="L10" s="176"/>
    </row>
    <row r="11" spans="1:12" ht="29">
      <c r="D11" s="169" t="s">
        <v>881</v>
      </c>
      <c r="E11" s="169" t="s">
        <v>881</v>
      </c>
      <c r="F11" s="169" t="s">
        <v>881</v>
      </c>
      <c r="G11" s="169" t="s">
        <v>881</v>
      </c>
      <c r="H11" s="169" t="s">
        <v>881</v>
      </c>
      <c r="I11" s="169" t="s">
        <v>881</v>
      </c>
      <c r="J11" s="177"/>
    </row>
    <row r="12" spans="1:12">
      <c r="E12" s="177"/>
      <c r="F12" s="177"/>
      <c r="G12" s="177"/>
      <c r="H12" s="177"/>
      <c r="J12" s="177"/>
      <c r="K12" s="177"/>
      <c r="L12" s="177"/>
    </row>
    <row r="13" spans="1:12">
      <c r="B13" s="811" t="s">
        <v>882</v>
      </c>
      <c r="C13" s="811"/>
      <c r="D13" s="177" t="s">
        <v>883</v>
      </c>
      <c r="E13" s="177" t="s">
        <v>884</v>
      </c>
      <c r="F13" s="177" t="s">
        <v>885</v>
      </c>
      <c r="G13" s="177" t="s">
        <v>886</v>
      </c>
      <c r="H13" s="177" t="s">
        <v>884</v>
      </c>
      <c r="I13" s="177" t="s">
        <v>887</v>
      </c>
      <c r="J13" s="177"/>
      <c r="K13" s="177"/>
      <c r="L13" s="177"/>
    </row>
    <row r="14" spans="1:12">
      <c r="A14" s="176" t="s">
        <v>99</v>
      </c>
      <c r="B14" s="176" t="s">
        <v>426</v>
      </c>
      <c r="C14" s="176" t="s">
        <v>462</v>
      </c>
      <c r="D14" s="176" t="s">
        <v>888</v>
      </c>
      <c r="E14" s="176" t="s">
        <v>889</v>
      </c>
      <c r="F14" s="176" t="s">
        <v>890</v>
      </c>
      <c r="G14" s="176" t="s">
        <v>891</v>
      </c>
      <c r="H14" s="176" t="s">
        <v>892</v>
      </c>
      <c r="I14" s="176" t="s">
        <v>893</v>
      </c>
      <c r="J14" s="176" t="str">
        <f>A14</f>
        <v>Line</v>
      </c>
      <c r="K14" s="176"/>
      <c r="L14" s="176"/>
    </row>
    <row r="15" spans="1:12">
      <c r="A15" s="177">
        <v>100</v>
      </c>
      <c r="B15" s="170" t="str">
        <f t="shared" ref="B15:B38" si="0">B52</f>
        <v>January</v>
      </c>
      <c r="C15" s="152">
        <f>'1-BaseTRR'!$G$2+1</f>
        <v>2021</v>
      </c>
      <c r="D15" s="190">
        <f t="shared" ref="D15:I30" si="1">D52+D88</f>
        <v>106414729.20968273</v>
      </c>
      <c r="E15" s="190">
        <f t="shared" si="1"/>
        <v>106414729.20968273</v>
      </c>
      <c r="F15" s="190">
        <f t="shared" si="1"/>
        <v>253791.99401136365</v>
      </c>
      <c r="G15" s="190">
        <f t="shared" si="1"/>
        <v>4477358.1684085028</v>
      </c>
      <c r="H15" s="190">
        <f t="shared" si="1"/>
        <v>-4223566.1743971389</v>
      </c>
      <c r="I15" s="190">
        <f t="shared" si="1"/>
        <v>110638295.38407986</v>
      </c>
      <c r="J15" s="177">
        <f>A15</f>
        <v>100</v>
      </c>
      <c r="K15" s="178"/>
      <c r="L15" s="178"/>
    </row>
    <row r="16" spans="1:12">
      <c r="A16" s="177">
        <f>A15+1</f>
        <v>101</v>
      </c>
      <c r="B16" s="170" t="str">
        <f t="shared" si="0"/>
        <v>February</v>
      </c>
      <c r="C16" s="152">
        <f>'1-BaseTRR'!$G$2+1</f>
        <v>2021</v>
      </c>
      <c r="D16" s="190">
        <f t="shared" si="1"/>
        <v>52768696.651372954</v>
      </c>
      <c r="E16" s="190">
        <f t="shared" si="1"/>
        <v>159183425.86105567</v>
      </c>
      <c r="F16" s="190">
        <f t="shared" si="1"/>
        <v>379641.79736089986</v>
      </c>
      <c r="G16" s="190">
        <f t="shared" si="1"/>
        <v>5299741.4354447694</v>
      </c>
      <c r="H16" s="190">
        <f t="shared" si="1"/>
        <v>-9143665.8124810085</v>
      </c>
      <c r="I16" s="190">
        <f t="shared" si="1"/>
        <v>168327091.67353672</v>
      </c>
      <c r="J16" s="177">
        <f t="shared" ref="J16:J39" si="2">A16</f>
        <v>101</v>
      </c>
      <c r="K16" s="178"/>
      <c r="L16" s="178"/>
    </row>
    <row r="17" spans="1:12">
      <c r="A17" s="177">
        <f t="shared" ref="A17:A39" si="3">A16+1</f>
        <v>102</v>
      </c>
      <c r="B17" s="170" t="str">
        <f t="shared" si="0"/>
        <v>March</v>
      </c>
      <c r="C17" s="152">
        <f>'1-BaseTRR'!$G$2+1</f>
        <v>2021</v>
      </c>
      <c r="D17" s="190">
        <f t="shared" si="1"/>
        <v>142369497.29589459</v>
      </c>
      <c r="E17" s="190">
        <f t="shared" si="1"/>
        <v>301552923.15695029</v>
      </c>
      <c r="F17" s="190">
        <f t="shared" si="1"/>
        <v>719183.50247509032</v>
      </c>
      <c r="G17" s="190">
        <f t="shared" si="1"/>
        <v>7243840.499579709</v>
      </c>
      <c r="H17" s="190">
        <f t="shared" si="1"/>
        <v>-15668322.809585627</v>
      </c>
      <c r="I17" s="190">
        <f t="shared" si="1"/>
        <v>317221245.96653593</v>
      </c>
      <c r="J17" s="177">
        <f t="shared" si="2"/>
        <v>102</v>
      </c>
      <c r="K17" s="178"/>
      <c r="L17" s="178"/>
    </row>
    <row r="18" spans="1:12">
      <c r="A18" s="177">
        <f t="shared" si="3"/>
        <v>103</v>
      </c>
      <c r="B18" s="170" t="str">
        <f t="shared" si="0"/>
        <v>April</v>
      </c>
      <c r="C18" s="152">
        <f>'1-BaseTRR'!$G$2+1</f>
        <v>2021</v>
      </c>
      <c r="D18" s="190">
        <f t="shared" si="1"/>
        <v>86603425.88883172</v>
      </c>
      <c r="E18" s="190">
        <f t="shared" si="1"/>
        <v>388156349.04578197</v>
      </c>
      <c r="F18" s="190">
        <f t="shared" si="1"/>
        <v>925726.86642270116</v>
      </c>
      <c r="G18" s="190">
        <f t="shared" si="1"/>
        <v>6369433.0530157583</v>
      </c>
      <c r="H18" s="190">
        <f t="shared" si="1"/>
        <v>-21112028.996178687</v>
      </c>
      <c r="I18" s="190">
        <f t="shared" si="1"/>
        <v>409268378.04196072</v>
      </c>
      <c r="J18" s="177">
        <f t="shared" si="2"/>
        <v>103</v>
      </c>
      <c r="K18" s="178"/>
      <c r="L18" s="178"/>
    </row>
    <row r="19" spans="1:12">
      <c r="A19" s="177">
        <f t="shared" si="3"/>
        <v>104</v>
      </c>
      <c r="B19" s="170" t="str">
        <f t="shared" si="0"/>
        <v>May</v>
      </c>
      <c r="C19" s="152">
        <f>'1-BaseTRR'!$G$2+1</f>
        <v>2021</v>
      </c>
      <c r="D19" s="190">
        <f t="shared" si="1"/>
        <v>165361998.62283668</v>
      </c>
      <c r="E19" s="190">
        <f t="shared" si="1"/>
        <v>553518347.66861868</v>
      </c>
      <c r="F19" s="190">
        <f t="shared" si="1"/>
        <v>1320104.1455444661</v>
      </c>
      <c r="G19" s="190">
        <f t="shared" si="1"/>
        <v>4596993.9648224339</v>
      </c>
      <c r="H19" s="190">
        <f t="shared" si="1"/>
        <v>-24388918.815456651</v>
      </c>
      <c r="I19" s="190">
        <f t="shared" si="1"/>
        <v>577907266.48407531</v>
      </c>
      <c r="J19" s="177">
        <f t="shared" si="2"/>
        <v>104</v>
      </c>
      <c r="K19" s="178"/>
      <c r="L19" s="178"/>
    </row>
    <row r="20" spans="1:12">
      <c r="A20" s="177">
        <f t="shared" si="3"/>
        <v>105</v>
      </c>
      <c r="B20" s="170" t="str">
        <f t="shared" si="0"/>
        <v xml:space="preserve">June </v>
      </c>
      <c r="C20" s="152">
        <f>'1-BaseTRR'!$G$2+1</f>
        <v>2021</v>
      </c>
      <c r="D20" s="190">
        <f t="shared" si="1"/>
        <v>128707865.77295555</v>
      </c>
      <c r="E20" s="190">
        <f t="shared" si="1"/>
        <v>682226213.44157422</v>
      </c>
      <c r="F20" s="190">
        <f t="shared" si="1"/>
        <v>1627063.7754947639</v>
      </c>
      <c r="G20" s="190">
        <f t="shared" si="1"/>
        <v>6689324.8010605462</v>
      </c>
      <c r="H20" s="190">
        <f t="shared" si="1"/>
        <v>-29451179.841022432</v>
      </c>
      <c r="I20" s="190">
        <f t="shared" si="1"/>
        <v>711677393.28259659</v>
      </c>
      <c r="J20" s="177">
        <f t="shared" si="2"/>
        <v>105</v>
      </c>
      <c r="K20" s="178"/>
      <c r="L20" s="178"/>
    </row>
    <row r="21" spans="1:12">
      <c r="A21" s="177">
        <f t="shared" si="3"/>
        <v>106</v>
      </c>
      <c r="B21" s="170" t="str">
        <f t="shared" si="0"/>
        <v>July</v>
      </c>
      <c r="C21" s="152">
        <f>'1-BaseTRR'!$G$2+1</f>
        <v>2021</v>
      </c>
      <c r="D21" s="190">
        <f t="shared" si="1"/>
        <v>38143981.194996178</v>
      </c>
      <c r="E21" s="190">
        <f t="shared" si="1"/>
        <v>720370194.63657045</v>
      </c>
      <c r="F21" s="190">
        <f t="shared" si="1"/>
        <v>1718034.6130743534</v>
      </c>
      <c r="G21" s="190">
        <f t="shared" si="1"/>
        <v>4948478.544553617</v>
      </c>
      <c r="H21" s="190">
        <f t="shared" si="1"/>
        <v>-32681623.772501696</v>
      </c>
      <c r="I21" s="190">
        <f t="shared" si="1"/>
        <v>753051818.40907216</v>
      </c>
      <c r="J21" s="177">
        <f t="shared" si="2"/>
        <v>106</v>
      </c>
      <c r="K21" s="178"/>
      <c r="L21" s="178"/>
    </row>
    <row r="22" spans="1:12">
      <c r="A22" s="177">
        <f t="shared" si="3"/>
        <v>107</v>
      </c>
      <c r="B22" s="170" t="str">
        <f t="shared" si="0"/>
        <v>August</v>
      </c>
      <c r="C22" s="152">
        <f>'1-BaseTRR'!$G$2+1</f>
        <v>2021</v>
      </c>
      <c r="D22" s="190">
        <f t="shared" si="1"/>
        <v>61963224.358409137</v>
      </c>
      <c r="E22" s="190">
        <f t="shared" si="1"/>
        <v>782333418.9949795</v>
      </c>
      <c r="F22" s="190">
        <f t="shared" si="1"/>
        <v>1865812.7485081018</v>
      </c>
      <c r="G22" s="190">
        <f t="shared" si="1"/>
        <v>7069194.0173851391</v>
      </c>
      <c r="H22" s="190">
        <f t="shared" si="1"/>
        <v>-37885005.041378736</v>
      </c>
      <c r="I22" s="190">
        <f t="shared" si="1"/>
        <v>820218424.03635824</v>
      </c>
      <c r="J22" s="177">
        <f t="shared" si="2"/>
        <v>107</v>
      </c>
      <c r="K22" s="178"/>
      <c r="L22" s="178"/>
    </row>
    <row r="23" spans="1:12">
      <c r="A23" s="177">
        <f t="shared" si="3"/>
        <v>108</v>
      </c>
      <c r="B23" s="170" t="str">
        <f t="shared" si="0"/>
        <v>September</v>
      </c>
      <c r="C23" s="152">
        <f>'1-BaseTRR'!$G$2+1</f>
        <v>2021</v>
      </c>
      <c r="D23" s="190">
        <f t="shared" si="1"/>
        <v>71396561.649470255</v>
      </c>
      <c r="E23" s="190">
        <f t="shared" si="1"/>
        <v>853729980.64444971</v>
      </c>
      <c r="F23" s="190">
        <f t="shared" si="1"/>
        <v>2036088.7608716756</v>
      </c>
      <c r="G23" s="190">
        <f t="shared" si="1"/>
        <v>6887222.1382458815</v>
      </c>
      <c r="H23" s="190">
        <f t="shared" si="1"/>
        <v>-42736138.418752939</v>
      </c>
      <c r="I23" s="190">
        <f t="shared" si="1"/>
        <v>896466119.06320262</v>
      </c>
      <c r="J23" s="177">
        <f t="shared" si="2"/>
        <v>108</v>
      </c>
      <c r="K23" s="178"/>
      <c r="L23" s="178"/>
    </row>
    <row r="24" spans="1:12">
      <c r="A24" s="177">
        <f t="shared" si="3"/>
        <v>109</v>
      </c>
      <c r="B24" s="170" t="str">
        <f t="shared" si="0"/>
        <v xml:space="preserve">October </v>
      </c>
      <c r="C24" s="152">
        <f>'1-BaseTRR'!$G$2+1</f>
        <v>2021</v>
      </c>
      <c r="D24" s="190">
        <f t="shared" si="1"/>
        <v>81075307.506354347</v>
      </c>
      <c r="E24" s="190">
        <f t="shared" si="1"/>
        <v>934805288.15080404</v>
      </c>
      <c r="F24" s="190">
        <f t="shared" si="1"/>
        <v>2229447.9331398122</v>
      </c>
      <c r="G24" s="190">
        <f t="shared" si="1"/>
        <v>12234170.245243153</v>
      </c>
      <c r="H24" s="190">
        <f t="shared" si="1"/>
        <v>-52740860.730856284</v>
      </c>
      <c r="I24" s="190">
        <f t="shared" si="1"/>
        <v>987546148.88166046</v>
      </c>
      <c r="J24" s="177">
        <f t="shared" si="2"/>
        <v>109</v>
      </c>
      <c r="K24" s="178"/>
      <c r="L24" s="178"/>
    </row>
    <row r="25" spans="1:12">
      <c r="A25" s="177">
        <f t="shared" si="3"/>
        <v>110</v>
      </c>
      <c r="B25" s="170" t="str">
        <f t="shared" si="0"/>
        <v>November</v>
      </c>
      <c r="C25" s="152">
        <f>'1-BaseTRR'!$G$2+1</f>
        <v>2021</v>
      </c>
      <c r="D25" s="190">
        <f t="shared" si="1"/>
        <v>86863921.050554097</v>
      </c>
      <c r="E25" s="190">
        <f t="shared" si="1"/>
        <v>1021669209.2013582</v>
      </c>
      <c r="F25" s="190">
        <f t="shared" si="1"/>
        <v>2436612.5605818173</v>
      </c>
      <c r="G25" s="190">
        <f t="shared" si="1"/>
        <v>10632896.171585865</v>
      </c>
      <c r="H25" s="190">
        <f t="shared" si="1"/>
        <v>-60937144.341860324</v>
      </c>
      <c r="I25" s="190">
        <f t="shared" si="1"/>
        <v>1082606353.5432186</v>
      </c>
      <c r="J25" s="177">
        <f t="shared" si="2"/>
        <v>110</v>
      </c>
      <c r="K25" s="178"/>
      <c r="L25" s="178"/>
    </row>
    <row r="26" spans="1:12">
      <c r="A26" s="177">
        <f t="shared" si="3"/>
        <v>111</v>
      </c>
      <c r="B26" s="170" t="str">
        <f t="shared" si="0"/>
        <v>December</v>
      </c>
      <c r="C26" s="152">
        <f>'1-BaseTRR'!$G$2+1</f>
        <v>2021</v>
      </c>
      <c r="D26" s="190">
        <f t="shared" si="1"/>
        <v>170968498.4633773</v>
      </c>
      <c r="E26" s="190">
        <f t="shared" si="1"/>
        <v>1192637707.6647356</v>
      </c>
      <c r="F26" s="190">
        <f t="shared" si="1"/>
        <v>2844360.9659050265</v>
      </c>
      <c r="G26" s="190">
        <f t="shared" si="1"/>
        <v>10728496.033984918</v>
      </c>
      <c r="H26" s="190">
        <f t="shared" si="1"/>
        <v>-68821279.409940213</v>
      </c>
      <c r="I26" s="190">
        <f t="shared" si="1"/>
        <v>1261458987.0746758</v>
      </c>
      <c r="J26" s="177">
        <f t="shared" si="2"/>
        <v>111</v>
      </c>
      <c r="K26" s="178"/>
      <c r="L26" s="178"/>
    </row>
    <row r="27" spans="1:12">
      <c r="A27" s="177">
        <f t="shared" si="3"/>
        <v>112</v>
      </c>
      <c r="B27" s="170" t="str">
        <f t="shared" si="0"/>
        <v>January</v>
      </c>
      <c r="C27" s="152">
        <f>'1-BaseTRR'!$G$1</f>
        <v>2022</v>
      </c>
      <c r="D27" s="190">
        <f t="shared" si="1"/>
        <v>126961631.42759804</v>
      </c>
      <c r="E27" s="190">
        <f t="shared" si="1"/>
        <v>1319599339.0923336</v>
      </c>
      <c r="F27" s="190">
        <f t="shared" si="1"/>
        <v>3147155.9440274164</v>
      </c>
      <c r="G27" s="190">
        <f t="shared" si="1"/>
        <v>7316829.3696382297</v>
      </c>
      <c r="H27" s="190">
        <f t="shared" si="1"/>
        <v>-72990952.835551023</v>
      </c>
      <c r="I27" s="190">
        <f t="shared" si="1"/>
        <v>1392590291.9278846</v>
      </c>
      <c r="J27" s="177">
        <f t="shared" si="2"/>
        <v>112</v>
      </c>
      <c r="K27" s="178"/>
      <c r="L27" s="178"/>
    </row>
    <row r="28" spans="1:12">
      <c r="A28" s="177">
        <f t="shared" si="3"/>
        <v>113</v>
      </c>
      <c r="B28" s="170" t="str">
        <f t="shared" si="0"/>
        <v>February</v>
      </c>
      <c r="C28" s="179">
        <f>'1-BaseTRR'!$G$1</f>
        <v>2022</v>
      </c>
      <c r="D28" s="190">
        <f t="shared" si="1"/>
        <v>109478797.30373433</v>
      </c>
      <c r="E28" s="190">
        <f t="shared" si="1"/>
        <v>1429078136.3960681</v>
      </c>
      <c r="F28" s="190">
        <f t="shared" si="1"/>
        <v>3408255.5349959992</v>
      </c>
      <c r="G28" s="190">
        <f t="shared" si="1"/>
        <v>5744328.5785684437</v>
      </c>
      <c r="H28" s="190">
        <f t="shared" si="1"/>
        <v>-75327025.879123479</v>
      </c>
      <c r="I28" s="190">
        <f t="shared" si="1"/>
        <v>1504405162.2751913</v>
      </c>
      <c r="J28" s="177">
        <f t="shared" si="2"/>
        <v>113</v>
      </c>
      <c r="K28" s="178"/>
      <c r="L28" s="178"/>
    </row>
    <row r="29" spans="1:12">
      <c r="A29" s="177">
        <f t="shared" si="3"/>
        <v>114</v>
      </c>
      <c r="B29" s="170" t="str">
        <f t="shared" si="0"/>
        <v>March</v>
      </c>
      <c r="C29" s="179">
        <f>'1-BaseTRR'!$G$1</f>
        <v>2022</v>
      </c>
      <c r="D29" s="190">
        <f t="shared" si="1"/>
        <v>168713187.09376565</v>
      </c>
      <c r="E29" s="190">
        <f t="shared" si="1"/>
        <v>1597791323.4898338</v>
      </c>
      <c r="F29" s="190">
        <f t="shared" si="1"/>
        <v>3810625.1739222901</v>
      </c>
      <c r="G29" s="190">
        <f t="shared" si="1"/>
        <v>6880748.6311324108</v>
      </c>
      <c r="H29" s="190">
        <f t="shared" si="1"/>
        <v>-78397149.336333588</v>
      </c>
      <c r="I29" s="190">
        <f t="shared" si="1"/>
        <v>1676188472.8261673</v>
      </c>
      <c r="J29" s="177">
        <f t="shared" si="2"/>
        <v>114</v>
      </c>
      <c r="K29" s="178"/>
      <c r="L29" s="178"/>
    </row>
    <row r="30" spans="1:12">
      <c r="A30" s="177">
        <f t="shared" si="3"/>
        <v>115</v>
      </c>
      <c r="B30" s="170" t="str">
        <f t="shared" si="0"/>
        <v>April</v>
      </c>
      <c r="C30" s="179">
        <f>'1-BaseTRR'!$G$1</f>
        <v>2022</v>
      </c>
      <c r="D30" s="190">
        <f t="shared" si="1"/>
        <v>111396904.04742429</v>
      </c>
      <c r="E30" s="190">
        <f t="shared" si="1"/>
        <v>1709188227.5372581</v>
      </c>
      <c r="F30" s="190">
        <f t="shared" si="1"/>
        <v>4076299.3208646853</v>
      </c>
      <c r="G30" s="190">
        <f t="shared" si="1"/>
        <v>8051928.9347212277</v>
      </c>
      <c r="H30" s="190">
        <f t="shared" si="1"/>
        <v>-82372778.950190127</v>
      </c>
      <c r="I30" s="190">
        <f t="shared" si="1"/>
        <v>1791561006.4874482</v>
      </c>
      <c r="J30" s="177">
        <f t="shared" si="2"/>
        <v>115</v>
      </c>
      <c r="K30" s="178"/>
      <c r="L30" s="178"/>
    </row>
    <row r="31" spans="1:12">
      <c r="A31" s="177">
        <f t="shared" si="3"/>
        <v>116</v>
      </c>
      <c r="B31" s="170" t="str">
        <f t="shared" si="0"/>
        <v>May</v>
      </c>
      <c r="C31" s="179">
        <f>'1-BaseTRR'!$G$1</f>
        <v>2022</v>
      </c>
      <c r="D31" s="190">
        <f t="shared" ref="D31:I38" si="4">D68+D104</f>
        <v>156147952.88689169</v>
      </c>
      <c r="E31" s="190">
        <f t="shared" si="4"/>
        <v>1865336180.4241495</v>
      </c>
      <c r="F31" s="190">
        <f t="shared" si="4"/>
        <v>4448701.7187119815</v>
      </c>
      <c r="G31" s="190">
        <f t="shared" si="4"/>
        <v>11603126.792551635</v>
      </c>
      <c r="H31" s="190">
        <f t="shared" si="4"/>
        <v>-89527204.024029791</v>
      </c>
      <c r="I31" s="190">
        <f t="shared" si="4"/>
        <v>1954863384.4481792</v>
      </c>
      <c r="J31" s="177">
        <f t="shared" si="2"/>
        <v>116</v>
      </c>
      <c r="K31" s="178"/>
      <c r="L31" s="178"/>
    </row>
    <row r="32" spans="1:12">
      <c r="A32" s="177">
        <f t="shared" si="3"/>
        <v>117</v>
      </c>
      <c r="B32" s="170" t="str">
        <f t="shared" si="0"/>
        <v xml:space="preserve">June </v>
      </c>
      <c r="C32" s="179">
        <f>'1-BaseTRR'!$G$1</f>
        <v>2022</v>
      </c>
      <c r="D32" s="190">
        <f t="shared" si="4"/>
        <v>91280753.275437996</v>
      </c>
      <c r="E32" s="190">
        <f t="shared" si="4"/>
        <v>1956616933.6995878</v>
      </c>
      <c r="F32" s="190">
        <f t="shared" si="4"/>
        <v>4666400.1948598195</v>
      </c>
      <c r="G32" s="190">
        <f t="shared" si="4"/>
        <v>7531728.0517711509</v>
      </c>
      <c r="H32" s="190">
        <f t="shared" si="4"/>
        <v>-92392531.880941123</v>
      </c>
      <c r="I32" s="190">
        <f t="shared" si="4"/>
        <v>2049009465.5805287</v>
      </c>
      <c r="J32" s="177">
        <f t="shared" si="2"/>
        <v>117</v>
      </c>
      <c r="K32" s="178"/>
      <c r="L32" s="178"/>
    </row>
    <row r="33" spans="1:12">
      <c r="A33" s="177">
        <f t="shared" si="3"/>
        <v>118</v>
      </c>
      <c r="B33" s="170" t="str">
        <f t="shared" si="0"/>
        <v>July</v>
      </c>
      <c r="C33" s="179">
        <f>'1-BaseTRR'!$G$1</f>
        <v>2022</v>
      </c>
      <c r="D33" s="190">
        <f t="shared" si="4"/>
        <v>78359929.245238662</v>
      </c>
      <c r="E33" s="190">
        <f t="shared" si="4"/>
        <v>2034976862.9448266</v>
      </c>
      <c r="F33" s="190">
        <f t="shared" si="4"/>
        <v>4853283.3720424855</v>
      </c>
      <c r="G33" s="190">
        <f t="shared" si="4"/>
        <v>5884287.3955674618</v>
      </c>
      <c r="H33" s="190">
        <f t="shared" si="4"/>
        <v>-93423535.904466093</v>
      </c>
      <c r="I33" s="190">
        <f t="shared" si="4"/>
        <v>2128400398.8492928</v>
      </c>
      <c r="J33" s="177">
        <f t="shared" si="2"/>
        <v>118</v>
      </c>
      <c r="K33" s="178"/>
      <c r="L33" s="178"/>
    </row>
    <row r="34" spans="1:12">
      <c r="A34" s="177">
        <f t="shared" si="3"/>
        <v>119</v>
      </c>
      <c r="B34" s="170" t="str">
        <f t="shared" si="0"/>
        <v>August</v>
      </c>
      <c r="C34" s="179">
        <f>'1-BaseTRR'!$G$1</f>
        <v>2022</v>
      </c>
      <c r="D34" s="190">
        <f t="shared" si="4"/>
        <v>120392585.66077438</v>
      </c>
      <c r="E34" s="190">
        <f t="shared" si="4"/>
        <v>2155369448.6056008</v>
      </c>
      <c r="F34" s="190">
        <f t="shared" si="4"/>
        <v>5140411.6164683681</v>
      </c>
      <c r="G34" s="190">
        <f t="shared" si="4"/>
        <v>6526224.2711636079</v>
      </c>
      <c r="H34" s="190">
        <f t="shared" si="4"/>
        <v>-94809348.559161335</v>
      </c>
      <c r="I34" s="190">
        <f t="shared" si="4"/>
        <v>2250178797.1647625</v>
      </c>
      <c r="J34" s="177">
        <f t="shared" si="2"/>
        <v>119</v>
      </c>
      <c r="K34" s="178"/>
      <c r="L34" s="178"/>
    </row>
    <row r="35" spans="1:12">
      <c r="A35" s="177">
        <f t="shared" si="3"/>
        <v>120</v>
      </c>
      <c r="B35" s="170" t="str">
        <f t="shared" si="0"/>
        <v>September</v>
      </c>
      <c r="C35" s="179">
        <f>'1-BaseTRR'!$G$1</f>
        <v>2022</v>
      </c>
      <c r="D35" s="190">
        <f t="shared" si="4"/>
        <v>165736425.10814631</v>
      </c>
      <c r="E35" s="190">
        <f t="shared" si="4"/>
        <v>2321105873.713747</v>
      </c>
      <c r="F35" s="190">
        <f t="shared" si="4"/>
        <v>5535681.8776521385</v>
      </c>
      <c r="G35" s="190">
        <f t="shared" si="4"/>
        <v>6153878.4485809486</v>
      </c>
      <c r="H35" s="190">
        <f t="shared" si="4"/>
        <v>-95427545.130090147</v>
      </c>
      <c r="I35" s="190">
        <f t="shared" si="4"/>
        <v>2416533418.8438377</v>
      </c>
      <c r="J35" s="177">
        <f t="shared" si="2"/>
        <v>120</v>
      </c>
      <c r="K35" s="178"/>
      <c r="L35" s="178"/>
    </row>
    <row r="36" spans="1:12">
      <c r="A36" s="177">
        <f t="shared" si="3"/>
        <v>121</v>
      </c>
      <c r="B36" s="170" t="str">
        <f t="shared" si="0"/>
        <v>October</v>
      </c>
      <c r="C36" s="179">
        <f>'1-BaseTRR'!$G$1</f>
        <v>2022</v>
      </c>
      <c r="D36" s="190">
        <f t="shared" si="4"/>
        <v>124240807.8295722</v>
      </c>
      <c r="E36" s="190">
        <f t="shared" si="4"/>
        <v>2445346681.5433197</v>
      </c>
      <c r="F36" s="190">
        <f t="shared" si="4"/>
        <v>5831987.8739256393</v>
      </c>
      <c r="G36" s="190">
        <f t="shared" si="4"/>
        <v>6154429.425496636</v>
      </c>
      <c r="H36" s="190">
        <f t="shared" si="4"/>
        <v>-95749986.681661129</v>
      </c>
      <c r="I36" s="190">
        <f t="shared" si="4"/>
        <v>2541096668.2249808</v>
      </c>
      <c r="J36" s="177">
        <f t="shared" si="2"/>
        <v>121</v>
      </c>
      <c r="K36" s="178"/>
      <c r="L36" s="178"/>
    </row>
    <row r="37" spans="1:12">
      <c r="A37" s="177">
        <f t="shared" si="3"/>
        <v>122</v>
      </c>
      <c r="B37" s="170" t="str">
        <f t="shared" si="0"/>
        <v>November</v>
      </c>
      <c r="C37" s="179">
        <f>'1-BaseTRR'!$G$1</f>
        <v>2022</v>
      </c>
      <c r="D37" s="190">
        <f t="shared" si="4"/>
        <v>139484577.23498195</v>
      </c>
      <c r="E37" s="190">
        <f t="shared" si="4"/>
        <v>2584831258.7783017</v>
      </c>
      <c r="F37" s="190">
        <f t="shared" si="4"/>
        <v>6164649.238129694</v>
      </c>
      <c r="G37" s="190">
        <f t="shared" si="4"/>
        <v>4751699.8408385348</v>
      </c>
      <c r="H37" s="190">
        <f t="shared" si="4"/>
        <v>-94337037.284369975</v>
      </c>
      <c r="I37" s="190">
        <f t="shared" si="4"/>
        <v>2679168296.0626717</v>
      </c>
      <c r="J37" s="177">
        <f t="shared" si="2"/>
        <v>122</v>
      </c>
      <c r="K37" s="178"/>
      <c r="L37" s="178"/>
    </row>
    <row r="38" spans="1:12">
      <c r="A38" s="177">
        <f t="shared" si="3"/>
        <v>123</v>
      </c>
      <c r="B38" s="180" t="str">
        <f t="shared" si="0"/>
        <v>December</v>
      </c>
      <c r="C38" s="181">
        <f>'1-BaseTRR'!$G$1</f>
        <v>2022</v>
      </c>
      <c r="D38" s="501">
        <f t="shared" si="4"/>
        <v>283082048.0336504</v>
      </c>
      <c r="E38" s="501">
        <f t="shared" si="4"/>
        <v>2867913306.8119521</v>
      </c>
      <c r="F38" s="501">
        <f t="shared" si="4"/>
        <v>6839780.9419158995</v>
      </c>
      <c r="G38" s="501">
        <f t="shared" si="4"/>
        <v>4329810.7964247409</v>
      </c>
      <c r="H38" s="501">
        <f t="shared" si="4"/>
        <v>-91827067.138878822</v>
      </c>
      <c r="I38" s="501">
        <f t="shared" si="4"/>
        <v>2959740373.9508309</v>
      </c>
      <c r="J38" s="177">
        <f t="shared" si="2"/>
        <v>123</v>
      </c>
      <c r="K38" s="178"/>
      <c r="L38" s="178"/>
    </row>
    <row r="39" spans="1:12" s="171" customFormat="1">
      <c r="A39" s="177">
        <f t="shared" si="3"/>
        <v>124</v>
      </c>
      <c r="C39" s="171" t="s">
        <v>894</v>
      </c>
      <c r="D39" s="191"/>
      <c r="E39" s="191">
        <f>SUM(E26:E38)/13</f>
        <v>1959983944.6693623</v>
      </c>
      <c r="H39" s="190"/>
      <c r="I39" s="191">
        <f>SUM(I26:I38)/13</f>
        <v>2046553440.2858808</v>
      </c>
      <c r="J39" s="177">
        <f t="shared" si="2"/>
        <v>124</v>
      </c>
    </row>
    <row r="40" spans="1:12">
      <c r="A40" s="177">
        <v>125</v>
      </c>
      <c r="C40" s="579" t="s">
        <v>895</v>
      </c>
      <c r="F40" s="191">
        <f>SUM(F27:F38)</f>
        <v>57923232.807516411</v>
      </c>
      <c r="J40" s="177">
        <v>125</v>
      </c>
    </row>
    <row r="41" spans="1:12">
      <c r="A41" s="177"/>
      <c r="C41" s="579"/>
      <c r="F41" s="191"/>
      <c r="J41" s="177"/>
    </row>
    <row r="42" spans="1:12">
      <c r="B42" s="173" t="s">
        <v>896</v>
      </c>
      <c r="C42" s="174"/>
      <c r="D42" s="174"/>
      <c r="E42" s="174"/>
      <c r="F42" s="182"/>
      <c r="G42" s="174"/>
      <c r="H42" s="174"/>
      <c r="I42" s="182"/>
    </row>
    <row r="43" spans="1:12">
      <c r="B43" s="170" t="s">
        <v>897</v>
      </c>
    </row>
    <row r="44" spans="1:12">
      <c r="B44" s="170" t="s">
        <v>898</v>
      </c>
    </row>
    <row r="45" spans="1:12">
      <c r="B45" s="170" t="s">
        <v>899</v>
      </c>
    </row>
    <row r="47" spans="1:12">
      <c r="A47" s="177"/>
      <c r="D47" s="168" t="s">
        <v>413</v>
      </c>
      <c r="E47" s="168" t="s">
        <v>414</v>
      </c>
      <c r="F47" s="168" t="s">
        <v>415</v>
      </c>
      <c r="G47" s="168" t="s">
        <v>416</v>
      </c>
      <c r="H47" s="168" t="s">
        <v>417</v>
      </c>
      <c r="I47" s="168" t="s">
        <v>418</v>
      </c>
      <c r="J47" s="177"/>
    </row>
    <row r="48" spans="1:12" ht="29">
      <c r="A48" s="177"/>
      <c r="D48" s="183" t="s">
        <v>110</v>
      </c>
      <c r="E48" s="183" t="s">
        <v>900</v>
      </c>
      <c r="F48" s="183" t="s">
        <v>901</v>
      </c>
      <c r="G48" s="183" t="s">
        <v>202</v>
      </c>
      <c r="H48" s="183" t="s">
        <v>902</v>
      </c>
      <c r="I48" s="183" t="s">
        <v>903</v>
      </c>
      <c r="J48" s="177"/>
    </row>
    <row r="49" spans="1:10">
      <c r="A49" s="177"/>
      <c r="E49" s="177"/>
      <c r="F49" s="177"/>
      <c r="G49" s="177"/>
      <c r="H49" s="177"/>
      <c r="J49" s="177"/>
    </row>
    <row r="50" spans="1:10">
      <c r="A50" s="177"/>
      <c r="B50" s="811" t="str">
        <f>B13</f>
        <v>Forecast Period</v>
      </c>
      <c r="C50" s="811"/>
      <c r="D50" s="177" t="s">
        <v>883</v>
      </c>
      <c r="E50" s="177" t="s">
        <v>884</v>
      </c>
      <c r="F50" s="177" t="s">
        <v>885</v>
      </c>
      <c r="G50" s="177" t="s">
        <v>886</v>
      </c>
      <c r="H50" s="177" t="s">
        <v>884</v>
      </c>
      <c r="I50" s="177" t="s">
        <v>887</v>
      </c>
      <c r="J50" s="177"/>
    </row>
    <row r="51" spans="1:10">
      <c r="A51" s="176" t="s">
        <v>99</v>
      </c>
      <c r="B51" s="176" t="str">
        <f>B14</f>
        <v>Month</v>
      </c>
      <c r="C51" s="176" t="str">
        <f>C14</f>
        <v>Year</v>
      </c>
      <c r="D51" s="176" t="s">
        <v>893</v>
      </c>
      <c r="E51" s="176" t="s">
        <v>889</v>
      </c>
      <c r="F51" s="176" t="s">
        <v>890</v>
      </c>
      <c r="G51" s="176" t="s">
        <v>891</v>
      </c>
      <c r="H51" s="176" t="s">
        <v>892</v>
      </c>
      <c r="I51" s="176" t="s">
        <v>893</v>
      </c>
      <c r="J51" s="176" t="str">
        <f>A51</f>
        <v>Line</v>
      </c>
    </row>
    <row r="52" spans="1:10">
      <c r="A52" s="177">
        <v>200</v>
      </c>
      <c r="B52" s="175" t="s">
        <v>472</v>
      </c>
      <c r="C52" s="152">
        <f>'1-BaseTRR'!$G$2+1</f>
        <v>2021</v>
      </c>
      <c r="D52" s="502">
        <v>35122981.977146946</v>
      </c>
      <c r="E52" s="190">
        <f>D52</f>
        <v>35122981.977146946</v>
      </c>
      <c r="F52" s="190">
        <f>E52*'12-DepRates'!$N$21/12</f>
        <v>83765.957004326323</v>
      </c>
      <c r="G52" s="502">
        <v>2026165.7462520993</v>
      </c>
      <c r="H52" s="190">
        <f>F52-G52</f>
        <v>-1942399.7892477729</v>
      </c>
      <c r="I52" s="190">
        <f>E52-H52</f>
        <v>37065381.766394719</v>
      </c>
      <c r="J52" s="177">
        <f t="shared" ref="J52:J76" si="5">A52</f>
        <v>200</v>
      </c>
    </row>
    <row r="53" spans="1:10">
      <c r="A53" s="177">
        <f t="shared" ref="A53:A112" si="6">A52+1</f>
        <v>201</v>
      </c>
      <c r="B53" s="175" t="s">
        <v>473</v>
      </c>
      <c r="C53" s="152">
        <f>'1-BaseTRR'!$G$2+1</f>
        <v>2021</v>
      </c>
      <c r="D53" s="502">
        <v>41232421.292189151</v>
      </c>
      <c r="E53" s="190">
        <f>E52+D53</f>
        <v>76355403.269336104</v>
      </c>
      <c r="F53" s="190">
        <f>E53*'12-DepRates'!$N$21/12</f>
        <v>182102.51713447351</v>
      </c>
      <c r="G53" s="502">
        <v>2033725.7244945946</v>
      </c>
      <c r="H53" s="190">
        <f>H52+F53-G53</f>
        <v>-3794022.9966078941</v>
      </c>
      <c r="I53" s="190">
        <f t="shared" ref="I53:I75" si="7">E53-H53</f>
        <v>80149426.265944004</v>
      </c>
      <c r="J53" s="177">
        <f t="shared" si="5"/>
        <v>201</v>
      </c>
    </row>
    <row r="54" spans="1:10">
      <c r="A54" s="177">
        <f t="shared" si="6"/>
        <v>202</v>
      </c>
      <c r="B54" s="175" t="s">
        <v>474</v>
      </c>
      <c r="C54" s="152">
        <f>'1-BaseTRR'!$G$2+1</f>
        <v>2021</v>
      </c>
      <c r="D54" s="502">
        <v>70961152.832077309</v>
      </c>
      <c r="E54" s="190">
        <f t="shared" ref="E54:E75" si="8">E53+D54</f>
        <v>147316556.10141343</v>
      </c>
      <c r="F54" s="190">
        <f>E54*'12-DepRates'!$N$21/12</f>
        <v>351340.10866291524</v>
      </c>
      <c r="G54" s="502">
        <v>3291525.0128102158</v>
      </c>
      <c r="H54" s="190">
        <f t="shared" ref="H54:H75" si="9">H53+F54-G54</f>
        <v>-6734207.9007551949</v>
      </c>
      <c r="I54" s="190">
        <f t="shared" si="7"/>
        <v>154050764.00216863</v>
      </c>
      <c r="J54" s="177">
        <f t="shared" si="5"/>
        <v>202</v>
      </c>
    </row>
    <row r="55" spans="1:10">
      <c r="A55" s="177">
        <f t="shared" si="6"/>
        <v>203</v>
      </c>
      <c r="B55" s="175" t="s">
        <v>475</v>
      </c>
      <c r="C55" s="152">
        <f>'1-BaseTRR'!$G$2+1</f>
        <v>2021</v>
      </c>
      <c r="D55" s="502">
        <v>44793669.106414706</v>
      </c>
      <c r="E55" s="190">
        <f t="shared" si="8"/>
        <v>192110225.20782813</v>
      </c>
      <c r="F55" s="190">
        <f>E55*'12-DepRates'!$N$21/12</f>
        <v>458170.00604678044</v>
      </c>
      <c r="G55" s="502">
        <v>2998048.374562948</v>
      </c>
      <c r="H55" s="190">
        <f t="shared" si="9"/>
        <v>-9274086.2692713626</v>
      </c>
      <c r="I55" s="190">
        <f t="shared" si="7"/>
        <v>201384311.47709951</v>
      </c>
      <c r="J55" s="177">
        <f t="shared" si="5"/>
        <v>203</v>
      </c>
    </row>
    <row r="56" spans="1:10">
      <c r="A56" s="177">
        <f t="shared" si="6"/>
        <v>204</v>
      </c>
      <c r="B56" s="175" t="s">
        <v>437</v>
      </c>
      <c r="C56" s="152">
        <f>'1-BaseTRR'!$G$2+1</f>
        <v>2021</v>
      </c>
      <c r="D56" s="502">
        <v>31102442.451449428</v>
      </c>
      <c r="E56" s="190">
        <f t="shared" si="8"/>
        <v>223212667.65927756</v>
      </c>
      <c r="F56" s="190">
        <f>E56*'12-DepRates'!$N$21/12</f>
        <v>532347.24586123647</v>
      </c>
      <c r="G56" s="502">
        <v>2193220.0130698951</v>
      </c>
      <c r="H56" s="190">
        <f t="shared" si="9"/>
        <v>-10934959.036480021</v>
      </c>
      <c r="I56" s="190">
        <f t="shared" si="7"/>
        <v>234147626.69575757</v>
      </c>
      <c r="J56" s="177">
        <f t="shared" si="5"/>
        <v>204</v>
      </c>
    </row>
    <row r="57" spans="1:10">
      <c r="A57" s="177">
        <f t="shared" si="6"/>
        <v>205</v>
      </c>
      <c r="B57" s="175" t="s">
        <v>476</v>
      </c>
      <c r="C57" s="152">
        <f>'1-BaseTRR'!$G$2+1</f>
        <v>2021</v>
      </c>
      <c r="D57" s="502">
        <v>78639437.623799384</v>
      </c>
      <c r="E57" s="190">
        <f t="shared" si="8"/>
        <v>301852105.28307694</v>
      </c>
      <c r="F57" s="190">
        <f>E57*'12-DepRates'!$N$21/12</f>
        <v>719897.03178561118</v>
      </c>
      <c r="G57" s="502">
        <v>2980064.7623445857</v>
      </c>
      <c r="H57" s="190">
        <f t="shared" si="9"/>
        <v>-13195126.767038995</v>
      </c>
      <c r="I57" s="190">
        <f t="shared" si="7"/>
        <v>315047232.05011594</v>
      </c>
      <c r="J57" s="177">
        <f t="shared" si="5"/>
        <v>205</v>
      </c>
    </row>
    <row r="58" spans="1:10">
      <c r="A58" s="177">
        <f t="shared" si="6"/>
        <v>206</v>
      </c>
      <c r="B58" s="175" t="s">
        <v>477</v>
      </c>
      <c r="C58" s="152">
        <f>'1-BaseTRR'!$G$2+1</f>
        <v>2021</v>
      </c>
      <c r="D58" s="502">
        <v>22943227.528739586</v>
      </c>
      <c r="E58" s="190">
        <f t="shared" si="8"/>
        <v>324795332.81181651</v>
      </c>
      <c r="F58" s="190">
        <f>E58*'12-DepRates'!$N$21/12</f>
        <v>774615.09108830232</v>
      </c>
      <c r="G58" s="502">
        <v>2170553.4773227824</v>
      </c>
      <c r="H58" s="190">
        <f t="shared" si="9"/>
        <v>-14591065.153273474</v>
      </c>
      <c r="I58" s="190">
        <f t="shared" si="7"/>
        <v>339386397.96508998</v>
      </c>
      <c r="J58" s="177">
        <f t="shared" si="5"/>
        <v>206</v>
      </c>
    </row>
    <row r="59" spans="1:10">
      <c r="A59" s="177">
        <f t="shared" si="6"/>
        <v>207</v>
      </c>
      <c r="B59" s="175" t="s">
        <v>478</v>
      </c>
      <c r="C59" s="152">
        <f>'1-BaseTRR'!$G$2+1</f>
        <v>2021</v>
      </c>
      <c r="D59" s="502">
        <v>28083624.457606748</v>
      </c>
      <c r="E59" s="190">
        <f t="shared" si="8"/>
        <v>352878957.26942325</v>
      </c>
      <c r="F59" s="190">
        <f>E59*'12-DepRates'!$N$21/12</f>
        <v>841592.65240049874</v>
      </c>
      <c r="G59" s="502">
        <v>2729121.9238964748</v>
      </c>
      <c r="H59" s="190">
        <f t="shared" si="9"/>
        <v>-16478594.42476945</v>
      </c>
      <c r="I59" s="190">
        <f t="shared" si="7"/>
        <v>369357551.69419271</v>
      </c>
      <c r="J59" s="177">
        <f t="shared" si="5"/>
        <v>207</v>
      </c>
    </row>
    <row r="60" spans="1:10">
      <c r="A60" s="177">
        <f t="shared" si="6"/>
        <v>208</v>
      </c>
      <c r="B60" s="175" t="s">
        <v>480</v>
      </c>
      <c r="C60" s="152">
        <f>'1-BaseTRR'!$G$2+1</f>
        <v>2021</v>
      </c>
      <c r="D60" s="502">
        <v>11489243.258027565</v>
      </c>
      <c r="E60" s="190">
        <f t="shared" si="8"/>
        <v>364368200.5274508</v>
      </c>
      <c r="F60" s="190">
        <f>E60*'12-DepRates'!$N$21/12</f>
        <v>868993.72721215291</v>
      </c>
      <c r="G60" s="502">
        <v>1695959.5327167846</v>
      </c>
      <c r="H60" s="190">
        <f t="shared" si="9"/>
        <v>-17305560.230274081</v>
      </c>
      <c r="I60" s="190">
        <f t="shared" si="7"/>
        <v>381673760.75772488</v>
      </c>
      <c r="J60" s="177">
        <f t="shared" si="5"/>
        <v>208</v>
      </c>
    </row>
    <row r="61" spans="1:10">
      <c r="A61" s="177">
        <f t="shared" si="6"/>
        <v>209</v>
      </c>
      <c r="B61" s="175" t="s">
        <v>904</v>
      </c>
      <c r="C61" s="152">
        <f>'1-BaseTRR'!$G$2+1</f>
        <v>2021</v>
      </c>
      <c r="D61" s="502">
        <v>30619106.608091667</v>
      </c>
      <c r="E61" s="190">
        <f t="shared" si="8"/>
        <v>394987307.13554245</v>
      </c>
      <c r="F61" s="190">
        <f>E61*'12-DepRates'!$N$21/12</f>
        <v>942018.24344807852</v>
      </c>
      <c r="G61" s="502">
        <v>3199575.8593470734</v>
      </c>
      <c r="H61" s="190">
        <f t="shared" si="9"/>
        <v>-19563117.846173078</v>
      </c>
      <c r="I61" s="190">
        <f t="shared" si="7"/>
        <v>414550424.98171556</v>
      </c>
      <c r="J61" s="177">
        <f t="shared" si="5"/>
        <v>209</v>
      </c>
    </row>
    <row r="62" spans="1:10">
      <c r="A62" s="177">
        <f t="shared" si="6"/>
        <v>210</v>
      </c>
      <c r="B62" s="175" t="s">
        <v>482</v>
      </c>
      <c r="C62" s="152">
        <f>'1-BaseTRR'!$G$2+1</f>
        <v>2021</v>
      </c>
      <c r="D62" s="502">
        <v>27783864.880143806</v>
      </c>
      <c r="E62" s="190">
        <f t="shared" si="8"/>
        <v>422771172.01568627</v>
      </c>
      <c r="F62" s="190">
        <f>E62*'12-DepRates'!$N$21/12</f>
        <v>1008280.8982670355</v>
      </c>
      <c r="G62" s="502">
        <v>4002462.8138105012</v>
      </c>
      <c r="H62" s="190">
        <f t="shared" si="9"/>
        <v>-22557299.761716545</v>
      </c>
      <c r="I62" s="190">
        <f t="shared" si="7"/>
        <v>445328471.77740282</v>
      </c>
      <c r="J62" s="177">
        <f t="shared" si="5"/>
        <v>210</v>
      </c>
    </row>
    <row r="63" spans="1:10">
      <c r="A63" s="177">
        <f t="shared" si="6"/>
        <v>211</v>
      </c>
      <c r="B63" s="175" t="s">
        <v>470</v>
      </c>
      <c r="C63" s="152">
        <f>'1-BaseTRR'!$G$2+1</f>
        <v>2021</v>
      </c>
      <c r="D63" s="502">
        <v>50714833.636467502</v>
      </c>
      <c r="E63" s="190">
        <f t="shared" si="8"/>
        <v>473486005.65215379</v>
      </c>
      <c r="F63" s="190">
        <f>E63*'12-DepRates'!$N$21/12</f>
        <v>1129232.3760384277</v>
      </c>
      <c r="G63" s="502">
        <v>4589456.3874334563</v>
      </c>
      <c r="H63" s="190">
        <f t="shared" si="9"/>
        <v>-26017523.773111574</v>
      </c>
      <c r="I63" s="190">
        <f t="shared" si="7"/>
        <v>499503529.42526537</v>
      </c>
      <c r="J63" s="177">
        <f t="shared" si="5"/>
        <v>211</v>
      </c>
    </row>
    <row r="64" spans="1:10">
      <c r="A64" s="177">
        <f t="shared" si="6"/>
        <v>212</v>
      </c>
      <c r="B64" s="175" t="s">
        <v>472</v>
      </c>
      <c r="C64" s="152">
        <f>'1-BaseTRR'!$G$1</f>
        <v>2022</v>
      </c>
      <c r="D64" s="502">
        <v>34785076.684575155</v>
      </c>
      <c r="E64" s="190">
        <f t="shared" si="8"/>
        <v>508271082.33672893</v>
      </c>
      <c r="F64" s="190">
        <f>E64*'12-DepRates'!$N$21/12</f>
        <v>1212192.4515766667</v>
      </c>
      <c r="G64" s="502">
        <v>3603229.0903590256</v>
      </c>
      <c r="H64" s="190">
        <f t="shared" si="9"/>
        <v>-28408560.411893934</v>
      </c>
      <c r="I64" s="190">
        <f t="shared" si="7"/>
        <v>536679642.74862289</v>
      </c>
      <c r="J64" s="177">
        <f t="shared" si="5"/>
        <v>212</v>
      </c>
    </row>
    <row r="65" spans="1:10">
      <c r="A65" s="177">
        <f t="shared" si="6"/>
        <v>213</v>
      </c>
      <c r="B65" s="175" t="s">
        <v>473</v>
      </c>
      <c r="C65" s="179">
        <f>'1-BaseTRR'!$G$1</f>
        <v>2022</v>
      </c>
      <c r="D65" s="502">
        <v>37628327.969308585</v>
      </c>
      <c r="E65" s="190">
        <f t="shared" si="8"/>
        <v>545899410.30603755</v>
      </c>
      <c r="F65" s="190">
        <f>E65*'12-DepRates'!$N$21/12</f>
        <v>1301933.4907877636</v>
      </c>
      <c r="G65" s="502">
        <v>2716959.3439990156</v>
      </c>
      <c r="H65" s="190">
        <f t="shared" si="9"/>
        <v>-29823586.265105188</v>
      </c>
      <c r="I65" s="190">
        <f t="shared" si="7"/>
        <v>575722996.57114267</v>
      </c>
      <c r="J65" s="177">
        <f t="shared" si="5"/>
        <v>213</v>
      </c>
    </row>
    <row r="66" spans="1:10">
      <c r="A66" s="177">
        <f t="shared" si="6"/>
        <v>214</v>
      </c>
      <c r="B66" s="175" t="s">
        <v>474</v>
      </c>
      <c r="C66" s="179">
        <f>'1-BaseTRR'!$G$1</f>
        <v>2022</v>
      </c>
      <c r="D66" s="502">
        <v>106948127.572496</v>
      </c>
      <c r="E66" s="190">
        <f t="shared" si="8"/>
        <v>652847537.8785336</v>
      </c>
      <c r="F66" s="190">
        <f>E66*'12-DepRates'!$N$21/12</f>
        <v>1556997.6041298455</v>
      </c>
      <c r="G66" s="502">
        <v>3006568.4535574331</v>
      </c>
      <c r="H66" s="190">
        <f t="shared" si="9"/>
        <v>-31273157.114532772</v>
      </c>
      <c r="I66" s="190">
        <f t="shared" si="7"/>
        <v>684120694.99306643</v>
      </c>
      <c r="J66" s="177">
        <f t="shared" si="5"/>
        <v>214</v>
      </c>
    </row>
    <row r="67" spans="1:10">
      <c r="A67" s="177">
        <f t="shared" si="6"/>
        <v>215</v>
      </c>
      <c r="B67" s="175" t="s">
        <v>475</v>
      </c>
      <c r="C67" s="179">
        <f>'1-BaseTRR'!$G$1</f>
        <v>2022</v>
      </c>
      <c r="D67" s="502">
        <v>26175194.363017399</v>
      </c>
      <c r="E67" s="190">
        <f t="shared" si="8"/>
        <v>679022732.24155104</v>
      </c>
      <c r="F67" s="190">
        <f>E67*'12-DepRates'!$N$21/12</f>
        <v>1619423.687627512</v>
      </c>
      <c r="G67" s="502">
        <v>3458468.2404723503</v>
      </c>
      <c r="H67" s="190">
        <f t="shared" si="9"/>
        <v>-33112201.66737761</v>
      </c>
      <c r="I67" s="190">
        <f t="shared" si="7"/>
        <v>712134933.90892863</v>
      </c>
      <c r="J67" s="177">
        <f t="shared" si="5"/>
        <v>215</v>
      </c>
    </row>
    <row r="68" spans="1:10">
      <c r="A68" s="177">
        <f t="shared" si="6"/>
        <v>216</v>
      </c>
      <c r="B68" s="175" t="s">
        <v>437</v>
      </c>
      <c r="C68" s="179">
        <f>'1-BaseTRR'!$G$1</f>
        <v>2022</v>
      </c>
      <c r="D68" s="502">
        <v>93888904.132319719</v>
      </c>
      <c r="E68" s="190">
        <f t="shared" si="8"/>
        <v>772911636.37387073</v>
      </c>
      <c r="F68" s="190">
        <f>E68*'12-DepRates'!$N$21/12</f>
        <v>1843342.4286913667</v>
      </c>
      <c r="G68" s="502">
        <v>5501915.2294740807</v>
      </c>
      <c r="H68" s="190">
        <f t="shared" si="9"/>
        <v>-36770774.468160324</v>
      </c>
      <c r="I68" s="190">
        <f t="shared" si="7"/>
        <v>809682410.842031</v>
      </c>
      <c r="J68" s="177">
        <f t="shared" si="5"/>
        <v>216</v>
      </c>
    </row>
    <row r="69" spans="1:10">
      <c r="A69" s="177">
        <f t="shared" si="6"/>
        <v>217</v>
      </c>
      <c r="B69" s="175" t="s">
        <v>476</v>
      </c>
      <c r="C69" s="179">
        <f>'1-BaseTRR'!$G$1</f>
        <v>2022</v>
      </c>
      <c r="D69" s="502">
        <v>35845231.556371488</v>
      </c>
      <c r="E69" s="190">
        <f t="shared" si="8"/>
        <v>808756867.93024218</v>
      </c>
      <c r="F69" s="190">
        <f>E69*'12-DepRates'!$N$21/12</f>
        <v>1928830.902514996</v>
      </c>
      <c r="G69" s="502">
        <v>2594072.9219936063</v>
      </c>
      <c r="H69" s="190">
        <f t="shared" si="9"/>
        <v>-37436016.487638935</v>
      </c>
      <c r="I69" s="190">
        <f t="shared" si="7"/>
        <v>846192884.41788113</v>
      </c>
      <c r="J69" s="177">
        <f t="shared" si="5"/>
        <v>217</v>
      </c>
    </row>
    <row r="70" spans="1:10">
      <c r="A70" s="177">
        <f t="shared" si="6"/>
        <v>218</v>
      </c>
      <c r="B70" s="175" t="s">
        <v>477</v>
      </c>
      <c r="C70" s="179">
        <f>'1-BaseTRR'!$G$1</f>
        <v>2022</v>
      </c>
      <c r="D70" s="502">
        <v>30782689.717450567</v>
      </c>
      <c r="E70" s="190">
        <f t="shared" si="8"/>
        <v>839539557.6476928</v>
      </c>
      <c r="F70" s="190">
        <f>E70*'12-DepRates'!$N$21/12</f>
        <v>2002245.5534984244</v>
      </c>
      <c r="G70" s="502">
        <v>2180426.5639793538</v>
      </c>
      <c r="H70" s="190">
        <f t="shared" si="9"/>
        <v>-37614197.498119861</v>
      </c>
      <c r="I70" s="190">
        <f t="shared" si="7"/>
        <v>877153755.14581263</v>
      </c>
      <c r="J70" s="177">
        <f t="shared" si="5"/>
        <v>218</v>
      </c>
    </row>
    <row r="71" spans="1:10">
      <c r="A71" s="177">
        <f t="shared" si="6"/>
        <v>219</v>
      </c>
      <c r="B71" s="175" t="s">
        <v>478</v>
      </c>
      <c r="C71" s="179">
        <f>'1-BaseTRR'!$G$1</f>
        <v>2022</v>
      </c>
      <c r="D71" s="502">
        <v>76266688.159974828</v>
      </c>
      <c r="E71" s="190">
        <f t="shared" si="8"/>
        <v>915806245.80766761</v>
      </c>
      <c r="F71" s="190">
        <f>E71*'12-DepRates'!$N$21/12</f>
        <v>2184136.4910454578</v>
      </c>
      <c r="G71" s="502">
        <v>2035673.5669055439</v>
      </c>
      <c r="H71" s="190">
        <f t="shared" si="9"/>
        <v>-37465734.573979944</v>
      </c>
      <c r="I71" s="190">
        <f t="shared" si="7"/>
        <v>953271980.38164759</v>
      </c>
      <c r="J71" s="177">
        <f t="shared" si="5"/>
        <v>219</v>
      </c>
    </row>
    <row r="72" spans="1:10">
      <c r="A72" s="177">
        <f t="shared" si="6"/>
        <v>220</v>
      </c>
      <c r="B72" s="175" t="s">
        <v>480</v>
      </c>
      <c r="C72" s="179">
        <f>'1-BaseTRR'!$G$1</f>
        <v>2022</v>
      </c>
      <c r="D72" s="502">
        <v>53380085.868512094</v>
      </c>
      <c r="E72" s="190">
        <f t="shared" si="8"/>
        <v>969186331.67617965</v>
      </c>
      <c r="F72" s="190">
        <f>E72*'12-DepRates'!$N$21/12</f>
        <v>2311444.4166839584</v>
      </c>
      <c r="G72" s="502">
        <v>2003756.3928133924</v>
      </c>
      <c r="H72" s="190">
        <f t="shared" si="9"/>
        <v>-37158046.550109379</v>
      </c>
      <c r="I72" s="190">
        <f t="shared" si="7"/>
        <v>1006344378.226289</v>
      </c>
      <c r="J72" s="177">
        <f t="shared" si="5"/>
        <v>220</v>
      </c>
    </row>
    <row r="73" spans="1:10">
      <c r="A73" s="177">
        <f t="shared" si="6"/>
        <v>221</v>
      </c>
      <c r="B73" s="175" t="s">
        <v>481</v>
      </c>
      <c r="C73" s="179">
        <f>'1-BaseTRR'!$G$1</f>
        <v>2022</v>
      </c>
      <c r="D73" s="502">
        <v>55887769.35995014</v>
      </c>
      <c r="E73" s="190">
        <f t="shared" si="8"/>
        <v>1025074101.0361298</v>
      </c>
      <c r="F73" s="190">
        <f>E73*'12-DepRates'!$N$21/12</f>
        <v>2444732.9993082741</v>
      </c>
      <c r="G73" s="502">
        <v>1848537.303508637</v>
      </c>
      <c r="H73" s="190">
        <f t="shared" si="9"/>
        <v>-36561850.854309745</v>
      </c>
      <c r="I73" s="190">
        <f t="shared" si="7"/>
        <v>1061635951.8904396</v>
      </c>
      <c r="J73" s="177">
        <f t="shared" si="5"/>
        <v>221</v>
      </c>
    </row>
    <row r="74" spans="1:10">
      <c r="A74" s="177">
        <f t="shared" si="6"/>
        <v>222</v>
      </c>
      <c r="B74" s="175" t="s">
        <v>482</v>
      </c>
      <c r="C74" s="179">
        <f>'1-BaseTRR'!$G$1</f>
        <v>2022</v>
      </c>
      <c r="D74" s="502">
        <v>33239651.24424101</v>
      </c>
      <c r="E74" s="190">
        <f t="shared" si="8"/>
        <v>1058313752.2803708</v>
      </c>
      <c r="F74" s="190">
        <f>E74*'12-DepRates'!$N$21/12</f>
        <v>2524007.3387927618</v>
      </c>
      <c r="G74" s="502">
        <v>1640119.3524449565</v>
      </c>
      <c r="H74" s="190">
        <f t="shared" si="9"/>
        <v>-35677962.867961936</v>
      </c>
      <c r="I74" s="190">
        <f t="shared" si="7"/>
        <v>1093991715.1483328</v>
      </c>
      <c r="J74" s="177">
        <f t="shared" si="5"/>
        <v>222</v>
      </c>
    </row>
    <row r="75" spans="1:10">
      <c r="A75" s="177">
        <f t="shared" si="6"/>
        <v>223</v>
      </c>
      <c r="B75" s="184" t="s">
        <v>470</v>
      </c>
      <c r="C75" s="181">
        <f>'1-BaseTRR'!$G$1</f>
        <v>2022</v>
      </c>
      <c r="D75" s="506">
        <v>149695702.17301539</v>
      </c>
      <c r="E75" s="501">
        <f t="shared" si="8"/>
        <v>1208009454.4533863</v>
      </c>
      <c r="F75" s="501">
        <f>E75*'12-DepRates'!$N$21/12</f>
        <v>2881021.5513136722</v>
      </c>
      <c r="G75" s="506">
        <v>1727053.3704434515</v>
      </c>
      <c r="H75" s="501">
        <f t="shared" si="9"/>
        <v>-34523994.687091716</v>
      </c>
      <c r="I75" s="501">
        <f t="shared" si="7"/>
        <v>1242533449.1404781</v>
      </c>
      <c r="J75" s="177">
        <f t="shared" si="5"/>
        <v>223</v>
      </c>
    </row>
    <row r="76" spans="1:10">
      <c r="A76" s="177">
        <f t="shared" si="6"/>
        <v>224</v>
      </c>
      <c r="B76" s="171"/>
      <c r="C76" s="177" t="s">
        <v>905</v>
      </c>
      <c r="D76" s="191"/>
      <c r="E76" s="191">
        <f>SUM(E63:E75)/13</f>
        <v>804394208.89388824</v>
      </c>
      <c r="F76" s="190"/>
      <c r="G76" s="190"/>
      <c r="H76" s="190"/>
      <c r="I76" s="191">
        <f>SUM(I63:I75)/13</f>
        <v>838382178.6799953</v>
      </c>
      <c r="J76" s="177">
        <f t="shared" si="5"/>
        <v>224</v>
      </c>
    </row>
    <row r="77" spans="1:10">
      <c r="A77" s="177"/>
      <c r="D77" s="185"/>
      <c r="J77" s="177"/>
    </row>
    <row r="78" spans="1:10">
      <c r="B78" s="173" t="s">
        <v>906</v>
      </c>
      <c r="C78" s="174"/>
      <c r="D78" s="186"/>
      <c r="E78" s="174"/>
      <c r="F78" s="174"/>
      <c r="G78" s="174"/>
      <c r="H78" s="174"/>
      <c r="I78" s="174"/>
    </row>
    <row r="79" spans="1:10">
      <c r="B79" s="170" t="s">
        <v>907</v>
      </c>
    </row>
    <row r="80" spans="1:10">
      <c r="B80" s="170" t="s">
        <v>898</v>
      </c>
    </row>
    <row r="81" spans="1:10">
      <c r="B81" s="170" t="s">
        <v>899</v>
      </c>
    </row>
    <row r="83" spans="1:10">
      <c r="A83" s="177"/>
      <c r="D83" s="168" t="s">
        <v>413</v>
      </c>
      <c r="E83" s="168" t="s">
        <v>414</v>
      </c>
      <c r="F83" s="168" t="s">
        <v>415</v>
      </c>
      <c r="G83" s="168" t="s">
        <v>416</v>
      </c>
      <c r="H83" s="168" t="s">
        <v>417</v>
      </c>
      <c r="I83" s="168" t="s">
        <v>418</v>
      </c>
      <c r="J83" s="177"/>
    </row>
    <row r="84" spans="1:10" ht="29">
      <c r="A84" s="177"/>
      <c r="D84" s="183" t="s">
        <v>110</v>
      </c>
      <c r="E84" s="183" t="s">
        <v>900</v>
      </c>
      <c r="F84" s="183" t="s">
        <v>901</v>
      </c>
      <c r="G84" s="183" t="s">
        <v>202</v>
      </c>
      <c r="H84" s="183" t="s">
        <v>902</v>
      </c>
      <c r="I84" s="183" t="s">
        <v>903</v>
      </c>
      <c r="J84" s="177"/>
    </row>
    <row r="85" spans="1:10">
      <c r="A85" s="177"/>
      <c r="E85" s="177"/>
      <c r="F85" s="177"/>
      <c r="G85" s="177"/>
      <c r="H85" s="177"/>
      <c r="I85" s="179"/>
      <c r="J85" s="177"/>
    </row>
    <row r="86" spans="1:10">
      <c r="A86" s="177"/>
      <c r="B86" s="811" t="str">
        <f>B13</f>
        <v>Forecast Period</v>
      </c>
      <c r="C86" s="811"/>
      <c r="D86" s="177" t="s">
        <v>883</v>
      </c>
      <c r="E86" s="177" t="s">
        <v>884</v>
      </c>
      <c r="F86" s="177" t="s">
        <v>885</v>
      </c>
      <c r="G86" s="177" t="s">
        <v>886</v>
      </c>
      <c r="H86" s="177" t="s">
        <v>884</v>
      </c>
      <c r="I86" s="177" t="s">
        <v>887</v>
      </c>
      <c r="J86" s="177"/>
    </row>
    <row r="87" spans="1:10">
      <c r="A87" s="176" t="s">
        <v>99</v>
      </c>
      <c r="B87" s="176" t="str">
        <f>B14</f>
        <v>Month</v>
      </c>
      <c r="C87" s="176" t="str">
        <f>C14</f>
        <v>Year</v>
      </c>
      <c r="D87" s="176" t="s">
        <v>893</v>
      </c>
      <c r="E87" s="176" t="s">
        <v>889</v>
      </c>
      <c r="F87" s="176" t="s">
        <v>890</v>
      </c>
      <c r="G87" s="176" t="s">
        <v>891</v>
      </c>
      <c r="H87" s="176" t="s">
        <v>892</v>
      </c>
      <c r="I87" s="176" t="s">
        <v>893</v>
      </c>
      <c r="J87" s="176" t="str">
        <f>A87</f>
        <v>Line</v>
      </c>
    </row>
    <row r="88" spans="1:10">
      <c r="A88" s="177">
        <v>300</v>
      </c>
      <c r="B88" s="175" t="str">
        <f t="shared" ref="B88:B111" si="10">B52</f>
        <v>January</v>
      </c>
      <c r="C88" s="152">
        <f>'1-BaseTRR'!$G$2+1</f>
        <v>2021</v>
      </c>
      <c r="D88" s="502">
        <v>71291747.232535779</v>
      </c>
      <c r="E88" s="190">
        <f>D88</f>
        <v>71291747.232535779</v>
      </c>
      <c r="F88" s="190">
        <f>E88*'12-DepRates'!$N$21/12</f>
        <v>170026.03700703735</v>
      </c>
      <c r="G88" s="502">
        <v>2451192.4221564038</v>
      </c>
      <c r="H88" s="190">
        <f>F88-G88</f>
        <v>-2281166.3851493662</v>
      </c>
      <c r="I88" s="190">
        <f>E88-H88</f>
        <v>73572913.617685139</v>
      </c>
      <c r="J88" s="177">
        <f t="shared" ref="J88:J112" si="11">A88</f>
        <v>300</v>
      </c>
    </row>
    <row r="89" spans="1:10">
      <c r="A89" s="177">
        <f t="shared" si="6"/>
        <v>301</v>
      </c>
      <c r="B89" s="175" t="str">
        <f t="shared" si="10"/>
        <v>February</v>
      </c>
      <c r="C89" s="152">
        <f>'1-BaseTRR'!$G$2+1</f>
        <v>2021</v>
      </c>
      <c r="D89" s="502">
        <v>11536275.359183799</v>
      </c>
      <c r="E89" s="190">
        <f>E88+D89</f>
        <v>82828022.591719583</v>
      </c>
      <c r="F89" s="190">
        <f>E89*'12-DepRates'!$N$21/12</f>
        <v>197539.28022642632</v>
      </c>
      <c r="G89" s="502">
        <v>3266015.7109501748</v>
      </c>
      <c r="H89" s="190">
        <f>H88+F89-G89</f>
        <v>-5349642.8158731144</v>
      </c>
      <c r="I89" s="190">
        <f t="shared" ref="I89:I111" si="12">E89-H89</f>
        <v>88177665.407592699</v>
      </c>
      <c r="J89" s="177">
        <f t="shared" si="11"/>
        <v>301</v>
      </c>
    </row>
    <row r="90" spans="1:10">
      <c r="A90" s="177">
        <f t="shared" si="6"/>
        <v>302</v>
      </c>
      <c r="B90" s="175" t="str">
        <f t="shared" si="10"/>
        <v>March</v>
      </c>
      <c r="C90" s="152">
        <f>'1-BaseTRR'!$G$2+1</f>
        <v>2021</v>
      </c>
      <c r="D90" s="502">
        <v>71408344.463817284</v>
      </c>
      <c r="E90" s="190">
        <f t="shared" ref="E90:E111" si="13">E89+D90</f>
        <v>154236367.05553687</v>
      </c>
      <c r="F90" s="190">
        <f>E90*'12-DepRates'!$N$21/12</f>
        <v>367843.39381217514</v>
      </c>
      <c r="G90" s="502">
        <v>3952315.4867694927</v>
      </c>
      <c r="H90" s="190">
        <f t="shared" ref="H90:H111" si="14">H89+F90-G90</f>
        <v>-8934114.9088304322</v>
      </c>
      <c r="I90" s="190">
        <f t="shared" si="12"/>
        <v>163170481.9643673</v>
      </c>
      <c r="J90" s="177">
        <f t="shared" si="11"/>
        <v>302</v>
      </c>
    </row>
    <row r="91" spans="1:10">
      <c r="A91" s="177">
        <f t="shared" si="6"/>
        <v>303</v>
      </c>
      <c r="B91" s="175" t="str">
        <f t="shared" si="10"/>
        <v>April</v>
      </c>
      <c r="C91" s="152">
        <f>'1-BaseTRR'!$G$2+1</f>
        <v>2021</v>
      </c>
      <c r="D91" s="502">
        <v>41809756.782417014</v>
      </c>
      <c r="E91" s="190">
        <f t="shared" si="13"/>
        <v>196046123.83795387</v>
      </c>
      <c r="F91" s="190">
        <f>E91*'12-DepRates'!$N$21/12</f>
        <v>467556.86037592078</v>
      </c>
      <c r="G91" s="502">
        <v>3371384.6784528103</v>
      </c>
      <c r="H91" s="190">
        <f t="shared" si="14"/>
        <v>-11837942.726907322</v>
      </c>
      <c r="I91" s="190">
        <f t="shared" si="12"/>
        <v>207884066.56486118</v>
      </c>
      <c r="J91" s="177">
        <f t="shared" si="11"/>
        <v>303</v>
      </c>
    </row>
    <row r="92" spans="1:10">
      <c r="A92" s="177">
        <f t="shared" si="6"/>
        <v>304</v>
      </c>
      <c r="B92" s="175" t="str">
        <f t="shared" si="10"/>
        <v>May</v>
      </c>
      <c r="C92" s="152">
        <f>'1-BaseTRR'!$G$2+1</f>
        <v>2021</v>
      </c>
      <c r="D92" s="502">
        <v>134259556.17138726</v>
      </c>
      <c r="E92" s="190">
        <f t="shared" si="13"/>
        <v>330305680.00934112</v>
      </c>
      <c r="F92" s="190">
        <f>E92*'12-DepRates'!$N$21/12</f>
        <v>787756.89968322974</v>
      </c>
      <c r="G92" s="502">
        <v>2403773.9517525388</v>
      </c>
      <c r="H92" s="190">
        <f t="shared" si="14"/>
        <v>-13453959.77897663</v>
      </c>
      <c r="I92" s="190">
        <f t="shared" si="12"/>
        <v>343759639.78831774</v>
      </c>
      <c r="J92" s="177">
        <f t="shared" si="11"/>
        <v>304</v>
      </c>
    </row>
    <row r="93" spans="1:10">
      <c r="A93" s="177">
        <f t="shared" si="6"/>
        <v>305</v>
      </c>
      <c r="B93" s="175" t="str">
        <f t="shared" si="10"/>
        <v xml:space="preserve">June </v>
      </c>
      <c r="C93" s="152">
        <f>'1-BaseTRR'!$G$2+1</f>
        <v>2021</v>
      </c>
      <c r="D93" s="502">
        <v>50068428.149156168</v>
      </c>
      <c r="E93" s="190">
        <f t="shared" si="13"/>
        <v>380374108.15849727</v>
      </c>
      <c r="F93" s="190">
        <f>E93*'12-DepRates'!$N$21/12</f>
        <v>907166.74370915268</v>
      </c>
      <c r="G93" s="502">
        <v>3709260.0387159605</v>
      </c>
      <c r="H93" s="190">
        <f t="shared" si="14"/>
        <v>-16256053.073983438</v>
      </c>
      <c r="I93" s="190">
        <f t="shared" si="12"/>
        <v>396630161.2324807</v>
      </c>
      <c r="J93" s="177">
        <f t="shared" si="11"/>
        <v>305</v>
      </c>
    </row>
    <row r="94" spans="1:10">
      <c r="A94" s="177">
        <f t="shared" si="6"/>
        <v>306</v>
      </c>
      <c r="B94" s="175" t="str">
        <f t="shared" si="10"/>
        <v>July</v>
      </c>
      <c r="C94" s="152">
        <f>'1-BaseTRR'!$G$2+1</f>
        <v>2021</v>
      </c>
      <c r="D94" s="502">
        <v>15200753.666256592</v>
      </c>
      <c r="E94" s="190">
        <f t="shared" si="13"/>
        <v>395574861.82475388</v>
      </c>
      <c r="F94" s="190">
        <f>E94*'12-DepRates'!$N$21/12</f>
        <v>943419.521986051</v>
      </c>
      <c r="G94" s="502">
        <v>2777925.0672308351</v>
      </c>
      <c r="H94" s="190">
        <f t="shared" si="14"/>
        <v>-18090558.619228221</v>
      </c>
      <c r="I94" s="190">
        <f t="shared" si="12"/>
        <v>413665420.44398212</v>
      </c>
      <c r="J94" s="177">
        <f t="shared" si="11"/>
        <v>306</v>
      </c>
    </row>
    <row r="95" spans="1:10">
      <c r="A95" s="177">
        <f t="shared" si="6"/>
        <v>307</v>
      </c>
      <c r="B95" s="175" t="str">
        <f t="shared" si="10"/>
        <v>August</v>
      </c>
      <c r="C95" s="152">
        <f>'1-BaseTRR'!$G$2+1</f>
        <v>2021</v>
      </c>
      <c r="D95" s="502">
        <v>33879599.900802389</v>
      </c>
      <c r="E95" s="190">
        <f t="shared" si="13"/>
        <v>429454461.72555625</v>
      </c>
      <c r="F95" s="190">
        <f>E95*'12-DepRates'!$N$21/12</f>
        <v>1024220.0961076029</v>
      </c>
      <c r="G95" s="502">
        <v>4340072.0934886644</v>
      </c>
      <c r="H95" s="190">
        <f t="shared" si="14"/>
        <v>-21406410.616609283</v>
      </c>
      <c r="I95" s="190">
        <f t="shared" si="12"/>
        <v>450860872.34216553</v>
      </c>
      <c r="J95" s="177">
        <f t="shared" si="11"/>
        <v>307</v>
      </c>
    </row>
    <row r="96" spans="1:10">
      <c r="A96" s="177">
        <f t="shared" si="6"/>
        <v>308</v>
      </c>
      <c r="B96" s="175" t="str">
        <f t="shared" si="10"/>
        <v>September</v>
      </c>
      <c r="C96" s="152">
        <f>'1-BaseTRR'!$G$2+1</f>
        <v>2021</v>
      </c>
      <c r="D96" s="502">
        <v>59907318.391442686</v>
      </c>
      <c r="E96" s="190">
        <f t="shared" si="13"/>
        <v>489361780.11699891</v>
      </c>
      <c r="F96" s="190">
        <f>E96*'12-DepRates'!$N$21/12</f>
        <v>1167095.0336595227</v>
      </c>
      <c r="G96" s="502">
        <v>5191262.6055290969</v>
      </c>
      <c r="H96" s="190">
        <f t="shared" si="14"/>
        <v>-25430578.188478857</v>
      </c>
      <c r="I96" s="190">
        <f t="shared" si="12"/>
        <v>514792358.30547774</v>
      </c>
      <c r="J96" s="177">
        <f t="shared" si="11"/>
        <v>308</v>
      </c>
    </row>
    <row r="97" spans="1:10">
      <c r="A97" s="177">
        <f t="shared" si="6"/>
        <v>309</v>
      </c>
      <c r="B97" s="175" t="str">
        <f t="shared" si="10"/>
        <v xml:space="preserve">October </v>
      </c>
      <c r="C97" s="152">
        <f>'1-BaseTRR'!$G$2+1</f>
        <v>2021</v>
      </c>
      <c r="D97" s="502">
        <v>50456200.89826268</v>
      </c>
      <c r="E97" s="190">
        <f t="shared" si="13"/>
        <v>539817981.01526165</v>
      </c>
      <c r="F97" s="190">
        <f>E97*'12-DepRates'!$N$21/12</f>
        <v>1287429.6896917338</v>
      </c>
      <c r="G97" s="502">
        <v>9034594.3858960792</v>
      </c>
      <c r="H97" s="190">
        <f t="shared" si="14"/>
        <v>-33177742.884683203</v>
      </c>
      <c r="I97" s="190">
        <f t="shared" si="12"/>
        <v>572995723.8999449</v>
      </c>
      <c r="J97" s="177">
        <f t="shared" si="11"/>
        <v>309</v>
      </c>
    </row>
    <row r="98" spans="1:10">
      <c r="A98" s="177">
        <f t="shared" si="6"/>
        <v>310</v>
      </c>
      <c r="B98" s="175" t="str">
        <f t="shared" si="10"/>
        <v>November</v>
      </c>
      <c r="C98" s="152">
        <f>'1-BaseTRR'!$G$2+1</f>
        <v>2021</v>
      </c>
      <c r="D98" s="502">
        <v>59080056.17041029</v>
      </c>
      <c r="E98" s="190">
        <f t="shared" si="13"/>
        <v>598898037.18567193</v>
      </c>
      <c r="F98" s="190">
        <f>E98*'12-DepRates'!$N$21/12</f>
        <v>1428331.6623147819</v>
      </c>
      <c r="G98" s="502">
        <v>6630433.3577753641</v>
      </c>
      <c r="H98" s="190">
        <f t="shared" si="14"/>
        <v>-38379844.58014378</v>
      </c>
      <c r="I98" s="190">
        <f t="shared" si="12"/>
        <v>637277881.76581573</v>
      </c>
      <c r="J98" s="177">
        <f t="shared" si="11"/>
        <v>310</v>
      </c>
    </row>
    <row r="99" spans="1:10">
      <c r="A99" s="177">
        <f t="shared" si="6"/>
        <v>311</v>
      </c>
      <c r="B99" s="175" t="str">
        <f t="shared" si="10"/>
        <v>December</v>
      </c>
      <c r="C99" s="152">
        <f>'1-BaseTRR'!$G$2+1</f>
        <v>2021</v>
      </c>
      <c r="D99" s="502">
        <v>120253664.82690981</v>
      </c>
      <c r="E99" s="190">
        <f t="shared" si="13"/>
        <v>719151702.01258171</v>
      </c>
      <c r="F99" s="190">
        <f>E99*'12-DepRates'!$N$21/12</f>
        <v>1715128.5898665991</v>
      </c>
      <c r="G99" s="502">
        <v>6139039.6465514619</v>
      </c>
      <c r="H99" s="190">
        <f t="shared" si="14"/>
        <v>-42803755.636828639</v>
      </c>
      <c r="I99" s="190">
        <f t="shared" si="12"/>
        <v>761955457.64941037</v>
      </c>
      <c r="J99" s="177">
        <f t="shared" si="11"/>
        <v>311</v>
      </c>
    </row>
    <row r="100" spans="1:10">
      <c r="A100" s="177">
        <f t="shared" si="6"/>
        <v>312</v>
      </c>
      <c r="B100" s="175" t="str">
        <f t="shared" si="10"/>
        <v>January</v>
      </c>
      <c r="C100" s="152">
        <f>'1-BaseTRR'!$G$1</f>
        <v>2022</v>
      </c>
      <c r="D100" s="502">
        <v>92176554.743022889</v>
      </c>
      <c r="E100" s="190">
        <f t="shared" si="13"/>
        <v>811328256.75560462</v>
      </c>
      <c r="F100" s="190">
        <f>E100*'12-DepRates'!$N$21/12</f>
        <v>1934963.4924507497</v>
      </c>
      <c r="G100" s="502">
        <v>3713600.2792792041</v>
      </c>
      <c r="H100" s="190">
        <f t="shared" si="14"/>
        <v>-44582392.423657089</v>
      </c>
      <c r="I100" s="190">
        <f t="shared" si="12"/>
        <v>855910649.17926168</v>
      </c>
      <c r="J100" s="177">
        <f t="shared" si="11"/>
        <v>312</v>
      </c>
    </row>
    <row r="101" spans="1:10">
      <c r="A101" s="177">
        <f t="shared" si="6"/>
        <v>313</v>
      </c>
      <c r="B101" s="175" t="str">
        <f t="shared" si="10"/>
        <v>February</v>
      </c>
      <c r="C101" s="179">
        <f>'1-BaseTRR'!$G$1</f>
        <v>2022</v>
      </c>
      <c r="D101" s="502">
        <v>71850469.334425747</v>
      </c>
      <c r="E101" s="190">
        <f t="shared" si="13"/>
        <v>883178726.09003043</v>
      </c>
      <c r="F101" s="190">
        <f>E101*'12-DepRates'!$N$21/12</f>
        <v>2106322.0442082356</v>
      </c>
      <c r="G101" s="502">
        <v>3027369.2345694285</v>
      </c>
      <c r="H101" s="190">
        <f t="shared" si="14"/>
        <v>-45503439.614018284</v>
      </c>
      <c r="I101" s="190">
        <f t="shared" si="12"/>
        <v>928682165.70404875</v>
      </c>
      <c r="J101" s="177">
        <f t="shared" si="11"/>
        <v>313</v>
      </c>
    </row>
    <row r="102" spans="1:10">
      <c r="A102" s="177">
        <f t="shared" si="6"/>
        <v>314</v>
      </c>
      <c r="B102" s="175" t="str">
        <f t="shared" si="10"/>
        <v>March</v>
      </c>
      <c r="C102" s="179">
        <f>'1-BaseTRR'!$G$1</f>
        <v>2022</v>
      </c>
      <c r="D102" s="502">
        <v>61765059.521269657</v>
      </c>
      <c r="E102" s="190">
        <f t="shared" si="13"/>
        <v>944943785.61130011</v>
      </c>
      <c r="F102" s="190">
        <f>E102*'12-DepRates'!$N$21/12</f>
        <v>2253627.5697924448</v>
      </c>
      <c r="G102" s="502">
        <v>3874180.1775749782</v>
      </c>
      <c r="H102" s="190">
        <f t="shared" si="14"/>
        <v>-47123992.221800819</v>
      </c>
      <c r="I102" s="190">
        <f t="shared" si="12"/>
        <v>992067777.83310091</v>
      </c>
      <c r="J102" s="177">
        <f t="shared" si="11"/>
        <v>314</v>
      </c>
    </row>
    <row r="103" spans="1:10">
      <c r="A103" s="177">
        <f t="shared" si="6"/>
        <v>315</v>
      </c>
      <c r="B103" s="175" t="str">
        <f t="shared" si="10"/>
        <v>April</v>
      </c>
      <c r="C103" s="179">
        <f>'1-BaseTRR'!$G$1</f>
        <v>2022</v>
      </c>
      <c r="D103" s="502">
        <v>85221709.684406891</v>
      </c>
      <c r="E103" s="190">
        <f t="shared" si="13"/>
        <v>1030165495.295707</v>
      </c>
      <c r="F103" s="190">
        <f>E103*'12-DepRates'!$N$21/12</f>
        <v>2456875.6332371733</v>
      </c>
      <c r="G103" s="502">
        <v>4593460.6942488775</v>
      </c>
      <c r="H103" s="190">
        <f t="shared" si="14"/>
        <v>-49260577.282812521</v>
      </c>
      <c r="I103" s="190">
        <f t="shared" si="12"/>
        <v>1079426072.5785196</v>
      </c>
      <c r="J103" s="177">
        <f t="shared" si="11"/>
        <v>315</v>
      </c>
    </row>
    <row r="104" spans="1:10">
      <c r="A104" s="177">
        <f t="shared" si="6"/>
        <v>316</v>
      </c>
      <c r="B104" s="175" t="str">
        <f t="shared" si="10"/>
        <v>May</v>
      </c>
      <c r="C104" s="179">
        <f>'1-BaseTRR'!$G$1</f>
        <v>2022</v>
      </c>
      <c r="D104" s="502">
        <v>62259048.754571982</v>
      </c>
      <c r="E104" s="190">
        <f t="shared" si="13"/>
        <v>1092424544.0502789</v>
      </c>
      <c r="F104" s="190">
        <f>E104*'12-DepRates'!$N$21/12</f>
        <v>2605359.2900206153</v>
      </c>
      <c r="G104" s="502">
        <v>6101211.5630775541</v>
      </c>
      <c r="H104" s="190">
        <f t="shared" si="14"/>
        <v>-52756429.55586946</v>
      </c>
      <c r="I104" s="190">
        <f t="shared" si="12"/>
        <v>1145180973.6061482</v>
      </c>
      <c r="J104" s="177">
        <f t="shared" si="11"/>
        <v>316</v>
      </c>
    </row>
    <row r="105" spans="1:10">
      <c r="A105" s="177">
        <f t="shared" si="6"/>
        <v>317</v>
      </c>
      <c r="B105" s="175" t="str">
        <f t="shared" si="10"/>
        <v xml:space="preserve">June </v>
      </c>
      <c r="C105" s="179">
        <f>'1-BaseTRR'!$G$1</f>
        <v>2022</v>
      </c>
      <c r="D105" s="502">
        <v>55435521.719066508</v>
      </c>
      <c r="E105" s="190">
        <f t="shared" si="13"/>
        <v>1147860065.7693455</v>
      </c>
      <c r="F105" s="190">
        <f>E105*'12-DepRates'!$N$21/12</f>
        <v>2737569.2923448239</v>
      </c>
      <c r="G105" s="502">
        <v>4937655.1297775451</v>
      </c>
      <c r="H105" s="190">
        <f t="shared" si="14"/>
        <v>-54956515.39330218</v>
      </c>
      <c r="I105" s="190">
        <f t="shared" si="12"/>
        <v>1202816581.1626477</v>
      </c>
      <c r="J105" s="177">
        <f t="shared" si="11"/>
        <v>317</v>
      </c>
    </row>
    <row r="106" spans="1:10">
      <c r="A106" s="177">
        <f t="shared" si="6"/>
        <v>318</v>
      </c>
      <c r="B106" s="175" t="str">
        <f t="shared" si="10"/>
        <v>July</v>
      </c>
      <c r="C106" s="179">
        <f>'1-BaseTRR'!$G$1</f>
        <v>2022</v>
      </c>
      <c r="D106" s="502">
        <v>47577239.527788088</v>
      </c>
      <c r="E106" s="190">
        <f t="shared" si="13"/>
        <v>1195437305.2971337</v>
      </c>
      <c r="F106" s="190">
        <f>E106*'12-DepRates'!$N$21/12</f>
        <v>2851037.8185440614</v>
      </c>
      <c r="G106" s="502">
        <v>3703860.8315881081</v>
      </c>
      <c r="H106" s="190">
        <f t="shared" si="14"/>
        <v>-55809338.406346232</v>
      </c>
      <c r="I106" s="190">
        <f t="shared" si="12"/>
        <v>1251246643.70348</v>
      </c>
      <c r="J106" s="177">
        <f t="shared" si="11"/>
        <v>318</v>
      </c>
    </row>
    <row r="107" spans="1:10">
      <c r="A107" s="177">
        <f t="shared" si="6"/>
        <v>319</v>
      </c>
      <c r="B107" s="175" t="str">
        <f t="shared" si="10"/>
        <v>August</v>
      </c>
      <c r="C107" s="179">
        <f>'1-BaseTRR'!$G$1</f>
        <v>2022</v>
      </c>
      <c r="D107" s="502">
        <v>44125897.500799552</v>
      </c>
      <c r="E107" s="190">
        <f t="shared" si="13"/>
        <v>1239563202.7979333</v>
      </c>
      <c r="F107" s="190">
        <f>E107*'12-DepRates'!$N$21/12</f>
        <v>2956275.1254229103</v>
      </c>
      <c r="G107" s="502">
        <v>4490550.7042580638</v>
      </c>
      <c r="H107" s="190">
        <f t="shared" si="14"/>
        <v>-57343613.985181384</v>
      </c>
      <c r="I107" s="190">
        <f t="shared" si="12"/>
        <v>1296906816.7831147</v>
      </c>
      <c r="J107" s="177">
        <f t="shared" si="11"/>
        <v>319</v>
      </c>
    </row>
    <row r="108" spans="1:10">
      <c r="A108" s="177">
        <f t="shared" si="6"/>
        <v>320</v>
      </c>
      <c r="B108" s="175" t="str">
        <f t="shared" si="10"/>
        <v>September</v>
      </c>
      <c r="C108" s="179">
        <f>'1-BaseTRR'!$G$1</f>
        <v>2022</v>
      </c>
      <c r="D108" s="502">
        <v>112356339.23963422</v>
      </c>
      <c r="E108" s="190">
        <f t="shared" si="13"/>
        <v>1351919542.0375676</v>
      </c>
      <c r="F108" s="190">
        <f>E108*'12-DepRates'!$N$21/12</f>
        <v>3224237.4609681801</v>
      </c>
      <c r="G108" s="502">
        <v>4150122.0557675562</v>
      </c>
      <c r="H108" s="190">
        <f t="shared" si="14"/>
        <v>-58269498.579980761</v>
      </c>
      <c r="I108" s="190">
        <f t="shared" si="12"/>
        <v>1410189040.6175485</v>
      </c>
      <c r="J108" s="177">
        <f t="shared" si="11"/>
        <v>320</v>
      </c>
    </row>
    <row r="109" spans="1:10">
      <c r="A109" s="177">
        <f t="shared" si="6"/>
        <v>321</v>
      </c>
      <c r="B109" s="175" t="str">
        <f t="shared" si="10"/>
        <v>October</v>
      </c>
      <c r="C109" s="179">
        <f>'1-BaseTRR'!$G$1</f>
        <v>2022</v>
      </c>
      <c r="D109" s="502">
        <v>68353038.469622061</v>
      </c>
      <c r="E109" s="190">
        <f t="shared" si="13"/>
        <v>1420272580.5071898</v>
      </c>
      <c r="F109" s="190">
        <f>E109*'12-DepRates'!$N$21/12</f>
        <v>3387254.8746173647</v>
      </c>
      <c r="G109" s="502">
        <v>4305892.1219879985</v>
      </c>
      <c r="H109" s="190">
        <f t="shared" si="14"/>
        <v>-59188135.827351391</v>
      </c>
      <c r="I109" s="190">
        <f t="shared" si="12"/>
        <v>1479460716.3345411</v>
      </c>
      <c r="J109" s="177">
        <f t="shared" si="11"/>
        <v>321</v>
      </c>
    </row>
    <row r="110" spans="1:10">
      <c r="A110" s="177">
        <f t="shared" si="6"/>
        <v>322</v>
      </c>
      <c r="B110" s="175" t="str">
        <f t="shared" si="10"/>
        <v>November</v>
      </c>
      <c r="C110" s="179">
        <f>'1-BaseTRR'!$G$1</f>
        <v>2022</v>
      </c>
      <c r="D110" s="502">
        <v>106244925.99074095</v>
      </c>
      <c r="E110" s="190">
        <f t="shared" si="13"/>
        <v>1526517506.4979308</v>
      </c>
      <c r="F110" s="190">
        <f>E110*'12-DepRates'!$N$21/12</f>
        <v>3640641.8993369322</v>
      </c>
      <c r="G110" s="502">
        <v>3111580.4883935777</v>
      </c>
      <c r="H110" s="190">
        <f t="shared" si="14"/>
        <v>-58659074.416408032</v>
      </c>
      <c r="I110" s="190">
        <f t="shared" si="12"/>
        <v>1585176580.9143388</v>
      </c>
      <c r="J110" s="177">
        <f t="shared" si="11"/>
        <v>322</v>
      </c>
    </row>
    <row r="111" spans="1:10">
      <c r="A111" s="177">
        <f t="shared" si="6"/>
        <v>323</v>
      </c>
      <c r="B111" s="184" t="str">
        <f t="shared" si="10"/>
        <v>December</v>
      </c>
      <c r="C111" s="181">
        <f>'1-BaseTRR'!$G$1</f>
        <v>2022</v>
      </c>
      <c r="D111" s="506">
        <v>133386345.86063498</v>
      </c>
      <c r="E111" s="501">
        <f t="shared" si="13"/>
        <v>1659903852.3585658</v>
      </c>
      <c r="F111" s="501">
        <f>E111*'12-DepRates'!$N$21/12</f>
        <v>3958759.3906022268</v>
      </c>
      <c r="G111" s="506">
        <v>2602757.4259812897</v>
      </c>
      <c r="H111" s="501">
        <f t="shared" si="14"/>
        <v>-57303072.451787099</v>
      </c>
      <c r="I111" s="501">
        <f t="shared" si="12"/>
        <v>1717206924.8103528</v>
      </c>
      <c r="J111" s="177">
        <f t="shared" si="11"/>
        <v>323</v>
      </c>
    </row>
    <row r="112" spans="1:10">
      <c r="A112" s="177">
        <f t="shared" si="6"/>
        <v>324</v>
      </c>
      <c r="B112" s="171"/>
      <c r="C112" s="177" t="s">
        <v>905</v>
      </c>
      <c r="D112" s="190"/>
      <c r="E112" s="191">
        <f>SUM(E99:E111)/13</f>
        <v>1155589735.7754743</v>
      </c>
      <c r="F112" s="190"/>
      <c r="G112" s="190"/>
      <c r="H112" s="190"/>
      <c r="I112" s="191">
        <f>SUM(I99:I111)/13</f>
        <v>1208171261.6058855</v>
      </c>
      <c r="J112" s="177">
        <f t="shared" si="11"/>
        <v>324</v>
      </c>
    </row>
    <row r="113" spans="1:10">
      <c r="A113" s="177"/>
      <c r="D113" s="187"/>
      <c r="F113" s="178"/>
      <c r="I113" s="178"/>
      <c r="J113" s="177"/>
    </row>
    <row r="114" spans="1:10">
      <c r="A114" s="177"/>
      <c r="J114" s="177"/>
    </row>
    <row r="115" spans="1:10">
      <c r="A115" s="177"/>
      <c r="B115" s="16" t="s">
        <v>304</v>
      </c>
      <c r="J115" s="177"/>
    </row>
    <row r="116" spans="1:10">
      <c r="A116" s="177"/>
      <c r="B116" s="605" t="s">
        <v>908</v>
      </c>
      <c r="C116" s="605"/>
      <c r="D116" s="605"/>
      <c r="E116" s="605"/>
      <c r="F116" s="605"/>
      <c r="G116" s="605"/>
      <c r="H116" s="605"/>
      <c r="J116" s="177"/>
    </row>
    <row r="117" spans="1:10">
      <c r="A117" s="177"/>
      <c r="B117" s="605" t="s">
        <v>909</v>
      </c>
      <c r="C117" s="605"/>
      <c r="D117" s="605"/>
      <c r="E117" s="605"/>
      <c r="F117" s="605"/>
      <c r="G117" s="605"/>
      <c r="H117" s="605"/>
      <c r="J117" s="177"/>
    </row>
    <row r="118" spans="1:10">
      <c r="A118" s="177"/>
      <c r="B118" s="605" t="s">
        <v>745</v>
      </c>
      <c r="C118" s="605"/>
      <c r="D118" s="605"/>
      <c r="E118" s="605"/>
      <c r="F118" s="605"/>
      <c r="G118" s="605"/>
      <c r="H118" s="605"/>
      <c r="J118" s="177"/>
    </row>
    <row r="119" spans="1:10">
      <c r="A119" s="177"/>
      <c r="C119" s="190"/>
      <c r="D119" s="190"/>
      <c r="E119" s="27"/>
      <c r="J119" s="177"/>
    </row>
    <row r="120" spans="1:10">
      <c r="A120" s="177"/>
      <c r="B120" s="190"/>
      <c r="C120" s="190"/>
      <c r="D120" s="190"/>
      <c r="E120" s="27"/>
      <c r="J120" s="177"/>
    </row>
    <row r="121" spans="1:10">
      <c r="A121" s="177"/>
      <c r="B121" s="190"/>
      <c r="C121" s="190"/>
      <c r="D121" s="190"/>
      <c r="E121" s="27"/>
      <c r="H121" s="190"/>
      <c r="J121" s="177"/>
    </row>
    <row r="122" spans="1:10">
      <c r="A122" s="177"/>
      <c r="B122" s="190"/>
      <c r="C122" s="190"/>
      <c r="D122" s="190"/>
      <c r="E122" s="27"/>
      <c r="J122" s="177"/>
    </row>
    <row r="123" spans="1:10">
      <c r="A123" s="177"/>
      <c r="B123" s="190"/>
      <c r="C123" s="190"/>
      <c r="D123" s="190"/>
      <c r="E123" s="27"/>
      <c r="J123" s="177"/>
    </row>
    <row r="124" spans="1:10">
      <c r="A124" s="177"/>
      <c r="B124" s="190"/>
      <c r="C124" s="190"/>
      <c r="D124" s="190"/>
      <c r="E124" s="27"/>
      <c r="J124" s="177"/>
    </row>
    <row r="125" spans="1:10">
      <c r="A125" s="177"/>
      <c r="B125" s="190"/>
      <c r="C125" s="190"/>
      <c r="D125" s="190"/>
      <c r="E125" s="27"/>
      <c r="J125" s="177"/>
    </row>
    <row r="126" spans="1:10">
      <c r="A126" s="177"/>
      <c r="B126" s="190"/>
      <c r="C126" s="190"/>
      <c r="D126" s="190"/>
      <c r="E126" s="27"/>
      <c r="J126" s="177"/>
    </row>
    <row r="127" spans="1:10">
      <c r="A127" s="177"/>
      <c r="B127" s="191"/>
      <c r="C127" s="191"/>
      <c r="D127" s="191"/>
      <c r="E127" s="192"/>
      <c r="J127" s="177"/>
    </row>
    <row r="128" spans="1:10">
      <c r="A128" s="177"/>
      <c r="B128" s="189"/>
      <c r="J128" s="177"/>
    </row>
  </sheetData>
  <mergeCells count="3">
    <mergeCell ref="B13:C13"/>
    <mergeCell ref="B50:C50"/>
    <mergeCell ref="B86:C86"/>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6" max="16383" man="1"/>
  </row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42"/>
  <sheetViews>
    <sheetView view="pageBreakPreview" topLeftCell="A19" zoomScale="60" workbookViewId="0">
      <selection activeCell="E21" sqref="E21"/>
    </sheetView>
  </sheetViews>
  <sheetFormatPr defaultRowHeight="14.5"/>
  <cols>
    <col min="1" max="1" width="30.26953125" bestFit="1" customWidth="1"/>
    <col min="2" max="2" width="100.54296875" bestFit="1" customWidth="1"/>
  </cols>
  <sheetData>
    <row r="1" spans="1:2">
      <c r="A1" s="797" t="s">
        <v>0</v>
      </c>
      <c r="B1" s="797"/>
    </row>
    <row r="2" spans="1:2">
      <c r="A2" s="797" t="s">
        <v>1</v>
      </c>
      <c r="B2" s="797"/>
    </row>
    <row r="3" spans="1:2">
      <c r="A3" s="797" t="s">
        <v>2</v>
      </c>
      <c r="B3" s="797"/>
    </row>
    <row r="4" spans="1:2">
      <c r="A4" s="797" t="s">
        <v>3</v>
      </c>
      <c r="B4" s="797"/>
    </row>
    <row r="6" spans="1:2">
      <c r="A6" s="797" t="s">
        <v>4</v>
      </c>
      <c r="B6" s="797"/>
    </row>
    <row r="8" spans="1:2">
      <c r="A8" s="8" t="s">
        <v>5</v>
      </c>
      <c r="B8" s="8" t="s">
        <v>6</v>
      </c>
    </row>
    <row r="9" spans="1:2">
      <c r="A9" t="s">
        <v>7</v>
      </c>
      <c r="B9" t="s">
        <v>8</v>
      </c>
    </row>
    <row r="10" spans="1:2">
      <c r="A10" t="s">
        <v>9</v>
      </c>
      <c r="B10" t="s">
        <v>10</v>
      </c>
    </row>
    <row r="11" spans="1:2">
      <c r="A11" t="s">
        <v>11</v>
      </c>
      <c r="B11" t="s">
        <v>12</v>
      </c>
    </row>
    <row r="12" spans="1:2">
      <c r="A12" t="s">
        <v>13</v>
      </c>
      <c r="B12" t="s">
        <v>14</v>
      </c>
    </row>
    <row r="13" spans="1:2">
      <c r="A13" t="s">
        <v>15</v>
      </c>
      <c r="B13" t="s">
        <v>16</v>
      </c>
    </row>
    <row r="14" spans="1:2">
      <c r="A14" t="s">
        <v>17</v>
      </c>
      <c r="B14" t="s">
        <v>18</v>
      </c>
    </row>
    <row r="15" spans="1:2">
      <c r="A15" t="s">
        <v>19</v>
      </c>
      <c r="B15" t="s">
        <v>20</v>
      </c>
    </row>
    <row r="16" spans="1:2">
      <c r="A16" t="s">
        <v>21</v>
      </c>
      <c r="B16" t="s">
        <v>22</v>
      </c>
    </row>
    <row r="17" spans="1:2">
      <c r="A17" t="s">
        <v>23</v>
      </c>
      <c r="B17" t="s">
        <v>24</v>
      </c>
    </row>
    <row r="18" spans="1:2">
      <c r="A18" t="s">
        <v>25</v>
      </c>
      <c r="B18" t="s">
        <v>26</v>
      </c>
    </row>
    <row r="19" spans="1:2">
      <c r="A19" t="s">
        <v>27</v>
      </c>
      <c r="B19" t="s">
        <v>28</v>
      </c>
    </row>
    <row r="20" spans="1:2">
      <c r="A20" t="s">
        <v>29</v>
      </c>
      <c r="B20" t="s">
        <v>30</v>
      </c>
    </row>
    <row r="21" spans="1:2">
      <c r="A21" t="s">
        <v>31</v>
      </c>
      <c r="B21" t="s">
        <v>32</v>
      </c>
    </row>
    <row r="22" spans="1:2">
      <c r="A22" t="s">
        <v>33</v>
      </c>
      <c r="B22" t="s">
        <v>34</v>
      </c>
    </row>
    <row r="23" spans="1:2">
      <c r="A23" t="s">
        <v>35</v>
      </c>
      <c r="B23" t="s">
        <v>36</v>
      </c>
    </row>
    <row r="24" spans="1:2">
      <c r="A24" t="s">
        <v>37</v>
      </c>
      <c r="B24" t="s">
        <v>38</v>
      </c>
    </row>
    <row r="25" spans="1:2">
      <c r="A25" t="s">
        <v>39</v>
      </c>
      <c r="B25" t="s">
        <v>40</v>
      </c>
    </row>
    <row r="26" spans="1:2">
      <c r="A26" t="s">
        <v>41</v>
      </c>
      <c r="B26" t="s">
        <v>42</v>
      </c>
    </row>
    <row r="27" spans="1:2">
      <c r="A27" t="s">
        <v>43</v>
      </c>
      <c r="B27" t="s">
        <v>44</v>
      </c>
    </row>
    <row r="28" spans="1:2">
      <c r="A28" t="s">
        <v>45</v>
      </c>
      <c r="B28" t="s">
        <v>46</v>
      </c>
    </row>
    <row r="29" spans="1:2">
      <c r="A29" t="s">
        <v>47</v>
      </c>
      <c r="B29" t="s">
        <v>48</v>
      </c>
    </row>
    <row r="30" spans="1:2">
      <c r="A30" t="s">
        <v>49</v>
      </c>
      <c r="B30" t="s">
        <v>50</v>
      </c>
    </row>
    <row r="31" spans="1:2">
      <c r="A31" t="s">
        <v>51</v>
      </c>
      <c r="B31" t="s">
        <v>52</v>
      </c>
    </row>
    <row r="32" spans="1:2">
      <c r="A32" t="s">
        <v>53</v>
      </c>
      <c r="B32" t="s">
        <v>54</v>
      </c>
    </row>
    <row r="33" spans="1:2">
      <c r="A33" t="s">
        <v>55</v>
      </c>
      <c r="B33" t="s">
        <v>56</v>
      </c>
    </row>
    <row r="34" spans="1:2">
      <c r="A34" t="s">
        <v>57</v>
      </c>
      <c r="B34" t="s">
        <v>58</v>
      </c>
    </row>
    <row r="35" spans="1:2">
      <c r="A35" t="s">
        <v>59</v>
      </c>
      <c r="B35" t="s">
        <v>60</v>
      </c>
    </row>
    <row r="36" spans="1:2">
      <c r="A36" t="s">
        <v>61</v>
      </c>
      <c r="B36" t="s">
        <v>62</v>
      </c>
    </row>
    <row r="37" spans="1:2">
      <c r="A37" t="s">
        <v>63</v>
      </c>
      <c r="B37" t="s">
        <v>64</v>
      </c>
    </row>
    <row r="38" spans="1:2">
      <c r="A38" t="s">
        <v>65</v>
      </c>
      <c r="B38" t="s">
        <v>66</v>
      </c>
    </row>
    <row r="39" spans="1:2">
      <c r="A39" t="s">
        <v>67</v>
      </c>
      <c r="B39" t="s">
        <v>68</v>
      </c>
    </row>
    <row r="40" spans="1:2">
      <c r="A40" t="s">
        <v>69</v>
      </c>
      <c r="B40" t="s">
        <v>70</v>
      </c>
    </row>
    <row r="41" spans="1:2">
      <c r="A41" t="s">
        <v>71</v>
      </c>
      <c r="B41" t="s">
        <v>72</v>
      </c>
    </row>
    <row r="42" spans="1:2">
      <c r="A42" t="s">
        <v>73</v>
      </c>
      <c r="B42" t="s">
        <v>74</v>
      </c>
    </row>
  </sheetData>
  <mergeCells count="5">
    <mergeCell ref="A6:B6"/>
    <mergeCell ref="A1:B1"/>
    <mergeCell ref="A2:B2"/>
    <mergeCell ref="A3:B3"/>
    <mergeCell ref="A4:B4"/>
  </mergeCells>
  <printOptions horizontalCentered="1"/>
  <pageMargins left="1" right="1" top="1" bottom="1" header="0.5" footer="0.5"/>
  <pageSetup scale="88" fitToHeight="0"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tabSelected="1" view="pageBreakPreview" topLeftCell="G118" zoomScale="90" zoomScaleNormal="75" zoomScaleSheetLayoutView="90" zoomScalePageLayoutView="55" workbookViewId="0">
      <selection activeCell="E21" sqref="E21"/>
    </sheetView>
  </sheetViews>
  <sheetFormatPr defaultColWidth="8.81640625" defaultRowHeight="14.5"/>
  <cols>
    <col min="1" max="1" width="6.7265625" bestFit="1" customWidth="1"/>
    <col min="2" max="3" width="10.54296875" customWidth="1"/>
    <col min="4" max="4" width="18.81640625" customWidth="1"/>
    <col min="5" max="5" width="18" customWidth="1"/>
    <col min="6" max="6" width="18.26953125" customWidth="1"/>
    <col min="7" max="7" width="16.7265625" customWidth="1"/>
    <col min="8" max="8" width="19" customWidth="1"/>
    <col min="9" max="9" width="16.7265625" customWidth="1"/>
    <col min="10" max="11" width="18.1796875" customWidth="1"/>
    <col min="12" max="12" width="18" customWidth="1"/>
    <col min="13" max="15" width="16.7265625" customWidth="1"/>
    <col min="16" max="16" width="21.54296875" bestFit="1" customWidth="1"/>
    <col min="17" max="17" width="18.81640625" customWidth="1"/>
    <col min="18" max="18" width="6.7265625" bestFit="1" customWidth="1"/>
    <col min="19" max="19" width="8.81640625" customWidth="1"/>
  </cols>
  <sheetData>
    <row r="1" spans="1:18">
      <c r="B1" s="12" t="s">
        <v>32</v>
      </c>
      <c r="H1" s="135"/>
      <c r="J1" s="17"/>
      <c r="O1" s="8"/>
      <c r="P1" s="15" t="str">
        <f>CONCATENATE("Prior Year: ",'1-BaseTRR'!$G$2)</f>
        <v>Prior Year: 2020</v>
      </c>
    </row>
    <row r="2" spans="1:18">
      <c r="B2" s="113" t="s">
        <v>130</v>
      </c>
      <c r="C2" s="49"/>
      <c r="D2" s="113"/>
      <c r="J2" s="17"/>
      <c r="O2" s="15"/>
      <c r="P2" s="15"/>
      <c r="Q2" s="15"/>
    </row>
    <row r="3" spans="1:18">
      <c r="B3" s="200"/>
    </row>
    <row r="4" spans="1:18">
      <c r="B4" s="200"/>
    </row>
    <row r="5" spans="1:18">
      <c r="B5" s="52" t="s">
        <v>910</v>
      </c>
      <c r="C5" s="52"/>
      <c r="D5" s="219"/>
      <c r="E5" s="219"/>
      <c r="F5" s="219"/>
      <c r="G5" s="219"/>
      <c r="H5" s="219"/>
      <c r="I5" s="219"/>
      <c r="J5" s="219"/>
      <c r="K5" s="219"/>
      <c r="L5" s="219"/>
      <c r="M5" s="219"/>
      <c r="N5" s="219"/>
      <c r="O5" s="219"/>
      <c r="P5" s="219"/>
      <c r="Q5" s="219"/>
    </row>
    <row r="6" spans="1:18">
      <c r="B6" s="145" t="s">
        <v>911</v>
      </c>
    </row>
    <row r="7" spans="1:18">
      <c r="B7" s="145" t="s">
        <v>912</v>
      </c>
    </row>
    <row r="9" spans="1:18">
      <c r="A9" s="12"/>
      <c r="D9" s="147" t="s">
        <v>413</v>
      </c>
      <c r="E9" s="147" t="s">
        <v>414</v>
      </c>
      <c r="F9" s="147" t="s">
        <v>415</v>
      </c>
      <c r="G9" s="147" t="s">
        <v>416</v>
      </c>
      <c r="H9" s="147" t="s">
        <v>417</v>
      </c>
      <c r="I9" s="147" t="s">
        <v>418</v>
      </c>
      <c r="J9" s="147" t="s">
        <v>419</v>
      </c>
      <c r="K9" s="147" t="s">
        <v>420</v>
      </c>
      <c r="L9" s="147" t="s">
        <v>451</v>
      </c>
      <c r="M9" s="147" t="s">
        <v>586</v>
      </c>
      <c r="N9" s="147" t="s">
        <v>587</v>
      </c>
      <c r="O9" s="147" t="s">
        <v>588</v>
      </c>
      <c r="P9" s="147" t="s">
        <v>589</v>
      </c>
      <c r="Q9" s="147"/>
      <c r="R9" s="379"/>
    </row>
    <row r="10" spans="1:18" ht="29">
      <c r="A10" s="12"/>
      <c r="D10" s="148" t="s">
        <v>748</v>
      </c>
      <c r="E10" s="148" t="s">
        <v>748</v>
      </c>
      <c r="F10" s="148" t="s">
        <v>748</v>
      </c>
      <c r="G10" s="148" t="s">
        <v>748</v>
      </c>
      <c r="H10" s="148" t="s">
        <v>748</v>
      </c>
      <c r="I10" s="148" t="s">
        <v>748</v>
      </c>
      <c r="J10" s="148" t="s">
        <v>748</v>
      </c>
      <c r="K10" s="148" t="s">
        <v>748</v>
      </c>
      <c r="L10" s="148" t="s">
        <v>748</v>
      </c>
      <c r="M10" s="148" t="s">
        <v>748</v>
      </c>
      <c r="N10" s="148" t="s">
        <v>748</v>
      </c>
      <c r="O10" s="148" t="s">
        <v>748</v>
      </c>
      <c r="P10" s="149" t="s">
        <v>749</v>
      </c>
      <c r="Q10" s="149"/>
      <c r="R10" s="379"/>
    </row>
    <row r="11" spans="1:18">
      <c r="B11" s="8"/>
      <c r="C11" s="8"/>
      <c r="N11" s="35"/>
      <c r="P11" s="35"/>
      <c r="Q11" s="35"/>
      <c r="R11" s="379"/>
    </row>
    <row r="12" spans="1:18">
      <c r="A12" s="409"/>
      <c r="B12" s="379"/>
      <c r="C12" s="151" t="s">
        <v>750</v>
      </c>
      <c r="D12" s="116">
        <v>350.01</v>
      </c>
      <c r="E12" s="116">
        <v>350.02</v>
      </c>
      <c r="F12" s="116">
        <v>352.01</v>
      </c>
      <c r="G12" s="116">
        <v>352.02</v>
      </c>
      <c r="H12" s="116">
        <v>353.01</v>
      </c>
      <c r="I12" s="116">
        <v>353.02</v>
      </c>
      <c r="J12" s="116">
        <v>354</v>
      </c>
      <c r="K12" s="116">
        <v>355</v>
      </c>
      <c r="L12" s="116">
        <v>356</v>
      </c>
      <c r="M12" s="116">
        <v>357</v>
      </c>
      <c r="N12" s="116">
        <v>358</v>
      </c>
      <c r="O12" s="116">
        <v>359</v>
      </c>
      <c r="R12" s="379"/>
    </row>
    <row r="13" spans="1:18">
      <c r="A13" s="144" t="s">
        <v>99</v>
      </c>
      <c r="B13" s="144" t="s">
        <v>426</v>
      </c>
      <c r="C13" s="144" t="s">
        <v>462</v>
      </c>
      <c r="D13" s="147" t="s">
        <v>751</v>
      </c>
      <c r="E13" s="147" t="s">
        <v>752</v>
      </c>
      <c r="F13" s="147" t="s">
        <v>753</v>
      </c>
      <c r="G13" s="147" t="s">
        <v>754</v>
      </c>
      <c r="H13" s="147" t="s">
        <v>755</v>
      </c>
      <c r="I13" s="147" t="s">
        <v>756</v>
      </c>
      <c r="J13" s="147" t="s">
        <v>757</v>
      </c>
      <c r="K13" s="147" t="s">
        <v>758</v>
      </c>
      <c r="L13" s="147" t="s">
        <v>759</v>
      </c>
      <c r="M13" s="147" t="s">
        <v>760</v>
      </c>
      <c r="N13" s="147" t="s">
        <v>761</v>
      </c>
      <c r="O13" s="147" t="s">
        <v>762</v>
      </c>
      <c r="P13" s="144" t="s">
        <v>509</v>
      </c>
      <c r="Q13" s="144" t="s">
        <v>134</v>
      </c>
      <c r="R13" s="144" t="str">
        <f>A13</f>
        <v>Line</v>
      </c>
    </row>
    <row r="14" spans="1:18">
      <c r="A14" s="379">
        <v>100</v>
      </c>
      <c r="B14" s="145" t="s">
        <v>470</v>
      </c>
      <c r="C14" s="152">
        <f>'1-BaseTRR'!$G$2-1</f>
        <v>2019</v>
      </c>
      <c r="D14" s="508">
        <f t="shared" ref="D14:O26" si="0">+D39+D64</f>
        <v>59587.198630507926</v>
      </c>
      <c r="E14" s="508">
        <f t="shared" si="0"/>
        <v>70605176.740534484</v>
      </c>
      <c r="F14" s="508">
        <f t="shared" si="0"/>
        <v>104120100.24986514</v>
      </c>
      <c r="G14" s="508">
        <f t="shared" si="0"/>
        <v>16199621.248033023</v>
      </c>
      <c r="H14" s="508">
        <f t="shared" si="0"/>
        <v>1437480694.1497979</v>
      </c>
      <c r="I14" s="508">
        <f t="shared" si="0"/>
        <v>15274110.951095983</v>
      </c>
      <c r="J14" s="508">
        <f t="shared" si="0"/>
        <v>344254565.61957085</v>
      </c>
      <c r="K14" s="508">
        <f t="shared" si="0"/>
        <v>348173188.14776868</v>
      </c>
      <c r="L14" s="508">
        <f t="shared" si="0"/>
        <v>497016745.19134212</v>
      </c>
      <c r="M14" s="508">
        <f t="shared" si="0"/>
        <v>94972369.809474736</v>
      </c>
      <c r="N14" s="508">
        <f t="shared" si="0"/>
        <v>70451887.286844358</v>
      </c>
      <c r="O14" s="508">
        <f t="shared" si="0"/>
        <v>13550235.564227901</v>
      </c>
      <c r="P14" s="30">
        <f>SUM(D14:O14)</f>
        <v>3012158282.1571856</v>
      </c>
      <c r="Q14" s="157" t="str">
        <f>"Line "&amp;A39&amp;" + Line "&amp;A64&amp;""</f>
        <v>Line 200 + Line 300</v>
      </c>
      <c r="R14" s="379">
        <f>A14</f>
        <v>100</v>
      </c>
    </row>
    <row r="15" spans="1:18">
      <c r="A15" s="379">
        <f>A14+1</f>
        <v>101</v>
      </c>
      <c r="B15" s="145" t="s">
        <v>472</v>
      </c>
      <c r="C15" s="152">
        <f>'1-BaseTRR'!$G$2</f>
        <v>2020</v>
      </c>
      <c r="D15" s="508">
        <f t="shared" si="0"/>
        <v>-6771.2919483217502</v>
      </c>
      <c r="E15" s="508">
        <f t="shared" si="0"/>
        <v>69759675.329169989</v>
      </c>
      <c r="F15" s="508">
        <f t="shared" si="0"/>
        <v>104348487.1416249</v>
      </c>
      <c r="G15" s="508">
        <f t="shared" si="0"/>
        <v>16332467.890175842</v>
      </c>
      <c r="H15" s="508">
        <f t="shared" si="0"/>
        <v>1469148560.1769476</v>
      </c>
      <c r="I15" s="508">
        <f t="shared" si="0"/>
        <v>15356365.063103054</v>
      </c>
      <c r="J15" s="508">
        <f t="shared" si="0"/>
        <v>345026226.93664527</v>
      </c>
      <c r="K15" s="508">
        <f t="shared" si="0"/>
        <v>353616888.43788242</v>
      </c>
      <c r="L15" s="508">
        <f t="shared" si="0"/>
        <v>504272405.32395953</v>
      </c>
      <c r="M15" s="508">
        <f t="shared" si="0"/>
        <v>95421488.469318435</v>
      </c>
      <c r="N15" s="508">
        <f t="shared" si="0"/>
        <v>70620402.407161221</v>
      </c>
      <c r="O15" s="508">
        <f t="shared" si="0"/>
        <v>14062891.262853079</v>
      </c>
      <c r="P15" s="30">
        <f t="shared" ref="P15:P26" si="1">SUM(D15:O15)</f>
        <v>3057959087.1468925</v>
      </c>
      <c r="Q15" s="157" t="str">
        <f t="shared" ref="Q15:Q26" si="2">"Line "&amp;A40&amp;" + Line "&amp;A65&amp;""</f>
        <v>Line 201 + Line 301</v>
      </c>
      <c r="R15" s="379">
        <f t="shared" ref="R15:R27" si="3">A15</f>
        <v>101</v>
      </c>
    </row>
    <row r="16" spans="1:18">
      <c r="A16" s="379">
        <f t="shared" ref="A16:A27" si="4">A15+1</f>
        <v>102</v>
      </c>
      <c r="B16" s="145" t="s">
        <v>473</v>
      </c>
      <c r="C16" s="152">
        <f>'1-BaseTRR'!$G$2</f>
        <v>2020</v>
      </c>
      <c r="D16" s="508">
        <f t="shared" si="0"/>
        <v>-6894.741875188708</v>
      </c>
      <c r="E16" s="508">
        <f t="shared" si="0"/>
        <v>70063569.896282867</v>
      </c>
      <c r="F16" s="508">
        <f t="shared" si="0"/>
        <v>104907278.17514688</v>
      </c>
      <c r="G16" s="508">
        <f t="shared" si="0"/>
        <v>16520509.018353045</v>
      </c>
      <c r="H16" s="508">
        <f t="shared" si="0"/>
        <v>1474991331.3760033</v>
      </c>
      <c r="I16" s="508">
        <f t="shared" si="0"/>
        <v>15411703.073071271</v>
      </c>
      <c r="J16" s="508">
        <f t="shared" si="0"/>
        <v>344348143.11650813</v>
      </c>
      <c r="K16" s="508">
        <f t="shared" si="0"/>
        <v>356196143.99144334</v>
      </c>
      <c r="L16" s="508">
        <f t="shared" si="0"/>
        <v>502623776.44575167</v>
      </c>
      <c r="M16" s="508">
        <f t="shared" si="0"/>
        <v>96064925.091223463</v>
      </c>
      <c r="N16" s="508">
        <f t="shared" si="0"/>
        <v>71004064.534995198</v>
      </c>
      <c r="O16" s="508">
        <f t="shared" si="0"/>
        <v>14258583.080794722</v>
      </c>
      <c r="P16" s="30">
        <f t="shared" si="1"/>
        <v>3066383133.0576982</v>
      </c>
      <c r="Q16" s="157" t="str">
        <f t="shared" si="2"/>
        <v>Line 202 + Line 302</v>
      </c>
      <c r="R16" s="379">
        <f t="shared" si="3"/>
        <v>102</v>
      </c>
    </row>
    <row r="17" spans="1:18">
      <c r="A17" s="379">
        <f t="shared" si="4"/>
        <v>103</v>
      </c>
      <c r="B17" s="145" t="s">
        <v>474</v>
      </c>
      <c r="C17" s="152">
        <f>'1-BaseTRR'!$G$2</f>
        <v>2020</v>
      </c>
      <c r="D17" s="508">
        <f t="shared" si="0"/>
        <v>-7037.1051126675429</v>
      </c>
      <c r="E17" s="508">
        <f t="shared" si="0"/>
        <v>70337591.564509377</v>
      </c>
      <c r="F17" s="508">
        <f t="shared" si="0"/>
        <v>105454799.47936946</v>
      </c>
      <c r="G17" s="508">
        <f t="shared" si="0"/>
        <v>16677410.99206342</v>
      </c>
      <c r="H17" s="508">
        <f t="shared" si="0"/>
        <v>1486996080.3029768</v>
      </c>
      <c r="I17" s="508">
        <f t="shared" si="0"/>
        <v>15466964.533223026</v>
      </c>
      <c r="J17" s="508">
        <f t="shared" si="0"/>
        <v>345094404.54565096</v>
      </c>
      <c r="K17" s="508">
        <f t="shared" si="0"/>
        <v>359329976.97648811</v>
      </c>
      <c r="L17" s="508">
        <f t="shared" si="0"/>
        <v>508993237.72480452</v>
      </c>
      <c r="M17" s="508">
        <f t="shared" si="0"/>
        <v>96705289.078660965</v>
      </c>
      <c r="N17" s="508">
        <f t="shared" si="0"/>
        <v>71341900.62679936</v>
      </c>
      <c r="O17" s="508">
        <f t="shared" si="0"/>
        <v>13984448.204444015</v>
      </c>
      <c r="P17" s="30">
        <f t="shared" si="1"/>
        <v>3090375066.9238772</v>
      </c>
      <c r="Q17" s="157" t="str">
        <f t="shared" si="2"/>
        <v>Line 203 + Line 303</v>
      </c>
      <c r="R17" s="379">
        <f t="shared" si="3"/>
        <v>103</v>
      </c>
    </row>
    <row r="18" spans="1:18">
      <c r="A18" s="379">
        <f t="shared" si="4"/>
        <v>104</v>
      </c>
      <c r="B18" s="145" t="s">
        <v>475</v>
      </c>
      <c r="C18" s="152">
        <f>'1-BaseTRR'!$G$2</f>
        <v>2020</v>
      </c>
      <c r="D18" s="508">
        <f t="shared" si="0"/>
        <v>-7120.4310704790305</v>
      </c>
      <c r="E18" s="508">
        <f t="shared" si="0"/>
        <v>70566496.94035852</v>
      </c>
      <c r="F18" s="508">
        <f t="shared" si="0"/>
        <v>106012932.02333874</v>
      </c>
      <c r="G18" s="508">
        <f t="shared" si="0"/>
        <v>16833860.612228584</v>
      </c>
      <c r="H18" s="508">
        <f t="shared" si="0"/>
        <v>1497720628.3566058</v>
      </c>
      <c r="I18" s="508">
        <f t="shared" si="0"/>
        <v>15521721.495804973</v>
      </c>
      <c r="J18" s="508">
        <f t="shared" si="0"/>
        <v>345953290.37310326</v>
      </c>
      <c r="K18" s="508">
        <f t="shared" si="0"/>
        <v>362558458.33157045</v>
      </c>
      <c r="L18" s="508">
        <f t="shared" si="0"/>
        <v>513814237.08387327</v>
      </c>
      <c r="M18" s="508">
        <f t="shared" si="0"/>
        <v>97354718.35001567</v>
      </c>
      <c r="N18" s="508">
        <f t="shared" si="0"/>
        <v>71800341.595374256</v>
      </c>
      <c r="O18" s="508">
        <f t="shared" si="0"/>
        <v>14193649.497974858</v>
      </c>
      <c r="P18" s="30">
        <f t="shared" si="1"/>
        <v>3112323214.229178</v>
      </c>
      <c r="Q18" s="157" t="str">
        <f t="shared" si="2"/>
        <v>Line 204 + Line 304</v>
      </c>
      <c r="R18" s="379">
        <f t="shared" si="3"/>
        <v>104</v>
      </c>
    </row>
    <row r="19" spans="1:18">
      <c r="A19" s="379">
        <f t="shared" si="4"/>
        <v>105</v>
      </c>
      <c r="B19" s="145" t="s">
        <v>437</v>
      </c>
      <c r="C19" s="152">
        <f>'1-BaseTRR'!$G$2</f>
        <v>2020</v>
      </c>
      <c r="D19" s="508">
        <f t="shared" si="0"/>
        <v>-7078.9868072009176</v>
      </c>
      <c r="E19" s="508">
        <f t="shared" si="0"/>
        <v>70878999.402034</v>
      </c>
      <c r="F19" s="508">
        <f t="shared" si="0"/>
        <v>106248708.98049305</v>
      </c>
      <c r="G19" s="508">
        <f t="shared" si="0"/>
        <v>16989211.58922879</v>
      </c>
      <c r="H19" s="508">
        <f t="shared" si="0"/>
        <v>1505056819.6690862</v>
      </c>
      <c r="I19" s="508">
        <f t="shared" si="0"/>
        <v>15586230.710728262</v>
      </c>
      <c r="J19" s="508">
        <f t="shared" si="0"/>
        <v>347160572.22543627</v>
      </c>
      <c r="K19" s="508">
        <f t="shared" si="0"/>
        <v>365887724.05609733</v>
      </c>
      <c r="L19" s="508">
        <f t="shared" si="0"/>
        <v>516557685.92198944</v>
      </c>
      <c r="M19" s="508">
        <f t="shared" si="0"/>
        <v>97999957.099157542</v>
      </c>
      <c r="N19" s="508">
        <f t="shared" si="0"/>
        <v>72220034.173037842</v>
      </c>
      <c r="O19" s="508">
        <f t="shared" si="0"/>
        <v>14377636.021510361</v>
      </c>
      <c r="P19" s="30">
        <f t="shared" si="1"/>
        <v>3128956500.8619914</v>
      </c>
      <c r="Q19" s="157" t="str">
        <f t="shared" si="2"/>
        <v>Line 205 + Line 305</v>
      </c>
      <c r="R19" s="379">
        <f t="shared" si="3"/>
        <v>105</v>
      </c>
    </row>
    <row r="20" spans="1:18">
      <c r="A20" s="379">
        <f t="shared" si="4"/>
        <v>106</v>
      </c>
      <c r="B20" s="145" t="s">
        <v>592</v>
      </c>
      <c r="C20" s="152">
        <f>'1-BaseTRR'!$G$2</f>
        <v>2020</v>
      </c>
      <c r="D20" s="508">
        <f t="shared" si="0"/>
        <v>-7845.6599617373749</v>
      </c>
      <c r="E20" s="508">
        <f t="shared" si="0"/>
        <v>71194449.740514427</v>
      </c>
      <c r="F20" s="508">
        <f t="shared" si="0"/>
        <v>106774333.81942618</v>
      </c>
      <c r="G20" s="508">
        <f t="shared" si="0"/>
        <v>17144233.936458834</v>
      </c>
      <c r="H20" s="508">
        <f t="shared" si="0"/>
        <v>1518356739.0720887</v>
      </c>
      <c r="I20" s="508">
        <f t="shared" si="0"/>
        <v>15634729.687654218</v>
      </c>
      <c r="J20" s="508">
        <f t="shared" si="0"/>
        <v>348117870.10895669</v>
      </c>
      <c r="K20" s="508">
        <f t="shared" si="0"/>
        <v>362424399.26157588</v>
      </c>
      <c r="L20" s="508">
        <f t="shared" si="0"/>
        <v>518110159.96199131</v>
      </c>
      <c r="M20" s="508">
        <f t="shared" si="0"/>
        <v>98646829.66942361</v>
      </c>
      <c r="N20" s="508">
        <f t="shared" si="0"/>
        <v>72410837.413633198</v>
      </c>
      <c r="O20" s="508">
        <f t="shared" si="0"/>
        <v>14570710.283895183</v>
      </c>
      <c r="P20" s="30">
        <f t="shared" si="1"/>
        <v>3143377447.2956562</v>
      </c>
      <c r="Q20" s="157" t="str">
        <f t="shared" si="2"/>
        <v>Line 206 + Line 306</v>
      </c>
      <c r="R20" s="379">
        <f t="shared" si="3"/>
        <v>106</v>
      </c>
    </row>
    <row r="21" spans="1:18">
      <c r="A21" s="379">
        <f t="shared" si="4"/>
        <v>107</v>
      </c>
      <c r="B21" s="145" t="s">
        <v>477</v>
      </c>
      <c r="C21" s="152">
        <f>'1-BaseTRR'!$G$2</f>
        <v>2020</v>
      </c>
      <c r="D21" s="508">
        <f t="shared" si="0"/>
        <v>-7848.4468901218988</v>
      </c>
      <c r="E21" s="508">
        <f t="shared" si="0"/>
        <v>71512017.536183417</v>
      </c>
      <c r="F21" s="508">
        <f t="shared" si="0"/>
        <v>107327718.24329329</v>
      </c>
      <c r="G21" s="508">
        <f t="shared" si="0"/>
        <v>17298749.69695868</v>
      </c>
      <c r="H21" s="508">
        <f t="shared" si="0"/>
        <v>1533265863.1855741</v>
      </c>
      <c r="I21" s="508">
        <f t="shared" si="0"/>
        <v>15688648.029333869</v>
      </c>
      <c r="J21" s="508">
        <f t="shared" si="0"/>
        <v>347539468.10449469</v>
      </c>
      <c r="K21" s="508">
        <f t="shared" si="0"/>
        <v>362949229.05328566</v>
      </c>
      <c r="L21" s="508">
        <f t="shared" si="0"/>
        <v>520705090.9668721</v>
      </c>
      <c r="M21" s="508">
        <f t="shared" si="0"/>
        <v>99296500.680133492</v>
      </c>
      <c r="N21" s="508">
        <f t="shared" si="0"/>
        <v>72877675.413305432</v>
      </c>
      <c r="O21" s="508">
        <f t="shared" si="0"/>
        <v>14768408.660715181</v>
      </c>
      <c r="P21" s="30">
        <f t="shared" si="1"/>
        <v>3163221521.1232595</v>
      </c>
      <c r="Q21" s="157" t="str">
        <f t="shared" si="2"/>
        <v>Line 207 + Line 307</v>
      </c>
      <c r="R21" s="379">
        <f t="shared" si="3"/>
        <v>107</v>
      </c>
    </row>
    <row r="22" spans="1:18">
      <c r="A22" s="379">
        <f t="shared" si="4"/>
        <v>108</v>
      </c>
      <c r="B22" s="145" t="s">
        <v>478</v>
      </c>
      <c r="C22" s="152">
        <f>'1-BaseTRR'!$G$2</f>
        <v>2020</v>
      </c>
      <c r="D22" s="508">
        <f t="shared" si="0"/>
        <v>-7850.6443234244507</v>
      </c>
      <c r="E22" s="508">
        <f t="shared" si="0"/>
        <v>71748961.82364887</v>
      </c>
      <c r="F22" s="508">
        <f t="shared" si="0"/>
        <v>107881678.94902216</v>
      </c>
      <c r="G22" s="508">
        <f t="shared" si="0"/>
        <v>17451376.797590129</v>
      </c>
      <c r="H22" s="508">
        <f t="shared" si="0"/>
        <v>1552446024.8945622</v>
      </c>
      <c r="I22" s="508">
        <f t="shared" si="0"/>
        <v>15741765.244817335</v>
      </c>
      <c r="J22" s="508">
        <f t="shared" si="0"/>
        <v>350896533.38578415</v>
      </c>
      <c r="K22" s="508">
        <f t="shared" si="0"/>
        <v>368385722.78174376</v>
      </c>
      <c r="L22" s="508">
        <f t="shared" si="0"/>
        <v>523403969.28350252</v>
      </c>
      <c r="M22" s="508">
        <f t="shared" si="0"/>
        <v>99946732.472140253</v>
      </c>
      <c r="N22" s="508">
        <f t="shared" si="0"/>
        <v>73350868.038241789</v>
      </c>
      <c r="O22" s="508">
        <f t="shared" si="0"/>
        <v>14960050.276737563</v>
      </c>
      <c r="P22" s="30">
        <f t="shared" si="1"/>
        <v>3196205833.3034678</v>
      </c>
      <c r="Q22" s="157" t="str">
        <f t="shared" si="2"/>
        <v>Line 208 + Line 308</v>
      </c>
      <c r="R22" s="379">
        <f t="shared" si="3"/>
        <v>108</v>
      </c>
    </row>
    <row r="23" spans="1:18">
      <c r="A23" s="379">
        <f t="shared" si="4"/>
        <v>109</v>
      </c>
      <c r="B23" s="145" t="s">
        <v>480</v>
      </c>
      <c r="C23" s="152">
        <f>'1-BaseTRR'!$G$2</f>
        <v>2020</v>
      </c>
      <c r="D23" s="508">
        <f t="shared" si="0"/>
        <v>-7852.6667115917444</v>
      </c>
      <c r="E23" s="508">
        <f t="shared" si="0"/>
        <v>72057837.724180877</v>
      </c>
      <c r="F23" s="508">
        <f t="shared" si="0"/>
        <v>108408388.78255913</v>
      </c>
      <c r="G23" s="508">
        <f t="shared" si="0"/>
        <v>17603336.182118963</v>
      </c>
      <c r="H23" s="508">
        <f t="shared" si="0"/>
        <v>1565167316.1939626</v>
      </c>
      <c r="I23" s="508">
        <f t="shared" si="0"/>
        <v>15787328.861647362</v>
      </c>
      <c r="J23" s="508">
        <f t="shared" si="0"/>
        <v>346275259.54947186</v>
      </c>
      <c r="K23" s="508">
        <f t="shared" si="0"/>
        <v>367099619.74352694</v>
      </c>
      <c r="L23" s="508">
        <f t="shared" si="0"/>
        <v>524843716.0248847</v>
      </c>
      <c r="M23" s="508">
        <f t="shared" si="0"/>
        <v>100593360.35406271</v>
      </c>
      <c r="N23" s="508">
        <f t="shared" si="0"/>
        <v>73820954.348585665</v>
      </c>
      <c r="O23" s="508">
        <f t="shared" si="0"/>
        <v>15152703.402597621</v>
      </c>
      <c r="P23" s="30">
        <f t="shared" si="1"/>
        <v>3206801968.5008864</v>
      </c>
      <c r="Q23" s="157" t="str">
        <f t="shared" si="2"/>
        <v>Line 209 + Line 309</v>
      </c>
      <c r="R23" s="379">
        <f t="shared" si="3"/>
        <v>109</v>
      </c>
    </row>
    <row r="24" spans="1:18">
      <c r="A24" s="379">
        <f t="shared" si="4"/>
        <v>110</v>
      </c>
      <c r="B24" s="145" t="s">
        <v>481</v>
      </c>
      <c r="C24" s="152">
        <f>'1-BaseTRR'!$G$2</f>
        <v>2020</v>
      </c>
      <c r="D24" s="508">
        <f t="shared" si="0"/>
        <v>-7858.9390586921127</v>
      </c>
      <c r="E24" s="508">
        <f t="shared" si="0"/>
        <v>72369531.806414843</v>
      </c>
      <c r="F24" s="508">
        <f t="shared" si="0"/>
        <v>108969795.22834603</v>
      </c>
      <c r="G24" s="508">
        <f t="shared" si="0"/>
        <v>17759021.850386672</v>
      </c>
      <c r="H24" s="508">
        <f t="shared" si="0"/>
        <v>1570623704.7218046</v>
      </c>
      <c r="I24" s="508">
        <f t="shared" si="0"/>
        <v>15840377.634428928</v>
      </c>
      <c r="J24" s="508">
        <f t="shared" si="0"/>
        <v>346358599.83820295</v>
      </c>
      <c r="K24" s="508">
        <f t="shared" si="0"/>
        <v>370645162.23997134</v>
      </c>
      <c r="L24" s="508">
        <f t="shared" si="0"/>
        <v>523811019.25701803</v>
      </c>
      <c r="M24" s="508">
        <f t="shared" si="0"/>
        <v>101239251.33030581</v>
      </c>
      <c r="N24" s="508">
        <f t="shared" si="0"/>
        <v>74277658.985760987</v>
      </c>
      <c r="O24" s="508">
        <f t="shared" si="0"/>
        <v>15345796.347498383</v>
      </c>
      <c r="P24" s="30">
        <f t="shared" si="1"/>
        <v>3217232060.3010798</v>
      </c>
      <c r="Q24" s="157" t="str">
        <f t="shared" si="2"/>
        <v>Line 210 + Line 310</v>
      </c>
      <c r="R24" s="379">
        <f t="shared" si="3"/>
        <v>110</v>
      </c>
    </row>
    <row r="25" spans="1:18">
      <c r="A25" s="379">
        <f t="shared" si="4"/>
        <v>111</v>
      </c>
      <c r="B25" s="145" t="s">
        <v>482</v>
      </c>
      <c r="C25" s="152">
        <f>'1-BaseTRR'!$G$2</f>
        <v>2020</v>
      </c>
      <c r="D25" s="508">
        <f t="shared" si="0"/>
        <v>-7857.9470616280423</v>
      </c>
      <c r="E25" s="508">
        <f t="shared" si="0"/>
        <v>72680526.62792328</v>
      </c>
      <c r="F25" s="508">
        <f t="shared" si="0"/>
        <v>109522618.77478805</v>
      </c>
      <c r="G25" s="508">
        <f t="shared" si="0"/>
        <v>17915000.069254123</v>
      </c>
      <c r="H25" s="508">
        <f t="shared" si="0"/>
        <v>1576821176.9664831</v>
      </c>
      <c r="I25" s="508">
        <f t="shared" si="0"/>
        <v>15759370.995560918</v>
      </c>
      <c r="J25" s="508">
        <f t="shared" si="0"/>
        <v>347258286.17932302</v>
      </c>
      <c r="K25" s="508">
        <f t="shared" si="0"/>
        <v>377584878.62056327</v>
      </c>
      <c r="L25" s="508">
        <f t="shared" si="0"/>
        <v>531517004.37862682</v>
      </c>
      <c r="M25" s="508">
        <f t="shared" si="0"/>
        <v>101887341.37306874</v>
      </c>
      <c r="N25" s="508">
        <f t="shared" si="0"/>
        <v>74737544.716699511</v>
      </c>
      <c r="O25" s="508">
        <f t="shared" si="0"/>
        <v>15542791.521993842</v>
      </c>
      <c r="P25" s="30">
        <f t="shared" si="1"/>
        <v>3241218682.2772226</v>
      </c>
      <c r="Q25" s="157" t="str">
        <f t="shared" si="2"/>
        <v>Line 211 + Line 311</v>
      </c>
      <c r="R25" s="379">
        <f t="shared" si="3"/>
        <v>111</v>
      </c>
    </row>
    <row r="26" spans="1:18">
      <c r="A26" s="379">
        <f t="shared" si="4"/>
        <v>112</v>
      </c>
      <c r="B26" s="154" t="s">
        <v>470</v>
      </c>
      <c r="C26" s="155">
        <f>'1-BaseTRR'!$G$2</f>
        <v>2020</v>
      </c>
      <c r="D26" s="509">
        <f t="shared" si="0"/>
        <v>-7829.7068816294914</v>
      </c>
      <c r="E26" s="509">
        <f t="shared" si="0"/>
        <v>72494732.478236914</v>
      </c>
      <c r="F26" s="509">
        <f t="shared" si="0"/>
        <v>109706920.36513495</v>
      </c>
      <c r="G26" s="509">
        <f t="shared" si="0"/>
        <v>18023615.466308933</v>
      </c>
      <c r="H26" s="509">
        <f t="shared" si="0"/>
        <v>1591956949.5661855</v>
      </c>
      <c r="I26" s="509">
        <f t="shared" si="0"/>
        <v>15966368.313273482</v>
      </c>
      <c r="J26" s="509">
        <f t="shared" si="0"/>
        <v>347587089.51122552</v>
      </c>
      <c r="K26" s="509">
        <f t="shared" si="0"/>
        <v>379206173.59303063</v>
      </c>
      <c r="L26" s="509">
        <f t="shared" si="0"/>
        <v>527564752.95332021</v>
      </c>
      <c r="M26" s="509">
        <f t="shared" si="0"/>
        <v>102565877.30907288</v>
      </c>
      <c r="N26" s="509">
        <f t="shared" si="0"/>
        <v>75168248.85443145</v>
      </c>
      <c r="O26" s="509">
        <f t="shared" si="0"/>
        <v>15292937.384513758</v>
      </c>
      <c r="P26" s="509">
        <f t="shared" si="1"/>
        <v>3255525836.0878525</v>
      </c>
      <c r="Q26" s="157" t="str">
        <f t="shared" si="2"/>
        <v>Line 212 + Line 312</v>
      </c>
      <c r="R26" s="379">
        <f t="shared" si="3"/>
        <v>112</v>
      </c>
    </row>
    <row r="27" spans="1:18">
      <c r="A27" s="379">
        <f t="shared" si="4"/>
        <v>113</v>
      </c>
      <c r="B27" s="579" t="s">
        <v>763</v>
      </c>
      <c r="C27" s="163"/>
      <c r="D27" s="580">
        <f>SUM(D14:D26)/13</f>
        <v>-2327.6437747827031</v>
      </c>
      <c r="E27" s="580">
        <f>SUM(E14:E26)/13</f>
        <v>71251505.20076862</v>
      </c>
      <c r="F27" s="580">
        <f>SUM(F14:F26)/13</f>
        <v>106898750.78556985</v>
      </c>
      <c r="G27" s="580">
        <f>SUM(G14:G26)/13</f>
        <v>17134493.488396849</v>
      </c>
      <c r="H27" s="580">
        <f t="shared" ref="H27:P27" si="5">SUM(H14:H26)/13</f>
        <v>1521540914.5101597</v>
      </c>
      <c r="I27" s="580">
        <f t="shared" si="5"/>
        <v>15618129.584134052</v>
      </c>
      <c r="J27" s="580">
        <f t="shared" si="5"/>
        <v>346605408.42264408</v>
      </c>
      <c r="K27" s="580">
        <f t="shared" si="5"/>
        <v>364158274.24884212</v>
      </c>
      <c r="L27" s="580">
        <f t="shared" si="5"/>
        <v>516402600.03984123</v>
      </c>
      <c r="M27" s="580">
        <f t="shared" si="5"/>
        <v>98668818.545081437</v>
      </c>
      <c r="N27" s="580">
        <f t="shared" si="5"/>
        <v>72621724.49191308</v>
      </c>
      <c r="O27" s="580">
        <f t="shared" si="5"/>
        <v>14620064.731519729</v>
      </c>
      <c r="P27" s="345">
        <f t="shared" si="5"/>
        <v>3145518356.4050956</v>
      </c>
      <c r="Q27" s="157"/>
      <c r="R27" s="379">
        <f t="shared" si="3"/>
        <v>113</v>
      </c>
    </row>
    <row r="28" spans="1:18">
      <c r="A28" s="17"/>
      <c r="B28" s="17"/>
      <c r="C28" s="17"/>
      <c r="D28" s="17"/>
      <c r="E28" s="17"/>
      <c r="F28" s="17"/>
      <c r="G28" s="17"/>
      <c r="H28" s="17"/>
      <c r="I28" s="17"/>
      <c r="J28" s="17"/>
      <c r="K28" s="17"/>
      <c r="L28" s="17"/>
      <c r="M28" s="17"/>
      <c r="R28" s="379"/>
    </row>
    <row r="29" spans="1:18">
      <c r="A29" s="17"/>
      <c r="B29" s="17"/>
      <c r="C29" s="17"/>
      <c r="D29" s="17"/>
      <c r="E29" s="17"/>
      <c r="F29" s="17"/>
      <c r="G29" s="17"/>
      <c r="H29" s="17"/>
      <c r="I29" s="17"/>
      <c r="J29" s="17"/>
      <c r="K29" s="17"/>
      <c r="L29" s="17"/>
      <c r="M29" s="17"/>
      <c r="R29" s="379"/>
    </row>
    <row r="30" spans="1:18">
      <c r="B30" s="52" t="s">
        <v>913</v>
      </c>
      <c r="C30" s="52"/>
      <c r="D30" s="138"/>
      <c r="E30" s="138"/>
      <c r="F30" s="138"/>
      <c r="G30" s="138"/>
      <c r="H30" s="138"/>
      <c r="I30" s="138"/>
      <c r="J30" s="138"/>
      <c r="K30" s="138"/>
      <c r="L30" s="138"/>
      <c r="M30" s="138"/>
      <c r="N30" s="219"/>
      <c r="O30" s="219"/>
      <c r="P30" s="219"/>
      <c r="Q30" s="219"/>
      <c r="R30" s="379"/>
    </row>
    <row r="31" spans="1:18">
      <c r="B31" s="145" t="s">
        <v>914</v>
      </c>
    </row>
    <row r="32" spans="1:18">
      <c r="B32" t="s">
        <v>915</v>
      </c>
    </row>
    <row r="34" spans="1:18" ht="13.5" customHeight="1">
      <c r="A34" s="12"/>
      <c r="D34" s="147" t="s">
        <v>413</v>
      </c>
      <c r="E34" s="147" t="s">
        <v>414</v>
      </c>
      <c r="F34" s="147" t="s">
        <v>415</v>
      </c>
      <c r="G34" s="147" t="s">
        <v>416</v>
      </c>
      <c r="H34" s="147" t="s">
        <v>417</v>
      </c>
      <c r="I34" s="147" t="s">
        <v>418</v>
      </c>
      <c r="J34" s="147" t="s">
        <v>419</v>
      </c>
      <c r="K34" s="147" t="s">
        <v>420</v>
      </c>
      <c r="L34" s="147" t="s">
        <v>451</v>
      </c>
      <c r="M34" s="147" t="s">
        <v>586</v>
      </c>
      <c r="N34" s="147" t="s">
        <v>587</v>
      </c>
      <c r="O34" s="147" t="s">
        <v>588</v>
      </c>
      <c r="P34" s="147" t="s">
        <v>589</v>
      </c>
      <c r="Q34" s="147"/>
      <c r="R34" s="379"/>
    </row>
    <row r="35" spans="1:18" ht="13.5" customHeight="1">
      <c r="A35" s="12"/>
      <c r="D35" s="147"/>
      <c r="E35" s="147"/>
      <c r="F35" s="147"/>
      <c r="G35" s="147"/>
      <c r="H35" s="147"/>
      <c r="I35" s="147"/>
      <c r="J35" s="147"/>
      <c r="K35" s="147"/>
      <c r="L35" s="147"/>
      <c r="M35" s="147"/>
      <c r="N35" s="147"/>
      <c r="O35" s="147"/>
      <c r="P35" s="149" t="s">
        <v>749</v>
      </c>
      <c r="Q35" s="149"/>
      <c r="R35" s="379"/>
    </row>
    <row r="36" spans="1:18">
      <c r="B36" s="8"/>
      <c r="C36" s="8"/>
      <c r="R36" s="379"/>
    </row>
    <row r="37" spans="1:18">
      <c r="A37" s="409"/>
      <c r="B37" s="379"/>
      <c r="C37" s="151" t="s">
        <v>750</v>
      </c>
      <c r="D37" s="116">
        <v>350.01</v>
      </c>
      <c r="E37" s="116">
        <v>350.02</v>
      </c>
      <c r="F37" s="116">
        <v>352.01</v>
      </c>
      <c r="G37" s="116">
        <v>352.02</v>
      </c>
      <c r="H37" s="116">
        <v>353.01</v>
      </c>
      <c r="I37" s="116">
        <v>353.02</v>
      </c>
      <c r="J37" s="116">
        <v>354</v>
      </c>
      <c r="K37" s="116">
        <v>355</v>
      </c>
      <c r="L37" s="116">
        <v>356</v>
      </c>
      <c r="M37" s="116">
        <v>357</v>
      </c>
      <c r="N37" s="116">
        <v>358</v>
      </c>
      <c r="O37" s="116">
        <v>359</v>
      </c>
      <c r="R37" s="379"/>
    </row>
    <row r="38" spans="1:18">
      <c r="A38" s="144" t="s">
        <v>99</v>
      </c>
      <c r="B38" s="144" t="s">
        <v>426</v>
      </c>
      <c r="C38" s="144" t="s">
        <v>462</v>
      </c>
      <c r="D38" s="147" t="s">
        <v>751</v>
      </c>
      <c r="E38" s="147" t="s">
        <v>752</v>
      </c>
      <c r="F38" s="147" t="s">
        <v>753</v>
      </c>
      <c r="G38" s="147" t="s">
        <v>754</v>
      </c>
      <c r="H38" s="147" t="s">
        <v>755</v>
      </c>
      <c r="I38" s="147" t="s">
        <v>756</v>
      </c>
      <c r="J38" s="147" t="s">
        <v>757</v>
      </c>
      <c r="K38" s="147" t="s">
        <v>758</v>
      </c>
      <c r="L38" s="147" t="s">
        <v>759</v>
      </c>
      <c r="M38" s="147" t="s">
        <v>760</v>
      </c>
      <c r="N38" s="147" t="s">
        <v>761</v>
      </c>
      <c r="O38" s="147" t="s">
        <v>762</v>
      </c>
      <c r="P38" s="144" t="s">
        <v>509</v>
      </c>
      <c r="Q38" s="144"/>
      <c r="R38" s="144" t="str">
        <f>A38</f>
        <v>Line</v>
      </c>
    </row>
    <row r="39" spans="1:18">
      <c r="A39" s="379">
        <v>200</v>
      </c>
      <c r="B39" s="145" t="s">
        <v>470</v>
      </c>
      <c r="C39" s="152">
        <f>'1-BaseTRR'!$G$2-1</f>
        <v>2019</v>
      </c>
      <c r="D39" s="510">
        <v>13216.580383462611</v>
      </c>
      <c r="E39" s="510">
        <v>33572846.318963148</v>
      </c>
      <c r="F39" s="510">
        <v>61235316.3147844</v>
      </c>
      <c r="G39" s="510">
        <v>6954766.0372229908</v>
      </c>
      <c r="H39" s="510">
        <v>803955640.50747335</v>
      </c>
      <c r="I39" s="510">
        <v>2842173.1396667957</v>
      </c>
      <c r="J39" s="510">
        <v>233357873.12558162</v>
      </c>
      <c r="K39" s="510">
        <v>37936659.902679995</v>
      </c>
      <c r="L39" s="510">
        <v>210583533.22145018</v>
      </c>
      <c r="M39" s="510">
        <v>55204509.456561506</v>
      </c>
      <c r="N39" s="510">
        <v>30759621.730069105</v>
      </c>
      <c r="O39" s="510">
        <v>4339980.3890655385</v>
      </c>
      <c r="P39" s="153">
        <f>SUM(D39:O39)</f>
        <v>1480756136.723902</v>
      </c>
      <c r="Q39" s="157"/>
      <c r="R39" s="379">
        <f t="shared" ref="R39:R52" si="6">A39</f>
        <v>200</v>
      </c>
    </row>
    <row r="40" spans="1:18">
      <c r="A40" s="379">
        <f>A39+1</f>
        <v>201</v>
      </c>
      <c r="B40" s="145" t="s">
        <v>472</v>
      </c>
      <c r="C40" s="152">
        <f>'1-BaseTRR'!$G$2</f>
        <v>2020</v>
      </c>
      <c r="D40" s="510">
        <v>-4431.7903376778859</v>
      </c>
      <c r="E40" s="510">
        <v>33901629.791409343</v>
      </c>
      <c r="F40" s="510">
        <v>49851488.08841937</v>
      </c>
      <c r="G40" s="510">
        <v>6568004.8382735951</v>
      </c>
      <c r="H40" s="510">
        <v>721044613.50707805</v>
      </c>
      <c r="I40" s="510">
        <v>3883894.3276002845</v>
      </c>
      <c r="J40" s="510">
        <v>188435787.40504915</v>
      </c>
      <c r="K40" s="510">
        <v>58286850.798620455</v>
      </c>
      <c r="L40" s="510">
        <v>182800716.97877187</v>
      </c>
      <c r="M40" s="510">
        <v>63729902.508277647</v>
      </c>
      <c r="N40" s="510">
        <v>27606373.499325771</v>
      </c>
      <c r="O40" s="510">
        <v>4482713.5572252301</v>
      </c>
      <c r="P40" s="153">
        <f t="shared" ref="P40:P51" si="7">SUM(D40:O40)</f>
        <v>1340587543.5097132</v>
      </c>
      <c r="Q40" s="157"/>
      <c r="R40" s="379">
        <f t="shared" si="6"/>
        <v>201</v>
      </c>
    </row>
    <row r="41" spans="1:18">
      <c r="A41" s="379">
        <f t="shared" ref="A41:A52" si="8">A40+1</f>
        <v>202</v>
      </c>
      <c r="B41" s="145" t="s">
        <v>473</v>
      </c>
      <c r="C41" s="152">
        <f>'1-BaseTRR'!$G$2</f>
        <v>2020</v>
      </c>
      <c r="D41" s="510">
        <v>-4512.5879457638312</v>
      </c>
      <c r="E41" s="510">
        <v>34049315.701088056</v>
      </c>
      <c r="F41" s="510">
        <v>50118445.140836723</v>
      </c>
      <c r="G41" s="510">
        <v>6643624.4597519394</v>
      </c>
      <c r="H41" s="510">
        <v>723912191.92305887</v>
      </c>
      <c r="I41" s="510">
        <v>3897890.2818598417</v>
      </c>
      <c r="J41" s="510">
        <v>188065452.48961794</v>
      </c>
      <c r="K41" s="510">
        <v>58711990.797691293</v>
      </c>
      <c r="L41" s="510">
        <v>182203082.56969753</v>
      </c>
      <c r="M41" s="510">
        <v>64159639.602532357</v>
      </c>
      <c r="N41" s="510">
        <v>27756351.687462762</v>
      </c>
      <c r="O41" s="510">
        <v>4545092.6476219706</v>
      </c>
      <c r="P41" s="153">
        <f t="shared" si="7"/>
        <v>1344058564.7132735</v>
      </c>
      <c r="Q41" s="157"/>
      <c r="R41" s="379">
        <f t="shared" si="6"/>
        <v>202</v>
      </c>
    </row>
    <row r="42" spans="1:18">
      <c r="A42" s="379">
        <f t="shared" si="8"/>
        <v>203</v>
      </c>
      <c r="B42" s="145" t="s">
        <v>474</v>
      </c>
      <c r="C42" s="152">
        <f>'1-BaseTRR'!$G$2</f>
        <v>2020</v>
      </c>
      <c r="D42" s="510">
        <v>-4605.7642591046888</v>
      </c>
      <c r="E42" s="510">
        <v>34182484.055258349</v>
      </c>
      <c r="F42" s="510">
        <v>50380018.188259639</v>
      </c>
      <c r="G42" s="510">
        <v>6706721.6554356553</v>
      </c>
      <c r="H42" s="510">
        <v>729804012.38623703</v>
      </c>
      <c r="I42" s="510">
        <v>3911866.8753268728</v>
      </c>
      <c r="J42" s="510">
        <v>188473022.54960743</v>
      </c>
      <c r="K42" s="510">
        <v>59228542.075640835</v>
      </c>
      <c r="L42" s="510">
        <v>184512037.16702747</v>
      </c>
      <c r="M42" s="510">
        <v>64587324.552157991</v>
      </c>
      <c r="N42" s="510">
        <v>27888415.921225216</v>
      </c>
      <c r="O42" s="510">
        <v>4457708.9010113701</v>
      </c>
      <c r="P42" s="153">
        <f t="shared" si="7"/>
        <v>1354127548.5629289</v>
      </c>
      <c r="Q42" s="157"/>
      <c r="R42" s="379">
        <f t="shared" si="6"/>
        <v>203</v>
      </c>
    </row>
    <row r="43" spans="1:18">
      <c r="A43" s="379">
        <f t="shared" si="8"/>
        <v>204</v>
      </c>
      <c r="B43" s="145" t="s">
        <v>475</v>
      </c>
      <c r="C43" s="152">
        <f>'1-BaseTRR'!$G$2</f>
        <v>2020</v>
      </c>
      <c r="D43" s="510">
        <v>-4660.3008493927855</v>
      </c>
      <c r="E43" s="510">
        <v>34293726.908277437</v>
      </c>
      <c r="F43" s="510">
        <v>50646660.653614037</v>
      </c>
      <c r="G43" s="510">
        <v>6769636.93983116</v>
      </c>
      <c r="H43" s="510">
        <v>735067522.02438879</v>
      </c>
      <c r="I43" s="510">
        <v>3925715.8725013169</v>
      </c>
      <c r="J43" s="510">
        <v>188942102.33123448</v>
      </c>
      <c r="K43" s="510">
        <v>59760694.292355016</v>
      </c>
      <c r="L43" s="510">
        <v>186259668.26896301</v>
      </c>
      <c r="M43" s="510">
        <v>65021064.004490733</v>
      </c>
      <c r="N43" s="510">
        <v>28067626.066940673</v>
      </c>
      <c r="O43" s="510">
        <v>4524394.2971487138</v>
      </c>
      <c r="P43" s="153">
        <f t="shared" si="7"/>
        <v>1363274151.3588963</v>
      </c>
      <c r="Q43" s="157"/>
      <c r="R43" s="379">
        <f t="shared" si="6"/>
        <v>204</v>
      </c>
    </row>
    <row r="44" spans="1:18">
      <c r="A44" s="379">
        <f t="shared" si="8"/>
        <v>205</v>
      </c>
      <c r="B44" s="145" t="s">
        <v>437</v>
      </c>
      <c r="C44" s="152">
        <f>'1-BaseTRR'!$G$2</f>
        <v>2020</v>
      </c>
      <c r="D44" s="510">
        <v>-4633.1757029731807</v>
      </c>
      <c r="E44" s="510">
        <v>34445596.060687266</v>
      </c>
      <c r="F44" s="510">
        <v>50759300.831666142</v>
      </c>
      <c r="G44" s="510">
        <v>6832110.4114111429</v>
      </c>
      <c r="H44" s="510">
        <v>738668057.30918276</v>
      </c>
      <c r="I44" s="510">
        <v>3942031.3855077447</v>
      </c>
      <c r="J44" s="510">
        <v>189601458.31261608</v>
      </c>
      <c r="K44" s="510">
        <v>60309458.847723596</v>
      </c>
      <c r="L44" s="510">
        <v>187254179.1906544</v>
      </c>
      <c r="M44" s="510">
        <v>65452004.6996843</v>
      </c>
      <c r="N44" s="510">
        <v>28231688.995767895</v>
      </c>
      <c r="O44" s="510">
        <v>4583042.1859778017</v>
      </c>
      <c r="P44" s="153">
        <f t="shared" si="7"/>
        <v>1370074295.055176</v>
      </c>
      <c r="Q44" s="157"/>
      <c r="R44" s="379">
        <f t="shared" si="6"/>
        <v>205</v>
      </c>
    </row>
    <row r="45" spans="1:18">
      <c r="A45" s="379">
        <f t="shared" si="8"/>
        <v>206</v>
      </c>
      <c r="B45" s="145" t="s">
        <v>592</v>
      </c>
      <c r="C45" s="152">
        <f>'1-BaseTRR'!$G$2</f>
        <v>2020</v>
      </c>
      <c r="D45" s="510">
        <v>-5134.9609906794367</v>
      </c>
      <c r="E45" s="510">
        <v>34598897.814777665</v>
      </c>
      <c r="F45" s="510">
        <v>51010413.052981712</v>
      </c>
      <c r="G45" s="510">
        <v>6894451.7264833078</v>
      </c>
      <c r="H45" s="510">
        <v>745195535.54083157</v>
      </c>
      <c r="I45" s="510">
        <v>3954297.6282418217</v>
      </c>
      <c r="J45" s="510">
        <v>190124285.75696421</v>
      </c>
      <c r="K45" s="510">
        <v>59738597.267958105</v>
      </c>
      <c r="L45" s="510">
        <v>187816957.09522954</v>
      </c>
      <c r="M45" s="510">
        <v>65884036.587885156</v>
      </c>
      <c r="N45" s="510">
        <v>28306276.301209569</v>
      </c>
      <c r="O45" s="510">
        <v>4644586.8994628508</v>
      </c>
      <c r="P45" s="153">
        <f t="shared" si="7"/>
        <v>1378163200.711035</v>
      </c>
      <c r="Q45" s="157"/>
      <c r="R45" s="379">
        <f t="shared" si="6"/>
        <v>206</v>
      </c>
    </row>
    <row r="46" spans="1:18">
      <c r="A46" s="379">
        <f t="shared" si="8"/>
        <v>207</v>
      </c>
      <c r="B46" s="145" t="s">
        <v>477</v>
      </c>
      <c r="C46" s="152">
        <f>'1-BaseTRR'!$G$2</f>
        <v>2020</v>
      </c>
      <c r="D46" s="510">
        <v>-5136.7850269757018</v>
      </c>
      <c r="E46" s="510">
        <v>34753228.605333127</v>
      </c>
      <c r="F46" s="510">
        <v>51274787.149534605</v>
      </c>
      <c r="G46" s="510">
        <v>6956589.3207144253</v>
      </c>
      <c r="H46" s="510">
        <v>752512796.65759814</v>
      </c>
      <c r="I46" s="510">
        <v>3967934.5234668762</v>
      </c>
      <c r="J46" s="510">
        <v>189808391.98240933</v>
      </c>
      <c r="K46" s="510">
        <v>59825105.228308007</v>
      </c>
      <c r="L46" s="510">
        <v>188757629.7221559</v>
      </c>
      <c r="M46" s="510">
        <v>66317937.492588684</v>
      </c>
      <c r="N46" s="510">
        <v>28488768.948423974</v>
      </c>
      <c r="O46" s="510">
        <v>4707605.6043257248</v>
      </c>
      <c r="P46" s="153">
        <f t="shared" si="7"/>
        <v>1387365638.4498317</v>
      </c>
      <c r="Q46" s="157"/>
      <c r="R46" s="379">
        <f t="shared" si="6"/>
        <v>207</v>
      </c>
    </row>
    <row r="47" spans="1:18">
      <c r="A47" s="379">
        <f t="shared" si="8"/>
        <v>208</v>
      </c>
      <c r="B47" s="145" t="s">
        <v>478</v>
      </c>
      <c r="C47" s="152">
        <f>'1-BaseTRR'!$G$2</f>
        <v>2020</v>
      </c>
      <c r="D47" s="510">
        <v>-5138.2232405030836</v>
      </c>
      <c r="E47" s="510">
        <v>34868378.188196577</v>
      </c>
      <c r="F47" s="510">
        <v>51539436.559215203</v>
      </c>
      <c r="G47" s="510">
        <v>7017967.4016107004</v>
      </c>
      <c r="H47" s="510">
        <v>761926243.78019083</v>
      </c>
      <c r="I47" s="510">
        <v>3981368.7998119881</v>
      </c>
      <c r="J47" s="510">
        <v>191641850.39879236</v>
      </c>
      <c r="K47" s="510">
        <v>60721205.242699526</v>
      </c>
      <c r="L47" s="510">
        <v>189735983.65568411</v>
      </c>
      <c r="M47" s="510">
        <v>66752212.930722296</v>
      </c>
      <c r="N47" s="510">
        <v>28673745.695877276</v>
      </c>
      <c r="O47" s="510">
        <v>4768693.6447730921</v>
      </c>
      <c r="P47" s="153">
        <f t="shared" si="7"/>
        <v>1401621948.0743334</v>
      </c>
      <c r="Q47" s="157"/>
      <c r="R47" s="379">
        <f t="shared" si="6"/>
        <v>208</v>
      </c>
    </row>
    <row r="48" spans="1:18">
      <c r="A48" s="379">
        <f t="shared" si="8"/>
        <v>209</v>
      </c>
      <c r="B48" s="145" t="s">
        <v>480</v>
      </c>
      <c r="C48" s="152">
        <f>'1-BaseTRR'!$G$2</f>
        <v>2020</v>
      </c>
      <c r="D48" s="510">
        <v>-5139.5468875127299</v>
      </c>
      <c r="E48" s="510">
        <v>35018484.913635224</v>
      </c>
      <c r="F48" s="510">
        <v>51791067.126287863</v>
      </c>
      <c r="G48" s="510">
        <v>7079076.9644469945</v>
      </c>
      <c r="H48" s="510">
        <v>768169736.65553677</v>
      </c>
      <c r="I48" s="510">
        <v>3992892.6384433247</v>
      </c>
      <c r="J48" s="510">
        <v>189117945.52961338</v>
      </c>
      <c r="K48" s="510">
        <v>60509216.227606565</v>
      </c>
      <c r="L48" s="510">
        <v>190257897.4741163</v>
      </c>
      <c r="M48" s="510">
        <v>67184081.396988183</v>
      </c>
      <c r="N48" s="510">
        <v>28857508.147207592</v>
      </c>
      <c r="O48" s="510">
        <v>4830104.1159907654</v>
      </c>
      <c r="P48" s="153">
        <f t="shared" si="7"/>
        <v>1406802871.6429856</v>
      </c>
      <c r="Q48" s="157"/>
      <c r="R48" s="379">
        <f t="shared" si="6"/>
        <v>209</v>
      </c>
    </row>
    <row r="49" spans="1:19">
      <c r="A49" s="379">
        <f t="shared" si="8"/>
        <v>210</v>
      </c>
      <c r="B49" s="145" t="s">
        <v>481</v>
      </c>
      <c r="C49" s="152">
        <f>'1-BaseTRR'!$G$2</f>
        <v>2020</v>
      </c>
      <c r="D49" s="510">
        <v>-5143.6521199389999</v>
      </c>
      <c r="E49" s="510">
        <v>35169961.211857758</v>
      </c>
      <c r="F49" s="510">
        <v>52059273.66680938</v>
      </c>
      <c r="G49" s="510">
        <v>7141685.0301299058</v>
      </c>
      <c r="H49" s="510">
        <v>770847682.00690889</v>
      </c>
      <c r="I49" s="510">
        <v>4006309.604427516</v>
      </c>
      <c r="J49" s="510">
        <v>189163461.7591159</v>
      </c>
      <c r="K49" s="510">
        <v>61093629.792816512</v>
      </c>
      <c r="L49" s="510">
        <v>189883540.86131221</v>
      </c>
      <c r="M49" s="510">
        <v>67615457.700242817</v>
      </c>
      <c r="N49" s="510">
        <v>29036039.539878573</v>
      </c>
      <c r="O49" s="510">
        <v>4891654.7847495861</v>
      </c>
      <c r="P49" s="153">
        <f t="shared" si="7"/>
        <v>1410903552.306129</v>
      </c>
      <c r="Q49" s="157"/>
      <c r="R49" s="379">
        <f t="shared" si="6"/>
        <v>210</v>
      </c>
    </row>
    <row r="50" spans="1:19">
      <c r="A50" s="379">
        <f t="shared" si="8"/>
        <v>211</v>
      </c>
      <c r="B50" s="145" t="s">
        <v>482</v>
      </c>
      <c r="C50" s="152">
        <f>'1-BaseTRR'!$G$2</f>
        <v>2020</v>
      </c>
      <c r="D50" s="510">
        <v>-5143.0028608260973</v>
      </c>
      <c r="E50" s="510">
        <v>35321097.685129389</v>
      </c>
      <c r="F50" s="510">
        <v>52323379.809556283</v>
      </c>
      <c r="G50" s="510">
        <v>7204410.7432968039</v>
      </c>
      <c r="H50" s="510">
        <v>773889344.43677819</v>
      </c>
      <c r="I50" s="510">
        <v>3985821.6032693926</v>
      </c>
      <c r="J50" s="510">
        <v>189654824.70741042</v>
      </c>
      <c r="K50" s="510">
        <v>62237506.758215956</v>
      </c>
      <c r="L50" s="510">
        <v>192676990.57298693</v>
      </c>
      <c r="M50" s="510">
        <v>68048302.711407647</v>
      </c>
      <c r="N50" s="510">
        <v>29215814.460759107</v>
      </c>
      <c r="O50" s="510">
        <v>4954449.3355224673</v>
      </c>
      <c r="P50" s="153">
        <f t="shared" si="7"/>
        <v>1419506799.8214717</v>
      </c>
      <c r="Q50" s="157"/>
      <c r="R50" s="379">
        <f t="shared" si="6"/>
        <v>211</v>
      </c>
    </row>
    <row r="51" spans="1:19">
      <c r="A51" s="379">
        <f t="shared" si="8"/>
        <v>212</v>
      </c>
      <c r="B51" s="154" t="s">
        <v>470</v>
      </c>
      <c r="C51" s="155">
        <f>'1-BaseTRR'!$G$2</f>
        <v>2020</v>
      </c>
      <c r="D51" s="511">
        <v>-5156.4889699982014</v>
      </c>
      <c r="E51" s="511">
        <v>35359844.849163465</v>
      </c>
      <c r="F51" s="511">
        <v>52430975.435612775</v>
      </c>
      <c r="G51" s="511">
        <v>7247659.349183199</v>
      </c>
      <c r="H51" s="511">
        <v>782912231.20602596</v>
      </c>
      <c r="I51" s="511">
        <v>4060499.1178354677</v>
      </c>
      <c r="J51" s="511">
        <v>190251148.88294178</v>
      </c>
      <c r="K51" s="511">
        <v>60662091.468794577</v>
      </c>
      <c r="L51" s="511">
        <v>190960059.23359317</v>
      </c>
      <c r="M51" s="511">
        <v>68545295.36422129</v>
      </c>
      <c r="N51" s="511">
        <v>29378361.189925179</v>
      </c>
      <c r="O51" s="511">
        <v>4890629.9610011652</v>
      </c>
      <c r="P51" s="193">
        <f t="shared" si="7"/>
        <v>1426693639.5693283</v>
      </c>
      <c r="Q51" s="194"/>
      <c r="R51" s="379">
        <f t="shared" si="6"/>
        <v>212</v>
      </c>
    </row>
    <row r="52" spans="1:19">
      <c r="A52" s="379">
        <f t="shared" si="8"/>
        <v>213</v>
      </c>
      <c r="B52" s="579" t="s">
        <v>763</v>
      </c>
      <c r="C52" s="163"/>
      <c r="D52" s="580">
        <f>SUM(D39:D51)/13</f>
        <v>-3509.2076006064622</v>
      </c>
      <c r="E52" s="580">
        <f>SUM(E39:E51)/13</f>
        <v>34579653.23875206</v>
      </c>
      <c r="F52" s="580">
        <f>SUM(F39:F51)/13</f>
        <v>51955427.847506009</v>
      </c>
      <c r="G52" s="580">
        <f>SUM(G39:G51)/13</f>
        <v>6924361.9136762936</v>
      </c>
      <c r="H52" s="580">
        <f t="shared" ref="H52:P52" si="9">SUM(H39:H51)/13</f>
        <v>754454277.53394532</v>
      </c>
      <c r="I52" s="580">
        <f t="shared" si="9"/>
        <v>3873284.2921507107</v>
      </c>
      <c r="J52" s="580">
        <f t="shared" si="9"/>
        <v>192818277.32545799</v>
      </c>
      <c r="K52" s="580">
        <f t="shared" si="9"/>
        <v>58386272.977008492</v>
      </c>
      <c r="L52" s="580">
        <f t="shared" si="9"/>
        <v>189515559.69320327</v>
      </c>
      <c r="M52" s="580">
        <f t="shared" si="9"/>
        <v>65269366.846750811</v>
      </c>
      <c r="N52" s="580">
        <f t="shared" si="9"/>
        <v>28635891.706467129</v>
      </c>
      <c r="O52" s="580">
        <f t="shared" si="9"/>
        <v>4663127.4095289446</v>
      </c>
      <c r="P52" s="581">
        <f t="shared" si="9"/>
        <v>1391071991.5768466</v>
      </c>
      <c r="Q52" s="157"/>
      <c r="R52" s="379">
        <f t="shared" si="6"/>
        <v>213</v>
      </c>
    </row>
    <row r="53" spans="1:19">
      <c r="A53" s="17"/>
      <c r="B53" s="17"/>
      <c r="C53" s="17"/>
      <c r="D53" s="17"/>
      <c r="E53" s="17"/>
      <c r="F53" s="17"/>
      <c r="G53" s="17"/>
      <c r="H53" s="17"/>
      <c r="I53" s="17"/>
      <c r="J53" s="17"/>
      <c r="K53" s="17"/>
      <c r="L53" s="17"/>
      <c r="M53" s="17"/>
      <c r="R53" s="379"/>
    </row>
    <row r="54" spans="1:19">
      <c r="A54" s="17"/>
      <c r="B54" s="17"/>
      <c r="C54" s="17"/>
      <c r="D54" s="17"/>
      <c r="E54" s="17"/>
      <c r="F54" s="17"/>
      <c r="G54" s="17"/>
      <c r="H54" s="17"/>
      <c r="I54" s="17"/>
      <c r="J54" s="17"/>
      <c r="K54" s="17"/>
      <c r="L54" s="17"/>
      <c r="M54" s="17"/>
      <c r="R54" s="379"/>
    </row>
    <row r="55" spans="1:19">
      <c r="A55" s="17"/>
      <c r="B55" s="52" t="s">
        <v>916</v>
      </c>
      <c r="C55" s="52"/>
      <c r="D55" s="138"/>
      <c r="E55" s="138"/>
      <c r="F55" s="138"/>
      <c r="G55" s="138"/>
      <c r="H55" s="138"/>
      <c r="I55" s="138"/>
      <c r="J55" s="138"/>
      <c r="K55" s="138"/>
      <c r="L55" s="138"/>
      <c r="M55" s="138"/>
      <c r="N55" s="219"/>
      <c r="O55" s="219"/>
      <c r="P55" s="219"/>
      <c r="Q55" s="219"/>
      <c r="R55" s="379"/>
    </row>
    <row r="56" spans="1:19">
      <c r="A56" s="17"/>
      <c r="B56" s="145" t="s">
        <v>917</v>
      </c>
      <c r="C56" s="17"/>
      <c r="D56" s="17"/>
      <c r="E56" s="17"/>
      <c r="F56" s="17"/>
      <c r="G56" s="17"/>
      <c r="H56" s="17"/>
      <c r="I56" s="17"/>
      <c r="J56" s="17"/>
      <c r="K56" s="17"/>
      <c r="L56" s="17"/>
      <c r="M56" s="17"/>
      <c r="N56" s="17"/>
      <c r="O56" s="17"/>
      <c r="P56" s="17"/>
      <c r="Q56" s="17"/>
      <c r="R56" s="17"/>
      <c r="S56" s="17"/>
    </row>
    <row r="57" spans="1:19">
      <c r="A57" s="17"/>
      <c r="B57" t="s">
        <v>918</v>
      </c>
      <c r="C57" s="17"/>
      <c r="D57" s="17"/>
      <c r="E57" s="17"/>
      <c r="F57" s="17"/>
      <c r="G57" s="17"/>
      <c r="H57" s="17"/>
      <c r="I57" s="17"/>
      <c r="J57" s="17"/>
      <c r="K57" s="17"/>
      <c r="L57" s="17"/>
      <c r="M57" s="17"/>
      <c r="N57" s="17"/>
      <c r="O57" s="17"/>
      <c r="P57" s="17"/>
      <c r="Q57" s="17"/>
      <c r="R57" s="17"/>
      <c r="S57" s="17"/>
    </row>
    <row r="58" spans="1:19">
      <c r="A58" s="17"/>
      <c r="C58" s="17"/>
      <c r="D58" s="17"/>
      <c r="E58" s="17"/>
      <c r="F58" s="17"/>
      <c r="G58" s="17"/>
      <c r="H58" s="17"/>
      <c r="I58" s="17"/>
      <c r="J58" s="17"/>
      <c r="K58" s="17"/>
      <c r="L58" s="17"/>
      <c r="M58" s="17"/>
      <c r="N58" s="17"/>
      <c r="O58" s="17"/>
      <c r="P58" s="17"/>
      <c r="Q58" s="17"/>
      <c r="R58" s="17"/>
      <c r="S58" s="17"/>
    </row>
    <row r="59" spans="1:19">
      <c r="A59" s="12"/>
      <c r="D59" s="147" t="s">
        <v>413</v>
      </c>
      <c r="E59" s="147" t="s">
        <v>414</v>
      </c>
      <c r="F59" s="147" t="s">
        <v>415</v>
      </c>
      <c r="G59" s="147" t="s">
        <v>416</v>
      </c>
      <c r="H59" s="147" t="s">
        <v>417</v>
      </c>
      <c r="I59" s="147" t="s">
        <v>418</v>
      </c>
      <c r="J59" s="147" t="s">
        <v>419</v>
      </c>
      <c r="K59" s="147" t="s">
        <v>420</v>
      </c>
      <c r="L59" s="147" t="s">
        <v>451</v>
      </c>
      <c r="M59" s="147" t="s">
        <v>586</v>
      </c>
      <c r="N59" s="147" t="s">
        <v>587</v>
      </c>
      <c r="O59" s="147" t="s">
        <v>588</v>
      </c>
      <c r="P59" s="147" t="s">
        <v>589</v>
      </c>
      <c r="Q59" s="147"/>
      <c r="R59" s="379"/>
    </row>
    <row r="60" spans="1:19">
      <c r="A60" s="12"/>
      <c r="D60" s="147"/>
      <c r="E60" s="147"/>
      <c r="F60" s="147"/>
      <c r="G60" s="147"/>
      <c r="H60" s="147"/>
      <c r="I60" s="147"/>
      <c r="J60" s="147"/>
      <c r="K60" s="147"/>
      <c r="L60" s="147"/>
      <c r="M60" s="147"/>
      <c r="N60" s="147"/>
      <c r="O60" s="147"/>
      <c r="P60" s="149" t="s">
        <v>749</v>
      </c>
      <c r="Q60" s="149"/>
      <c r="R60" s="379"/>
    </row>
    <row r="61" spans="1:19">
      <c r="B61" s="8"/>
      <c r="C61" s="8"/>
      <c r="N61" s="35"/>
      <c r="P61" s="35"/>
      <c r="Q61" s="35"/>
      <c r="R61" s="379"/>
    </row>
    <row r="62" spans="1:19">
      <c r="A62" s="409"/>
      <c r="B62" s="379"/>
      <c r="C62" s="151" t="s">
        <v>750</v>
      </c>
      <c r="D62" s="116">
        <v>350.01</v>
      </c>
      <c r="E62" s="116">
        <v>350.02</v>
      </c>
      <c r="F62" s="116">
        <v>352.01</v>
      </c>
      <c r="G62" s="116">
        <v>352.02</v>
      </c>
      <c r="H62" s="116">
        <v>353.01</v>
      </c>
      <c r="I62" s="116">
        <v>353.02</v>
      </c>
      <c r="J62" s="116">
        <v>354</v>
      </c>
      <c r="K62" s="116">
        <v>355</v>
      </c>
      <c r="L62" s="116">
        <v>356</v>
      </c>
      <c r="M62" s="116">
        <v>357</v>
      </c>
      <c r="N62" s="116">
        <v>358</v>
      </c>
      <c r="O62" s="116">
        <v>359</v>
      </c>
      <c r="R62" s="379"/>
    </row>
    <row r="63" spans="1:19">
      <c r="A63" s="144" t="s">
        <v>99</v>
      </c>
      <c r="B63" s="144" t="s">
        <v>426</v>
      </c>
      <c r="C63" s="144" t="s">
        <v>462</v>
      </c>
      <c r="D63" s="147" t="s">
        <v>751</v>
      </c>
      <c r="E63" s="147" t="s">
        <v>752</v>
      </c>
      <c r="F63" s="147" t="s">
        <v>753</v>
      </c>
      <c r="G63" s="147" t="s">
        <v>754</v>
      </c>
      <c r="H63" s="147" t="s">
        <v>755</v>
      </c>
      <c r="I63" s="147" t="s">
        <v>756</v>
      </c>
      <c r="J63" s="147" t="s">
        <v>757</v>
      </c>
      <c r="K63" s="147" t="s">
        <v>758</v>
      </c>
      <c r="L63" s="147" t="s">
        <v>759</v>
      </c>
      <c r="M63" s="147" t="s">
        <v>760</v>
      </c>
      <c r="N63" s="147" t="s">
        <v>761</v>
      </c>
      <c r="O63" s="147" t="s">
        <v>762</v>
      </c>
      <c r="P63" s="144" t="s">
        <v>509</v>
      </c>
      <c r="Q63" s="144"/>
      <c r="R63" s="144" t="str">
        <f>A63</f>
        <v>Line</v>
      </c>
    </row>
    <row r="64" spans="1:19">
      <c r="A64" s="379">
        <v>300</v>
      </c>
      <c r="B64" s="145" t="s">
        <v>470</v>
      </c>
      <c r="C64" s="152">
        <f>'1-BaseTRR'!$G$2-1</f>
        <v>2019</v>
      </c>
      <c r="D64" s="510">
        <v>46370.618247045313</v>
      </c>
      <c r="E64" s="510">
        <v>37032330.421571337</v>
      </c>
      <c r="F64" s="510">
        <v>42884783.935080737</v>
      </c>
      <c r="G64" s="510">
        <v>9244855.2108100317</v>
      </c>
      <c r="H64" s="510">
        <v>633525053.64232469</v>
      </c>
      <c r="I64" s="510">
        <v>12431937.811429188</v>
      </c>
      <c r="J64" s="510">
        <v>110896692.4939892</v>
      </c>
      <c r="K64" s="510">
        <v>310236528.2450887</v>
      </c>
      <c r="L64" s="510">
        <v>286433211.96989191</v>
      </c>
      <c r="M64" s="510">
        <v>39767860.352913238</v>
      </c>
      <c r="N64" s="510">
        <v>39692265.55677525</v>
      </c>
      <c r="O64" s="510">
        <v>9210255.1751623638</v>
      </c>
      <c r="P64" s="30">
        <f>SUM(D64:O64)</f>
        <v>1531402145.4332838</v>
      </c>
      <c r="Q64" s="157"/>
      <c r="R64" s="379">
        <f t="shared" ref="R64:R77" si="10">A64</f>
        <v>300</v>
      </c>
    </row>
    <row r="65" spans="1:18">
      <c r="A65" s="379">
        <f>A64+1</f>
        <v>301</v>
      </c>
      <c r="B65" s="145" t="s">
        <v>472</v>
      </c>
      <c r="C65" s="152">
        <f>'1-BaseTRR'!$G$2</f>
        <v>2020</v>
      </c>
      <c r="D65" s="510">
        <v>-2339.5016106438643</v>
      </c>
      <c r="E65" s="510">
        <v>35858045.537760645</v>
      </c>
      <c r="F65" s="510">
        <v>54496999.05320552</v>
      </c>
      <c r="G65" s="510">
        <v>9764463.0519022457</v>
      </c>
      <c r="H65" s="510">
        <v>748103946.66986942</v>
      </c>
      <c r="I65" s="510">
        <v>11472470.735502768</v>
      </c>
      <c r="J65" s="510">
        <v>156590439.53159609</v>
      </c>
      <c r="K65" s="510">
        <v>295330037.63926196</v>
      </c>
      <c r="L65" s="510">
        <v>321471688.34518766</v>
      </c>
      <c r="M65" s="510">
        <v>31691585.961040784</v>
      </c>
      <c r="N65" s="510">
        <v>43014028.907835446</v>
      </c>
      <c r="O65" s="510">
        <v>9580177.7056278493</v>
      </c>
      <c r="P65" s="30">
        <f t="shared" ref="P65:P76" si="11">SUM(D65:O65)</f>
        <v>1717371543.6371796</v>
      </c>
      <c r="Q65" s="157"/>
      <c r="R65" s="379">
        <f t="shared" si="10"/>
        <v>301</v>
      </c>
    </row>
    <row r="66" spans="1:18">
      <c r="A66" s="379">
        <f t="shared" ref="A66:A77" si="12">A65+1</f>
        <v>302</v>
      </c>
      <c r="B66" s="145" t="s">
        <v>473</v>
      </c>
      <c r="C66" s="152">
        <f>'1-BaseTRR'!$G$2</f>
        <v>2020</v>
      </c>
      <c r="D66" s="510">
        <v>-2382.1539294248769</v>
      </c>
      <c r="E66" s="510">
        <v>36014254.195194811</v>
      </c>
      <c r="F66" s="510">
        <v>54788833.034310155</v>
      </c>
      <c r="G66" s="510">
        <v>9876884.5586011056</v>
      </c>
      <c r="H66" s="510">
        <v>751079139.4529444</v>
      </c>
      <c r="I66" s="510">
        <v>11513812.79121143</v>
      </c>
      <c r="J66" s="510">
        <v>156282690.62689018</v>
      </c>
      <c r="K66" s="510">
        <v>297484153.19375205</v>
      </c>
      <c r="L66" s="510">
        <v>320420693.87605411</v>
      </c>
      <c r="M66" s="510">
        <v>31905285.48869111</v>
      </c>
      <c r="N66" s="510">
        <v>43247712.847532429</v>
      </c>
      <c r="O66" s="510">
        <v>9713490.4331727512</v>
      </c>
      <c r="P66" s="30">
        <f t="shared" si="11"/>
        <v>1722324568.344425</v>
      </c>
      <c r="Q66" s="157"/>
      <c r="R66" s="379">
        <f t="shared" si="10"/>
        <v>302</v>
      </c>
    </row>
    <row r="67" spans="1:18">
      <c r="A67" s="379">
        <f t="shared" si="12"/>
        <v>303</v>
      </c>
      <c r="B67" s="145" t="s">
        <v>474</v>
      </c>
      <c r="C67" s="152">
        <f>'1-BaseTRR'!$G$2</f>
        <v>2020</v>
      </c>
      <c r="D67" s="510">
        <v>-2431.3408535628546</v>
      </c>
      <c r="E67" s="510">
        <v>36155107.509251028</v>
      </c>
      <c r="F67" s="510">
        <v>55074781.291109815</v>
      </c>
      <c r="G67" s="510">
        <v>9970689.3366277646</v>
      </c>
      <c r="H67" s="510">
        <v>757192067.91673982</v>
      </c>
      <c r="I67" s="510">
        <v>11555097.657896152</v>
      </c>
      <c r="J67" s="510">
        <v>156621381.9960435</v>
      </c>
      <c r="K67" s="510">
        <v>300101434.90084726</v>
      </c>
      <c r="L67" s="510">
        <v>324481200.55777705</v>
      </c>
      <c r="M67" s="510">
        <v>32117964.526502971</v>
      </c>
      <c r="N67" s="510">
        <v>43453484.70557414</v>
      </c>
      <c r="O67" s="510">
        <v>9526739.3034326453</v>
      </c>
      <c r="P67" s="30">
        <f t="shared" si="11"/>
        <v>1736247518.3609488</v>
      </c>
      <c r="Q67" s="157"/>
      <c r="R67" s="379">
        <f t="shared" si="10"/>
        <v>303</v>
      </c>
    </row>
    <row r="68" spans="1:18">
      <c r="A68" s="379">
        <f t="shared" si="12"/>
        <v>304</v>
      </c>
      <c r="B68" s="145" t="s">
        <v>475</v>
      </c>
      <c r="C68" s="152">
        <f>'1-BaseTRR'!$G$2</f>
        <v>2020</v>
      </c>
      <c r="D68" s="510">
        <v>-2460.130221086245</v>
      </c>
      <c r="E68" s="510">
        <v>36272770.03208109</v>
      </c>
      <c r="F68" s="510">
        <v>55366271.369724706</v>
      </c>
      <c r="G68" s="510">
        <v>10064223.672397424</v>
      </c>
      <c r="H68" s="510">
        <v>762653106.33221698</v>
      </c>
      <c r="I68" s="510">
        <v>11596005.623303656</v>
      </c>
      <c r="J68" s="510">
        <v>157011188.04186878</v>
      </c>
      <c r="K68" s="510">
        <v>302797764.03921545</v>
      </c>
      <c r="L68" s="510">
        <v>327554568.81491029</v>
      </c>
      <c r="M68" s="510">
        <v>32333654.345524944</v>
      </c>
      <c r="N68" s="510">
        <v>43732715.528433591</v>
      </c>
      <c r="O68" s="510">
        <v>9669255.2008261438</v>
      </c>
      <c r="P68" s="30">
        <f t="shared" si="11"/>
        <v>1749049062.8702822</v>
      </c>
      <c r="Q68" s="157"/>
      <c r="R68" s="379">
        <f t="shared" si="10"/>
        <v>304</v>
      </c>
    </row>
    <row r="69" spans="1:18">
      <c r="A69" s="379">
        <f t="shared" si="12"/>
        <v>305</v>
      </c>
      <c r="B69" s="145" t="s">
        <v>437</v>
      </c>
      <c r="C69" s="152">
        <f>'1-BaseTRR'!$G$2</f>
        <v>2020</v>
      </c>
      <c r="D69" s="510">
        <v>-2445.8111042277374</v>
      </c>
      <c r="E69" s="510">
        <v>36433403.341346733</v>
      </c>
      <c r="F69" s="510">
        <v>55489408.148826912</v>
      </c>
      <c r="G69" s="510">
        <v>10157101.177817648</v>
      </c>
      <c r="H69" s="510">
        <v>766388762.35990345</v>
      </c>
      <c r="I69" s="510">
        <v>11644199.325220516</v>
      </c>
      <c r="J69" s="510">
        <v>157559113.91282019</v>
      </c>
      <c r="K69" s="510">
        <v>305578265.20837373</v>
      </c>
      <c r="L69" s="510">
        <v>329303506.73133504</v>
      </c>
      <c r="M69" s="510">
        <v>32547952.399473239</v>
      </c>
      <c r="N69" s="510">
        <v>43988345.177269951</v>
      </c>
      <c r="O69" s="510">
        <v>9794593.8355325591</v>
      </c>
      <c r="P69" s="30">
        <f t="shared" si="11"/>
        <v>1758882205.8068156</v>
      </c>
      <c r="Q69" s="157"/>
      <c r="R69" s="379">
        <f t="shared" si="10"/>
        <v>305</v>
      </c>
    </row>
    <row r="70" spans="1:18">
      <c r="A70" s="379">
        <f t="shared" si="12"/>
        <v>306</v>
      </c>
      <c r="B70" s="145" t="s">
        <v>592</v>
      </c>
      <c r="C70" s="152">
        <f>'1-BaseTRR'!$G$2</f>
        <v>2020</v>
      </c>
      <c r="D70" s="510">
        <v>-2710.6989710579383</v>
      </c>
      <c r="E70" s="510">
        <v>36595551.925736763</v>
      </c>
      <c r="F70" s="510">
        <v>55763920.766444467</v>
      </c>
      <c r="G70" s="510">
        <v>10249782.209975528</v>
      </c>
      <c r="H70" s="510">
        <v>773161203.53125703</v>
      </c>
      <c r="I70" s="510">
        <v>11680432.059412396</v>
      </c>
      <c r="J70" s="510">
        <v>157993584.35199249</v>
      </c>
      <c r="K70" s="510">
        <v>302685801.99361777</v>
      </c>
      <c r="L70" s="510">
        <v>330293202.8667618</v>
      </c>
      <c r="M70" s="510">
        <v>32762793.081538457</v>
      </c>
      <c r="N70" s="510">
        <v>44104561.112423621</v>
      </c>
      <c r="O70" s="510">
        <v>9926123.3844323326</v>
      </c>
      <c r="P70" s="30">
        <f t="shared" si="11"/>
        <v>1765214246.5846214</v>
      </c>
      <c r="Q70" s="157"/>
      <c r="R70" s="379">
        <f t="shared" si="10"/>
        <v>306</v>
      </c>
    </row>
    <row r="71" spans="1:18">
      <c r="A71" s="379">
        <f t="shared" si="12"/>
        <v>307</v>
      </c>
      <c r="B71" s="145" t="s">
        <v>477</v>
      </c>
      <c r="C71" s="152">
        <f>'1-BaseTRR'!$G$2</f>
        <v>2020</v>
      </c>
      <c r="D71" s="510">
        <v>-2711.6618631461974</v>
      </c>
      <c r="E71" s="510">
        <v>36758788.930850297</v>
      </c>
      <c r="F71" s="510">
        <v>56052931.093758687</v>
      </c>
      <c r="G71" s="510">
        <v>10342160.376244254</v>
      </c>
      <c r="H71" s="510">
        <v>780753066.52797604</v>
      </c>
      <c r="I71" s="510">
        <v>11720713.505866993</v>
      </c>
      <c r="J71" s="510">
        <v>157731076.12208533</v>
      </c>
      <c r="K71" s="510">
        <v>303124123.82497764</v>
      </c>
      <c r="L71" s="510">
        <v>331947461.24471617</v>
      </c>
      <c r="M71" s="510">
        <v>32978563.187544808</v>
      </c>
      <c r="N71" s="510">
        <v>44388906.46488145</v>
      </c>
      <c r="O71" s="510">
        <v>10060803.056389457</v>
      </c>
      <c r="P71" s="30">
        <f t="shared" si="11"/>
        <v>1775855882.6734281</v>
      </c>
      <c r="Q71" s="157"/>
      <c r="R71" s="379">
        <f t="shared" si="10"/>
        <v>307</v>
      </c>
    </row>
    <row r="72" spans="1:18">
      <c r="A72" s="379">
        <f t="shared" si="12"/>
        <v>308</v>
      </c>
      <c r="B72" s="145" t="s">
        <v>478</v>
      </c>
      <c r="C72" s="152">
        <f>'1-BaseTRR'!$G$2</f>
        <v>2020</v>
      </c>
      <c r="D72" s="510">
        <v>-2712.4210829213666</v>
      </c>
      <c r="E72" s="510">
        <v>36880583.635452285</v>
      </c>
      <c r="F72" s="510">
        <v>56342242.389806956</v>
      </c>
      <c r="G72" s="510">
        <v>10433409.395979431</v>
      </c>
      <c r="H72" s="510">
        <v>790519781.1143713</v>
      </c>
      <c r="I72" s="510">
        <v>11760396.445005346</v>
      </c>
      <c r="J72" s="510">
        <v>159254682.98699182</v>
      </c>
      <c r="K72" s="510">
        <v>307664517.53904426</v>
      </c>
      <c r="L72" s="510">
        <v>333667985.62781841</v>
      </c>
      <c r="M72" s="510">
        <v>33194519.541417949</v>
      </c>
      <c r="N72" s="510">
        <v>44677122.342364512</v>
      </c>
      <c r="O72" s="510">
        <v>10191356.631964471</v>
      </c>
      <c r="P72" s="30">
        <f t="shared" si="11"/>
        <v>1794583885.2291336</v>
      </c>
      <c r="Q72" s="157"/>
      <c r="R72" s="379">
        <f t="shared" si="10"/>
        <v>308</v>
      </c>
    </row>
    <row r="73" spans="1:18">
      <c r="A73" s="379">
        <f t="shared" si="12"/>
        <v>309</v>
      </c>
      <c r="B73" s="145" t="s">
        <v>480</v>
      </c>
      <c r="C73" s="152">
        <f>'1-BaseTRR'!$G$2</f>
        <v>2020</v>
      </c>
      <c r="D73" s="510">
        <v>-2713.1198240790145</v>
      </c>
      <c r="E73" s="510">
        <v>37039352.810545646</v>
      </c>
      <c r="F73" s="510">
        <v>56617321.656271271</v>
      </c>
      <c r="G73" s="510">
        <v>10524259.217671968</v>
      </c>
      <c r="H73" s="510">
        <v>796997579.53842568</v>
      </c>
      <c r="I73" s="510">
        <v>11794436.223204037</v>
      </c>
      <c r="J73" s="510">
        <v>157157314.01985848</v>
      </c>
      <c r="K73" s="510">
        <v>306590403.5159204</v>
      </c>
      <c r="L73" s="510">
        <v>334585818.55076844</v>
      </c>
      <c r="M73" s="510">
        <v>33409278.957074523</v>
      </c>
      <c r="N73" s="510">
        <v>44963446.201378077</v>
      </c>
      <c r="O73" s="510">
        <v>10322599.286606856</v>
      </c>
      <c r="P73" s="30">
        <f t="shared" si="11"/>
        <v>1799999096.8579013</v>
      </c>
      <c r="Q73" s="157"/>
      <c r="R73" s="379">
        <f t="shared" si="10"/>
        <v>309</v>
      </c>
    </row>
    <row r="74" spans="1:18">
      <c r="A74" s="379">
        <f t="shared" si="12"/>
        <v>310</v>
      </c>
      <c r="B74" s="145" t="s">
        <v>481</v>
      </c>
      <c r="C74" s="152">
        <f>'1-BaseTRR'!$G$2</f>
        <v>2020</v>
      </c>
      <c r="D74" s="510">
        <v>-2715.2869387531127</v>
      </c>
      <c r="E74" s="510">
        <v>37199570.594557092</v>
      </c>
      <c r="F74" s="510">
        <v>56910521.561536655</v>
      </c>
      <c r="G74" s="510">
        <v>10617336.820256766</v>
      </c>
      <c r="H74" s="510">
        <v>799776022.71489584</v>
      </c>
      <c r="I74" s="510">
        <v>11834068.030001411</v>
      </c>
      <c r="J74" s="510">
        <v>157195138.07908708</v>
      </c>
      <c r="K74" s="510">
        <v>309551532.44715482</v>
      </c>
      <c r="L74" s="510">
        <v>333927478.39570582</v>
      </c>
      <c r="M74" s="510">
        <v>33623793.630062997</v>
      </c>
      <c r="N74" s="510">
        <v>45241619.445882417</v>
      </c>
      <c r="O74" s="510">
        <v>10454141.562748797</v>
      </c>
      <c r="P74" s="30">
        <f t="shared" si="11"/>
        <v>1806328507.9949508</v>
      </c>
      <c r="Q74" s="157"/>
      <c r="R74" s="379">
        <f t="shared" si="10"/>
        <v>310</v>
      </c>
    </row>
    <row r="75" spans="1:18">
      <c r="A75" s="379">
        <f t="shared" si="12"/>
        <v>311</v>
      </c>
      <c r="B75" s="145" t="s">
        <v>482</v>
      </c>
      <c r="C75" s="152">
        <f>'1-BaseTRR'!$G$2</f>
        <v>2020</v>
      </c>
      <c r="D75" s="510">
        <v>-2714.944200801945</v>
      </c>
      <c r="E75" s="510">
        <v>37359428.942793898</v>
      </c>
      <c r="F75" s="510">
        <v>57199238.965231769</v>
      </c>
      <c r="G75" s="510">
        <v>10710589.325957321</v>
      </c>
      <c r="H75" s="510">
        <v>802931832.52970493</v>
      </c>
      <c r="I75" s="510">
        <v>11773549.392291525</v>
      </c>
      <c r="J75" s="510">
        <v>157603461.47191259</v>
      </c>
      <c r="K75" s="510">
        <v>315347371.8623473</v>
      </c>
      <c r="L75" s="510">
        <v>338840013.80563986</v>
      </c>
      <c r="M75" s="510">
        <v>33839038.661661088</v>
      </c>
      <c r="N75" s="510">
        <v>45521730.2559404</v>
      </c>
      <c r="O75" s="510">
        <v>10588342.186471375</v>
      </c>
      <c r="P75" s="30">
        <f t="shared" si="11"/>
        <v>1821711882.4557514</v>
      </c>
      <c r="Q75" s="157"/>
      <c r="R75" s="379">
        <f t="shared" si="10"/>
        <v>311</v>
      </c>
    </row>
    <row r="76" spans="1:18">
      <c r="A76" s="379">
        <f t="shared" si="12"/>
        <v>312</v>
      </c>
      <c r="B76" s="145" t="s">
        <v>470</v>
      </c>
      <c r="C76" s="152">
        <f>'1-BaseTRR'!$G$2</f>
        <v>2020</v>
      </c>
      <c r="D76" s="465">
        <v>-2673.21791163129</v>
      </c>
      <c r="E76" s="465">
        <v>37134887.629073456</v>
      </c>
      <c r="F76" s="465">
        <v>57275944.929522172</v>
      </c>
      <c r="G76" s="465">
        <v>10775956.117125733</v>
      </c>
      <c r="H76" s="465">
        <v>809044718.36015952</v>
      </c>
      <c r="I76" s="465">
        <v>11905869.195438014</v>
      </c>
      <c r="J76" s="465">
        <v>157335940.62828374</v>
      </c>
      <c r="K76" s="465">
        <v>318544082.12423605</v>
      </c>
      <c r="L76" s="465">
        <v>336604693.71972704</v>
      </c>
      <c r="M76" s="465">
        <v>34020581.944851592</v>
      </c>
      <c r="N76" s="465">
        <v>45789887.664506271</v>
      </c>
      <c r="O76" s="465">
        <v>10402307.423512593</v>
      </c>
      <c r="P76" s="539">
        <f t="shared" si="11"/>
        <v>1828832196.5185246</v>
      </c>
      <c r="Q76" s="194"/>
      <c r="R76" s="379">
        <f t="shared" si="10"/>
        <v>312</v>
      </c>
    </row>
    <row r="77" spans="1:18">
      <c r="A77" s="379">
        <f t="shared" si="12"/>
        <v>313</v>
      </c>
      <c r="B77" s="677" t="s">
        <v>763</v>
      </c>
      <c r="C77" s="678"/>
      <c r="D77" s="679">
        <f>SUM(D64:D76)/13</f>
        <v>1181.5638258237591</v>
      </c>
      <c r="E77" s="679">
        <f>SUM(E64:E76)/13</f>
        <v>36671851.962016545</v>
      </c>
      <c r="F77" s="679">
        <f>SUM(F64:F76)/13</f>
        <v>54943322.938063823</v>
      </c>
      <c r="G77" s="679">
        <f>SUM(G64:G76)/13</f>
        <v>10210131.574720556</v>
      </c>
      <c r="H77" s="679">
        <f t="shared" ref="H77:P77" si="13">SUM(H64:H76)/13</f>
        <v>767086636.97621453</v>
      </c>
      <c r="I77" s="679">
        <f t="shared" si="13"/>
        <v>11744845.29198334</v>
      </c>
      <c r="J77" s="679">
        <f t="shared" si="13"/>
        <v>153787131.09718612</v>
      </c>
      <c r="K77" s="679">
        <f t="shared" si="13"/>
        <v>305772001.27183366</v>
      </c>
      <c r="L77" s="679">
        <f t="shared" si="13"/>
        <v>326887040.34663796</v>
      </c>
      <c r="M77" s="679">
        <f t="shared" si="13"/>
        <v>33399451.698330596</v>
      </c>
      <c r="N77" s="679">
        <f t="shared" si="13"/>
        <v>43985832.785445958</v>
      </c>
      <c r="O77" s="679">
        <f t="shared" si="13"/>
        <v>9956937.3219907843</v>
      </c>
      <c r="P77" s="680">
        <f t="shared" si="13"/>
        <v>1754446364.8282495</v>
      </c>
      <c r="Q77" s="157"/>
      <c r="R77" s="379">
        <f t="shared" si="10"/>
        <v>313</v>
      </c>
    </row>
    <row r="78" spans="1:18">
      <c r="A78" s="379"/>
      <c r="B78" s="156"/>
      <c r="C78" s="156"/>
      <c r="D78" s="20"/>
      <c r="E78" s="20"/>
      <c r="F78" s="20"/>
      <c r="G78" s="20"/>
      <c r="H78" s="20"/>
      <c r="I78" s="20"/>
      <c r="J78" s="20"/>
      <c r="K78" s="20"/>
      <c r="L78" s="20"/>
      <c r="M78" s="20"/>
      <c r="N78" s="20"/>
      <c r="R78" s="379"/>
    </row>
    <row r="79" spans="1:18">
      <c r="A79" s="379"/>
      <c r="B79" s="156"/>
      <c r="C79" s="156"/>
      <c r="D79" s="20"/>
      <c r="E79" s="20"/>
      <c r="F79" s="20"/>
      <c r="G79" s="20"/>
      <c r="H79" s="20"/>
      <c r="I79" s="20"/>
      <c r="J79" s="20"/>
      <c r="K79" s="20"/>
      <c r="L79" s="20"/>
      <c r="M79" s="20"/>
      <c r="N79" s="20"/>
      <c r="R79" s="379"/>
    </row>
    <row r="80" spans="1:18">
      <c r="B80" s="52" t="s">
        <v>919</v>
      </c>
      <c r="C80" s="52"/>
      <c r="D80" s="138"/>
      <c r="E80" s="138"/>
      <c r="F80" s="138"/>
      <c r="G80" s="138"/>
      <c r="H80" s="138"/>
      <c r="I80" s="138"/>
      <c r="J80" s="138"/>
      <c r="K80" s="138"/>
      <c r="L80" s="138"/>
      <c r="M80" s="138"/>
      <c r="N80" s="219"/>
      <c r="O80" s="219"/>
      <c r="P80" s="219"/>
      <c r="Q80" s="219"/>
      <c r="R80" s="379"/>
    </row>
    <row r="81" spans="1:18">
      <c r="B81" s="145" t="s">
        <v>920</v>
      </c>
      <c r="R81" s="379"/>
    </row>
    <row r="82" spans="1:18">
      <c r="R82" s="379"/>
    </row>
    <row r="83" spans="1:18">
      <c r="A83" s="12"/>
      <c r="D83" s="147" t="s">
        <v>413</v>
      </c>
      <c r="E83" s="147" t="s">
        <v>414</v>
      </c>
      <c r="F83" s="147" t="s">
        <v>415</v>
      </c>
      <c r="G83" s="147"/>
      <c r="H83" s="147"/>
      <c r="I83" s="147"/>
      <c r="J83" s="147"/>
      <c r="K83" s="147"/>
      <c r="L83" s="147"/>
      <c r="M83" s="147"/>
      <c r="N83" s="147"/>
      <c r="R83" s="379"/>
    </row>
    <row r="84" spans="1:18">
      <c r="A84" s="12"/>
      <c r="D84" s="133" t="s">
        <v>528</v>
      </c>
      <c r="E84" s="149" t="s">
        <v>110</v>
      </c>
      <c r="F84" s="149" t="s">
        <v>110</v>
      </c>
      <c r="G84" s="147"/>
      <c r="H84" s="147"/>
      <c r="I84" s="147"/>
      <c r="J84" s="147"/>
      <c r="K84" s="147"/>
      <c r="L84" s="147"/>
      <c r="M84" s="147"/>
      <c r="N84" s="147"/>
      <c r="R84" s="379"/>
    </row>
    <row r="85" spans="1:18">
      <c r="B85" s="8"/>
      <c r="C85" s="8"/>
      <c r="N85" s="35"/>
      <c r="R85" s="379"/>
    </row>
    <row r="86" spans="1:18">
      <c r="A86" s="144" t="s">
        <v>99</v>
      </c>
      <c r="B86" s="144" t="s">
        <v>426</v>
      </c>
      <c r="C86" s="144" t="s">
        <v>462</v>
      </c>
      <c r="D86" s="147" t="s">
        <v>921</v>
      </c>
      <c r="E86" s="147" t="s">
        <v>775</v>
      </c>
      <c r="F86" s="147" t="s">
        <v>776</v>
      </c>
      <c r="G86" s="147"/>
      <c r="H86" s="147"/>
      <c r="I86" s="147"/>
      <c r="J86" s="147"/>
      <c r="K86" s="147"/>
      <c r="L86" s="147"/>
      <c r="M86" s="147"/>
      <c r="N86" s="144"/>
      <c r="R86" s="144" t="str">
        <f>A86</f>
        <v>Line</v>
      </c>
    </row>
    <row r="87" spans="1:18">
      <c r="A87" s="379">
        <v>400</v>
      </c>
      <c r="B87" s="145" t="s">
        <v>470</v>
      </c>
      <c r="C87" s="152">
        <f>'1-BaseTRR'!$G$2-1</f>
        <v>2019</v>
      </c>
      <c r="D87" s="508">
        <f>+E87+F87</f>
        <v>288352419.40999997</v>
      </c>
      <c r="E87" s="510">
        <v>130205460.83854955</v>
      </c>
      <c r="F87" s="510">
        <v>158146958.57145044</v>
      </c>
      <c r="G87" s="159" t="s">
        <v>922</v>
      </c>
      <c r="H87" s="159"/>
      <c r="I87" s="159"/>
      <c r="J87" s="159"/>
      <c r="K87" s="159"/>
      <c r="L87" s="159"/>
      <c r="M87" s="159"/>
      <c r="N87" s="20"/>
      <c r="R87" s="379">
        <f t="shared" ref="R87:R89" si="14">A87</f>
        <v>400</v>
      </c>
    </row>
    <row r="88" spans="1:18">
      <c r="A88" s="379">
        <f>+A87+1</f>
        <v>401</v>
      </c>
      <c r="B88" s="154" t="s">
        <v>470</v>
      </c>
      <c r="C88" s="155">
        <f>'1-BaseTRR'!$G$2</f>
        <v>2020</v>
      </c>
      <c r="D88" s="509">
        <f>+E88+F88</f>
        <v>320152032.88</v>
      </c>
      <c r="E88" s="511">
        <v>140214618.29686186</v>
      </c>
      <c r="F88" s="511">
        <v>179937414.58313817</v>
      </c>
      <c r="G88" s="159" t="s">
        <v>923</v>
      </c>
      <c r="H88" s="160"/>
      <c r="I88" s="160"/>
      <c r="J88" s="160"/>
      <c r="K88" s="160"/>
      <c r="L88" s="160"/>
      <c r="M88" s="160"/>
      <c r="N88" s="160"/>
      <c r="R88" s="379">
        <f t="shared" si="14"/>
        <v>401</v>
      </c>
    </row>
    <row r="89" spans="1:18">
      <c r="A89" s="379">
        <f t="shared" ref="A89" si="15">A88+1</f>
        <v>402</v>
      </c>
      <c r="B89" s="163" t="s">
        <v>779</v>
      </c>
      <c r="C89" s="163"/>
      <c r="D89" s="582">
        <f t="shared" ref="D89:F89" si="16">AVERAGE(D87:D88)</f>
        <v>304252226.14499998</v>
      </c>
      <c r="E89" s="582">
        <f t="shared" si="16"/>
        <v>135210039.56770569</v>
      </c>
      <c r="F89" s="582">
        <f t="shared" si="16"/>
        <v>169042186.57729429</v>
      </c>
      <c r="G89" s="20" t="s">
        <v>780</v>
      </c>
      <c r="H89" s="20"/>
      <c r="I89" s="20"/>
      <c r="J89" s="20"/>
      <c r="K89" s="20"/>
      <c r="L89" s="20"/>
      <c r="M89" s="20"/>
      <c r="N89" s="20"/>
      <c r="R89" s="379">
        <f t="shared" si="14"/>
        <v>402</v>
      </c>
    </row>
    <row r="90" spans="1:18">
      <c r="A90" s="379"/>
      <c r="B90" s="156"/>
      <c r="C90" s="156"/>
      <c r="D90" s="20"/>
      <c r="E90" s="20"/>
      <c r="F90" s="20"/>
      <c r="G90" s="20"/>
      <c r="H90" s="20"/>
      <c r="I90" s="20"/>
      <c r="J90" s="20"/>
      <c r="K90" s="20"/>
      <c r="L90" s="20"/>
      <c r="M90" s="20"/>
      <c r="N90" s="20"/>
      <c r="R90" s="379"/>
    </row>
    <row r="91" spans="1:18">
      <c r="A91" s="379"/>
      <c r="B91" s="156"/>
      <c r="C91" s="156"/>
      <c r="D91" s="20"/>
      <c r="E91" s="20"/>
      <c r="F91" s="20"/>
      <c r="G91" s="20"/>
      <c r="H91" s="20"/>
      <c r="I91" s="20"/>
      <c r="J91" s="20"/>
      <c r="K91" s="20"/>
      <c r="L91" s="20"/>
      <c r="M91" s="20"/>
      <c r="N91" s="20"/>
      <c r="R91" s="379"/>
    </row>
    <row r="92" spans="1:18">
      <c r="B92" s="52" t="s">
        <v>924</v>
      </c>
      <c r="C92" s="52"/>
      <c r="D92" s="138"/>
      <c r="E92" s="138"/>
      <c r="F92" s="138"/>
      <c r="G92" s="138"/>
      <c r="H92" s="138"/>
      <c r="I92" s="138"/>
      <c r="J92" s="138"/>
      <c r="K92" s="138"/>
      <c r="L92" s="138"/>
      <c r="M92" s="138"/>
      <c r="N92" s="219"/>
      <c r="O92" s="219"/>
      <c r="P92" s="219"/>
      <c r="Q92" s="219"/>
      <c r="R92" s="379"/>
    </row>
    <row r="93" spans="1:18">
      <c r="B93" s="145" t="s">
        <v>925</v>
      </c>
    </row>
    <row r="95" spans="1:18">
      <c r="A95" s="12"/>
      <c r="D95" s="147" t="s">
        <v>413</v>
      </c>
      <c r="E95" s="147" t="s">
        <v>414</v>
      </c>
      <c r="F95" s="147" t="s">
        <v>415</v>
      </c>
      <c r="G95" s="147" t="s">
        <v>416</v>
      </c>
      <c r="H95" s="147" t="s">
        <v>417</v>
      </c>
      <c r="I95" s="147"/>
      <c r="J95" s="147"/>
      <c r="K95" s="147"/>
      <c r="L95" s="147"/>
      <c r="M95" s="147"/>
      <c r="N95" s="147"/>
      <c r="R95" s="379"/>
    </row>
    <row r="96" spans="1:18" ht="29">
      <c r="A96" s="12"/>
      <c r="D96" s="149" t="s">
        <v>202</v>
      </c>
      <c r="E96" s="149" t="s">
        <v>783</v>
      </c>
      <c r="F96" s="161" t="s">
        <v>784</v>
      </c>
      <c r="G96" s="149" t="s">
        <v>785</v>
      </c>
      <c r="H96" s="149" t="s">
        <v>786</v>
      </c>
      <c r="I96" s="147"/>
      <c r="J96" s="147"/>
      <c r="K96" s="147"/>
      <c r="L96" s="147"/>
      <c r="M96" s="147"/>
      <c r="N96" s="147"/>
      <c r="R96" s="379"/>
    </row>
    <row r="97" spans="1:18">
      <c r="A97" s="12"/>
      <c r="D97" s="147"/>
      <c r="E97" s="147"/>
      <c r="F97" s="147"/>
      <c r="G97" s="147"/>
      <c r="H97" s="147"/>
      <c r="I97" s="147"/>
      <c r="J97" s="147"/>
      <c r="K97" s="147"/>
      <c r="L97" s="147"/>
      <c r="M97" s="147"/>
      <c r="N97" s="147"/>
      <c r="R97" s="379"/>
    </row>
    <row r="98" spans="1:18">
      <c r="A98" s="12"/>
      <c r="D98" s="147"/>
      <c r="E98" s="8" t="s">
        <v>787</v>
      </c>
      <c r="F98" s="8" t="s">
        <v>787</v>
      </c>
      <c r="G98" s="147"/>
      <c r="H98" s="147"/>
      <c r="I98" s="147"/>
      <c r="J98" s="147"/>
      <c r="K98" s="147"/>
      <c r="L98" s="147"/>
      <c r="M98" s="147"/>
      <c r="N98" s="147"/>
      <c r="R98" s="379"/>
    </row>
    <row r="99" spans="1:18">
      <c r="B99" s="8"/>
      <c r="C99" s="8"/>
      <c r="D99" s="116" t="s">
        <v>788</v>
      </c>
      <c r="E99" s="8" t="s">
        <v>427</v>
      </c>
      <c r="F99" s="8" t="s">
        <v>427</v>
      </c>
      <c r="N99" s="35"/>
      <c r="R99" s="379"/>
    </row>
    <row r="100" spans="1:18">
      <c r="A100" s="144" t="s">
        <v>99</v>
      </c>
      <c r="B100" s="144" t="s">
        <v>426</v>
      </c>
      <c r="C100" s="144" t="s">
        <v>462</v>
      </c>
      <c r="D100" s="162" t="s">
        <v>789</v>
      </c>
      <c r="E100" s="162" t="s">
        <v>790</v>
      </c>
      <c r="F100" s="158" t="s">
        <v>791</v>
      </c>
      <c r="G100" s="147" t="s">
        <v>775</v>
      </c>
      <c r="H100" s="147" t="s">
        <v>776</v>
      </c>
      <c r="I100" s="147"/>
      <c r="J100" s="147"/>
      <c r="K100" s="147"/>
      <c r="L100" s="147"/>
      <c r="M100" s="147"/>
      <c r="N100" s="144"/>
      <c r="R100" s="144" t="str">
        <f>A100</f>
        <v>Line</v>
      </c>
    </row>
    <row r="101" spans="1:18">
      <c r="A101" s="379">
        <v>500</v>
      </c>
      <c r="B101" s="145" t="s">
        <v>470</v>
      </c>
      <c r="C101" s="152">
        <f>'1-BaseTRR'!$G$2-1</f>
        <v>2019</v>
      </c>
      <c r="D101" s="46">
        <v>1180885454.8599997</v>
      </c>
      <c r="E101" s="28">
        <f>'24-Allocators'!$C$24</f>
        <v>9.5345604059498199E-2</v>
      </c>
      <c r="F101" s="508">
        <f>+D101*E101</f>
        <v>112592237.01870196</v>
      </c>
      <c r="G101" s="512">
        <f>+F101*'24-Allocators'!$C$43</f>
        <v>48796756.1696181</v>
      </c>
      <c r="H101" s="512">
        <f>+F101*'24-Allocators'!$C$44</f>
        <v>63795480.849083893</v>
      </c>
      <c r="I101" s="159" t="s">
        <v>926</v>
      </c>
      <c r="J101" s="159"/>
      <c r="K101" s="159"/>
      <c r="L101" s="159"/>
      <c r="M101" s="159"/>
      <c r="N101" s="20"/>
      <c r="R101" s="379">
        <f t="shared" ref="R101:R103" si="17">A101</f>
        <v>500</v>
      </c>
    </row>
    <row r="102" spans="1:18">
      <c r="A102" s="379">
        <f>+A101+1</f>
        <v>501</v>
      </c>
      <c r="B102" s="154" t="s">
        <v>470</v>
      </c>
      <c r="C102" s="155">
        <f>'1-BaseTRR'!$G$2</f>
        <v>2020</v>
      </c>
      <c r="D102" s="44">
        <v>1172448838.7099996</v>
      </c>
      <c r="E102" s="38">
        <f>'24-Allocators'!$C$24</f>
        <v>9.5345604059498199E-2</v>
      </c>
      <c r="F102" s="509">
        <f>+D102*E102</f>
        <v>111787842.75566208</v>
      </c>
      <c r="G102" s="509">
        <f>+F102*'24-Allocators'!$C$43</f>
        <v>48448136.835309319</v>
      </c>
      <c r="H102" s="509">
        <f>+F102*'24-Allocators'!$C$44</f>
        <v>63339705.920352802</v>
      </c>
      <c r="I102" s="159" t="s">
        <v>927</v>
      </c>
      <c r="J102" s="160"/>
      <c r="K102" s="160"/>
      <c r="L102" s="160"/>
      <c r="M102" s="160"/>
      <c r="N102" s="160"/>
      <c r="R102" s="379">
        <f t="shared" si="17"/>
        <v>501</v>
      </c>
    </row>
    <row r="103" spans="1:18">
      <c r="A103" s="379">
        <f t="shared" ref="A103" si="18">A102+1</f>
        <v>502</v>
      </c>
      <c r="B103" s="163" t="s">
        <v>779</v>
      </c>
      <c r="C103" s="163"/>
      <c r="D103" s="582">
        <f>AVERAGE(D101:D102)</f>
        <v>1176667146.7849996</v>
      </c>
      <c r="E103" s="12"/>
      <c r="F103" s="582">
        <f>AVERAGE(F101:F102)</f>
        <v>112190039.88718203</v>
      </c>
      <c r="G103" s="582">
        <f t="shared" ref="G103:H103" si="19">AVERAGE(G101:G102)</f>
        <v>48622446.502463713</v>
      </c>
      <c r="H103" s="582">
        <f t="shared" si="19"/>
        <v>63567593.384718344</v>
      </c>
      <c r="I103" s="20" t="s">
        <v>794</v>
      </c>
      <c r="J103" s="20"/>
      <c r="K103" s="20"/>
      <c r="L103" s="20"/>
      <c r="M103" s="20"/>
      <c r="N103" s="20"/>
      <c r="R103" s="379">
        <f t="shared" si="17"/>
        <v>502</v>
      </c>
    </row>
    <row r="104" spans="1:18">
      <c r="A104" s="379"/>
      <c r="B104" s="145"/>
      <c r="C104" s="145"/>
      <c r="D104" s="20"/>
      <c r="E104" s="20"/>
      <c r="F104" s="20"/>
      <c r="G104" s="20"/>
      <c r="H104" s="20"/>
      <c r="I104" s="20"/>
      <c r="J104" s="20"/>
      <c r="K104" s="20"/>
      <c r="L104" s="20"/>
      <c r="M104" s="20"/>
      <c r="N104" s="20"/>
      <c r="R104" s="379"/>
    </row>
    <row r="105" spans="1:18">
      <c r="A105" s="379"/>
      <c r="B105" s="145"/>
      <c r="C105" s="145"/>
      <c r="D105" s="20"/>
      <c r="E105" s="20"/>
      <c r="F105" s="20"/>
      <c r="G105" s="20"/>
      <c r="H105" s="20"/>
      <c r="I105" s="20"/>
      <c r="J105" s="20"/>
      <c r="K105" s="20"/>
      <c r="L105" s="20"/>
      <c r="M105" s="20"/>
      <c r="N105" s="20"/>
      <c r="R105" s="379"/>
    </row>
    <row r="106" spans="1:18">
      <c r="B106" s="52" t="s">
        <v>928</v>
      </c>
      <c r="C106" s="52"/>
      <c r="D106" s="138"/>
      <c r="E106" s="138"/>
      <c r="F106" s="138"/>
      <c r="G106" s="138"/>
      <c r="H106" s="138"/>
      <c r="I106" s="138"/>
      <c r="J106" s="138"/>
      <c r="K106" s="138"/>
      <c r="L106" s="138"/>
      <c r="M106" s="138"/>
      <c r="N106" s="219"/>
      <c r="O106" s="219"/>
      <c r="P106" s="219"/>
      <c r="Q106" s="219"/>
      <c r="R106" s="379"/>
    </row>
    <row r="107" spans="1:18">
      <c r="B107" s="145" t="s">
        <v>929</v>
      </c>
    </row>
    <row r="109" spans="1:18">
      <c r="A109" s="12"/>
      <c r="D109" s="147" t="s">
        <v>413</v>
      </c>
      <c r="E109" s="147" t="s">
        <v>414</v>
      </c>
      <c r="F109" s="147" t="s">
        <v>415</v>
      </c>
      <c r="G109" s="147" t="s">
        <v>416</v>
      </c>
      <c r="H109" s="147" t="s">
        <v>417</v>
      </c>
      <c r="I109" s="147"/>
      <c r="J109" s="147"/>
      <c r="K109" s="147"/>
      <c r="L109" s="147"/>
      <c r="M109" s="147"/>
      <c r="N109" s="147"/>
      <c r="R109" s="379"/>
    </row>
    <row r="110" spans="1:18" ht="29">
      <c r="A110" s="12"/>
      <c r="D110" s="149" t="s">
        <v>249</v>
      </c>
      <c r="E110" s="149" t="s">
        <v>797</v>
      </c>
      <c r="F110" s="161" t="s">
        <v>784</v>
      </c>
      <c r="G110" s="149" t="s">
        <v>785</v>
      </c>
      <c r="H110" s="149" t="s">
        <v>786</v>
      </c>
      <c r="I110" s="147"/>
      <c r="J110" s="147"/>
      <c r="K110" s="147"/>
      <c r="L110" s="147"/>
      <c r="M110" s="147"/>
      <c r="N110" s="147"/>
      <c r="R110" s="379"/>
    </row>
    <row r="111" spans="1:18">
      <c r="A111" s="12"/>
      <c r="D111" s="147"/>
      <c r="E111" s="147"/>
      <c r="F111" s="147"/>
      <c r="G111" s="147"/>
      <c r="H111" s="147"/>
      <c r="I111" s="147"/>
      <c r="J111" s="147"/>
      <c r="K111" s="147"/>
      <c r="L111" s="147"/>
      <c r="M111" s="147"/>
      <c r="N111" s="147"/>
      <c r="R111" s="379"/>
    </row>
    <row r="112" spans="1:18">
      <c r="A112" s="12"/>
      <c r="D112" s="147"/>
      <c r="E112" s="8" t="s">
        <v>787</v>
      </c>
      <c r="F112" s="8" t="s">
        <v>787</v>
      </c>
      <c r="G112" s="147"/>
      <c r="H112" s="147"/>
      <c r="I112" s="147"/>
      <c r="J112" s="147"/>
      <c r="K112" s="147"/>
      <c r="L112" s="147"/>
      <c r="M112" s="147"/>
      <c r="N112" s="147"/>
      <c r="R112" s="379"/>
    </row>
    <row r="113" spans="1:18">
      <c r="B113" s="8"/>
      <c r="C113" s="8"/>
      <c r="D113" s="116" t="s">
        <v>798</v>
      </c>
      <c r="E113" s="8" t="s">
        <v>427</v>
      </c>
      <c r="F113" s="8" t="s">
        <v>427</v>
      </c>
      <c r="N113" s="35"/>
      <c r="R113" s="379"/>
    </row>
    <row r="114" spans="1:18">
      <c r="A114" s="144" t="s">
        <v>99</v>
      </c>
      <c r="B114" s="144" t="s">
        <v>426</v>
      </c>
      <c r="C114" s="144" t="s">
        <v>462</v>
      </c>
      <c r="D114" s="162" t="s">
        <v>789</v>
      </c>
      <c r="E114" s="162" t="s">
        <v>790</v>
      </c>
      <c r="F114" s="158" t="s">
        <v>791</v>
      </c>
      <c r="G114" s="147" t="s">
        <v>775</v>
      </c>
      <c r="H114" s="147" t="s">
        <v>776</v>
      </c>
      <c r="I114" s="147"/>
      <c r="J114" s="147"/>
      <c r="K114" s="147"/>
      <c r="L114" s="147"/>
      <c r="M114" s="147"/>
      <c r="N114" s="144"/>
      <c r="R114" s="144" t="str">
        <f>A114</f>
        <v>Line</v>
      </c>
    </row>
    <row r="115" spans="1:18">
      <c r="A115" s="379">
        <v>600</v>
      </c>
      <c r="B115" s="145" t="s">
        <v>470</v>
      </c>
      <c r="C115" s="152">
        <f>'1-BaseTRR'!$G$2-1</f>
        <v>2019</v>
      </c>
      <c r="D115" s="46">
        <v>60973795.319999993</v>
      </c>
      <c r="E115" s="28">
        <f>'24-Allocators'!$C$23</f>
        <v>0.13651159222612441</v>
      </c>
      <c r="F115" s="508">
        <f>+D115*E115</f>
        <v>8323629.8832030119</v>
      </c>
      <c r="G115" s="512">
        <f>+F115*'24-Allocators'!$C$43</f>
        <v>3607408.0115251513</v>
      </c>
      <c r="H115" s="512">
        <f>+F115*'24-Allocators'!$C$44</f>
        <v>4716221.8716778634</v>
      </c>
      <c r="I115" s="159" t="s">
        <v>930</v>
      </c>
      <c r="J115" s="159"/>
      <c r="K115" s="159"/>
      <c r="L115" s="159"/>
      <c r="M115" s="159"/>
      <c r="N115" s="20"/>
      <c r="R115" s="379">
        <f t="shared" ref="R115:R117" si="20">A115</f>
        <v>600</v>
      </c>
    </row>
    <row r="116" spans="1:18">
      <c r="A116" s="379">
        <f>+A115+1</f>
        <v>601</v>
      </c>
      <c r="B116" s="154" t="s">
        <v>470</v>
      </c>
      <c r="C116" s="155">
        <f>'1-BaseTRR'!$G$2</f>
        <v>2020</v>
      </c>
      <c r="D116" s="44">
        <v>66401654.049999997</v>
      </c>
      <c r="E116" s="38">
        <f>'24-Allocators'!$C$23</f>
        <v>0.13651159222612441</v>
      </c>
      <c r="F116" s="509">
        <f>+D116*E116</f>
        <v>9064595.5208137818</v>
      </c>
      <c r="G116" s="509">
        <f>+F116*'24-Allocators'!$C$43</f>
        <v>3928537.7848198465</v>
      </c>
      <c r="H116" s="509">
        <f>+F116*'24-Allocators'!$C$44</f>
        <v>5136057.7359939385</v>
      </c>
      <c r="I116" s="159" t="s">
        <v>931</v>
      </c>
      <c r="J116" s="160"/>
      <c r="K116" s="160"/>
      <c r="L116" s="160"/>
      <c r="M116" s="160"/>
      <c r="N116" s="160"/>
      <c r="R116" s="379">
        <f t="shared" si="20"/>
        <v>601</v>
      </c>
    </row>
    <row r="117" spans="1:18">
      <c r="A117" s="379">
        <f t="shared" ref="A117" si="21">A116+1</f>
        <v>602</v>
      </c>
      <c r="B117" s="163" t="s">
        <v>779</v>
      </c>
      <c r="C117" s="163"/>
      <c r="D117" s="582">
        <f>AVERAGE(D115:D116)</f>
        <v>63687724.684999995</v>
      </c>
      <c r="E117" s="12"/>
      <c r="F117" s="582">
        <f>AVERAGE(F115:F116)</f>
        <v>8694112.7020083964</v>
      </c>
      <c r="G117" s="582">
        <f t="shared" ref="G117:H117" si="22">AVERAGE(G115:G116)</f>
        <v>3767972.8981724987</v>
      </c>
      <c r="H117" s="582">
        <f t="shared" si="22"/>
        <v>4926139.8038359005</v>
      </c>
      <c r="I117" s="20" t="s">
        <v>801</v>
      </c>
      <c r="J117" s="20"/>
      <c r="K117" s="20"/>
      <c r="L117" s="20"/>
      <c r="M117" s="20"/>
      <c r="N117" s="20"/>
      <c r="R117" s="379">
        <f t="shared" si="20"/>
        <v>602</v>
      </c>
    </row>
    <row r="118" spans="1:18">
      <c r="A118" s="379"/>
      <c r="B118" s="156"/>
      <c r="C118" s="156"/>
      <c r="D118" s="195"/>
      <c r="E118" s="195"/>
      <c r="F118" s="195"/>
      <c r="G118" s="20"/>
      <c r="H118" s="20"/>
      <c r="I118" s="20"/>
      <c r="J118" s="20"/>
      <c r="K118" s="20"/>
      <c r="L118" s="20"/>
      <c r="M118" s="20"/>
      <c r="N118" s="20"/>
      <c r="R118" s="379"/>
    </row>
    <row r="119" spans="1:18">
      <c r="A119" s="379"/>
      <c r="B119" s="156"/>
      <c r="C119" s="156"/>
      <c r="D119" s="195"/>
      <c r="E119" s="195"/>
      <c r="F119" s="195"/>
      <c r="G119" s="20"/>
      <c r="H119" s="20"/>
      <c r="I119" s="20"/>
      <c r="J119" s="20"/>
      <c r="K119" s="20"/>
      <c r="L119" s="20"/>
      <c r="M119" s="20"/>
      <c r="N119" s="20"/>
      <c r="R119" s="379"/>
    </row>
    <row r="120" spans="1:18">
      <c r="B120" s="196" t="s">
        <v>932</v>
      </c>
      <c r="C120" s="196"/>
      <c r="D120" s="54"/>
      <c r="E120" s="54"/>
      <c r="F120" s="54"/>
      <c r="G120" s="54"/>
      <c r="H120" s="54"/>
      <c r="I120" s="54"/>
      <c r="J120" s="54"/>
      <c r="K120" s="54"/>
      <c r="L120" s="54"/>
      <c r="M120" s="54"/>
      <c r="N120" s="54"/>
      <c r="O120" s="219"/>
      <c r="P120" s="219"/>
      <c r="Q120" s="219"/>
      <c r="R120" s="379"/>
    </row>
    <row r="121" spans="1:18">
      <c r="B121" s="145" t="s">
        <v>933</v>
      </c>
    </row>
    <row r="123" spans="1:18">
      <c r="A123" s="12"/>
      <c r="D123" s="147" t="s">
        <v>413</v>
      </c>
      <c r="E123" s="147" t="s">
        <v>414</v>
      </c>
      <c r="F123" s="147" t="s">
        <v>415</v>
      </c>
      <c r="G123" s="20"/>
      <c r="H123" s="20"/>
      <c r="I123" s="20"/>
      <c r="J123" s="20"/>
      <c r="K123" s="20"/>
      <c r="L123" s="20"/>
      <c r="M123" s="20"/>
      <c r="N123" s="20"/>
      <c r="R123" s="379"/>
    </row>
    <row r="124" spans="1:18" ht="29">
      <c r="B124" s="8"/>
      <c r="C124" s="8"/>
      <c r="D124" s="149" t="s">
        <v>804</v>
      </c>
      <c r="E124" s="149" t="s">
        <v>804</v>
      </c>
      <c r="F124" s="149" t="s">
        <v>804</v>
      </c>
      <c r="G124" s="20"/>
      <c r="H124" s="20"/>
      <c r="I124" s="20"/>
      <c r="J124" s="20"/>
      <c r="K124" s="20"/>
      <c r="L124" s="20"/>
      <c r="M124" s="20"/>
      <c r="N124" s="20"/>
      <c r="R124" s="379"/>
    </row>
    <row r="125" spans="1:18">
      <c r="B125" s="8"/>
      <c r="C125" s="8"/>
      <c r="D125" s="149"/>
      <c r="E125" s="149"/>
      <c r="F125" s="149"/>
      <c r="G125" s="20"/>
      <c r="H125" s="20"/>
      <c r="I125" s="20"/>
      <c r="J125" s="20"/>
      <c r="K125" s="20"/>
      <c r="L125" s="20"/>
      <c r="M125" s="20"/>
      <c r="N125" s="20"/>
      <c r="R125" s="379"/>
    </row>
    <row r="126" spans="1:18">
      <c r="A126" s="144" t="s">
        <v>99</v>
      </c>
      <c r="B126" s="144" t="s">
        <v>426</v>
      </c>
      <c r="C126" s="144" t="s">
        <v>462</v>
      </c>
      <c r="D126" s="147" t="s">
        <v>921</v>
      </c>
      <c r="E126" s="147" t="s">
        <v>775</v>
      </c>
      <c r="F126" s="147" t="s">
        <v>776</v>
      </c>
      <c r="G126" s="147" t="s">
        <v>134</v>
      </c>
      <c r="H126" s="20"/>
      <c r="I126" s="20"/>
      <c r="J126" s="20"/>
      <c r="K126" s="20"/>
      <c r="L126" s="20"/>
      <c r="M126" s="20"/>
      <c r="N126" s="20"/>
      <c r="R126" s="144" t="str">
        <f>A126</f>
        <v>Line</v>
      </c>
    </row>
    <row r="127" spans="1:18">
      <c r="A127" s="379">
        <v>700</v>
      </c>
      <c r="B127" s="145" t="s">
        <v>470</v>
      </c>
      <c r="C127" s="152">
        <f>'1-BaseTRR'!$G$2-1</f>
        <v>2019</v>
      </c>
      <c r="D127" s="508">
        <f t="shared" ref="D127:F128" si="23">+D87+F101+F115</f>
        <v>409268286.31190497</v>
      </c>
      <c r="E127" s="508">
        <f t="shared" si="23"/>
        <v>182609625.01969281</v>
      </c>
      <c r="F127" s="508">
        <f t="shared" si="23"/>
        <v>226658661.29221222</v>
      </c>
      <c r="G127" s="159" t="s">
        <v>810</v>
      </c>
      <c r="H127" s="160"/>
      <c r="I127" s="160"/>
      <c r="J127" s="160"/>
      <c r="K127" s="160"/>
      <c r="L127" s="160"/>
      <c r="M127" s="160"/>
      <c r="N127" s="160"/>
      <c r="R127" s="379">
        <f t="shared" ref="R127:R129" si="24">A127</f>
        <v>700</v>
      </c>
    </row>
    <row r="128" spans="1:18">
      <c r="A128" s="379">
        <f>+A127+1</f>
        <v>701</v>
      </c>
      <c r="B128" s="154" t="s">
        <v>470</v>
      </c>
      <c r="C128" s="155">
        <f>'1-BaseTRR'!$G$2</f>
        <v>2020</v>
      </c>
      <c r="D128" s="509">
        <f t="shared" si="23"/>
        <v>441004471.15647584</v>
      </c>
      <c r="E128" s="509">
        <f t="shared" si="23"/>
        <v>192591292.91699103</v>
      </c>
      <c r="F128" s="509">
        <f t="shared" si="23"/>
        <v>248413178.23948494</v>
      </c>
      <c r="G128" s="159" t="s">
        <v>811</v>
      </c>
      <c r="H128" s="20"/>
      <c r="I128" s="20"/>
      <c r="J128" s="20"/>
      <c r="K128" s="20"/>
      <c r="L128" s="20"/>
      <c r="M128" s="20"/>
      <c r="N128" s="20"/>
      <c r="R128" s="379">
        <f t="shared" si="24"/>
        <v>701</v>
      </c>
    </row>
    <row r="129" spans="1:18">
      <c r="A129" s="379">
        <f t="shared" ref="A129" si="25">A128+1</f>
        <v>702</v>
      </c>
      <c r="B129" s="163" t="s">
        <v>779</v>
      </c>
      <c r="C129" s="163"/>
      <c r="D129" s="582">
        <f>AVERAGE(D127:D128)</f>
        <v>425136378.7341904</v>
      </c>
      <c r="E129" s="582">
        <f t="shared" ref="E129:F129" si="26">AVERAGE(E127:E128)</f>
        <v>187600458.96834192</v>
      </c>
      <c r="F129" s="582">
        <f t="shared" si="26"/>
        <v>237535919.76584858</v>
      </c>
      <c r="G129" s="20" t="s">
        <v>812</v>
      </c>
      <c r="H129" s="20"/>
      <c r="I129" s="20"/>
      <c r="J129" s="20"/>
      <c r="K129" s="20"/>
      <c r="L129" s="20"/>
      <c r="M129" s="20"/>
      <c r="N129" s="20"/>
      <c r="R129" s="379">
        <f t="shared" si="24"/>
        <v>702</v>
      </c>
    </row>
    <row r="130" spans="1:18">
      <c r="A130" s="379"/>
      <c r="B130" s="156"/>
      <c r="C130" s="156"/>
      <c r="D130" s="20"/>
      <c r="E130" s="20"/>
      <c r="F130" s="20"/>
      <c r="G130" s="20"/>
      <c r="H130" s="20"/>
      <c r="I130" s="20"/>
      <c r="J130" s="20"/>
      <c r="K130" s="20"/>
      <c r="L130" s="20"/>
      <c r="M130" s="20"/>
      <c r="N130" s="20"/>
    </row>
    <row r="131" spans="1:18">
      <c r="A131" s="379"/>
      <c r="B131" s="156"/>
      <c r="C131" s="156"/>
      <c r="D131" s="20"/>
      <c r="E131" s="20"/>
      <c r="F131" s="20"/>
      <c r="G131" s="20"/>
      <c r="H131" s="20"/>
      <c r="I131" s="20"/>
      <c r="J131" s="20"/>
      <c r="K131" s="20"/>
      <c r="L131" s="20"/>
      <c r="M131" s="20"/>
      <c r="N131" s="20"/>
    </row>
    <row r="132" spans="1:18" ht="15" customHeight="1">
      <c r="B132" s="16" t="s">
        <v>304</v>
      </c>
      <c r="C132" s="156"/>
      <c r="D132" s="20"/>
      <c r="E132" s="20"/>
      <c r="F132" s="20"/>
      <c r="G132" s="20"/>
      <c r="H132" s="20"/>
      <c r="I132" s="20"/>
      <c r="J132" s="20"/>
      <c r="K132" s="20"/>
      <c r="L132" s="20"/>
      <c r="M132" s="20"/>
      <c r="N132" s="20"/>
    </row>
    <row r="133" spans="1:18">
      <c r="A133" s="197"/>
      <c r="B133" s="809" t="s">
        <v>934</v>
      </c>
      <c r="C133" s="809"/>
      <c r="D133" s="809"/>
      <c r="E133" s="809"/>
      <c r="F133" s="809"/>
      <c r="G133" s="809"/>
      <c r="H133" s="809"/>
      <c r="I133" s="809"/>
      <c r="J133" s="809"/>
      <c r="K133" s="809"/>
      <c r="L133" s="809"/>
      <c r="M133" s="809"/>
      <c r="N133" s="809"/>
      <c r="O133" s="809"/>
      <c r="P133" s="809"/>
      <c r="Q133" s="809"/>
    </row>
    <row r="134" spans="1:18">
      <c r="A134" s="379"/>
      <c r="B134" s="809" t="s">
        <v>935</v>
      </c>
      <c r="C134" s="809"/>
      <c r="D134" s="809"/>
      <c r="E134" s="809"/>
      <c r="F134" s="809"/>
      <c r="G134" s="809"/>
      <c r="H134" s="809"/>
      <c r="I134" s="809"/>
      <c r="J134" s="809"/>
      <c r="K134" s="809"/>
      <c r="L134" s="809"/>
      <c r="M134" s="809"/>
      <c r="N134" s="809"/>
      <c r="O134" s="809"/>
      <c r="P134" s="809"/>
      <c r="Q134" s="809"/>
    </row>
    <row r="135" spans="1:18">
      <c r="A135" s="379"/>
      <c r="B135" s="809" t="s">
        <v>936</v>
      </c>
      <c r="C135" s="809"/>
      <c r="D135" s="809"/>
      <c r="E135" s="809"/>
      <c r="F135" s="809"/>
      <c r="G135" s="809"/>
      <c r="H135" s="809"/>
      <c r="I135" s="809"/>
      <c r="J135" s="809"/>
      <c r="K135" s="809"/>
      <c r="L135" s="809"/>
      <c r="M135" s="809"/>
      <c r="N135" s="809"/>
      <c r="O135" s="809"/>
      <c r="P135" s="809"/>
      <c r="Q135" s="809"/>
    </row>
    <row r="136" spans="1:18">
      <c r="A136" s="379"/>
      <c r="B136" s="809" t="s">
        <v>745</v>
      </c>
      <c r="C136" s="809"/>
      <c r="D136" s="809"/>
      <c r="E136" s="809"/>
      <c r="F136" s="809"/>
      <c r="G136" s="809"/>
      <c r="H136" s="809"/>
      <c r="I136" s="809"/>
      <c r="J136" s="809"/>
      <c r="K136" s="809"/>
      <c r="L136" s="809"/>
      <c r="M136" s="809"/>
      <c r="N136" s="809"/>
      <c r="O136" s="809"/>
      <c r="P136" s="809"/>
      <c r="Q136" s="809"/>
    </row>
    <row r="137" spans="1:18">
      <c r="A137" s="379"/>
      <c r="B137" s="156"/>
      <c r="C137" s="156"/>
      <c r="D137" s="198"/>
      <c r="E137" s="198"/>
      <c r="F137" s="198"/>
      <c r="G137" s="198"/>
      <c r="H137" s="198"/>
      <c r="I137" s="198"/>
      <c r="J137" s="198"/>
      <c r="K137" s="198"/>
      <c r="L137" s="198"/>
      <c r="M137" s="198"/>
      <c r="N137" s="199"/>
    </row>
    <row r="138" spans="1:18">
      <c r="A138" s="379"/>
      <c r="B138" s="156"/>
      <c r="C138" s="156"/>
      <c r="D138" s="198"/>
      <c r="E138" s="198"/>
      <c r="F138" s="198"/>
      <c r="G138" s="198"/>
      <c r="H138" s="198"/>
      <c r="I138" s="198"/>
      <c r="J138" s="198"/>
      <c r="K138" s="198"/>
      <c r="L138" s="198"/>
      <c r="M138" s="198"/>
      <c r="N138" s="199"/>
    </row>
    <row r="139" spans="1:18">
      <c r="A139" s="379"/>
      <c r="B139" s="156"/>
      <c r="C139" s="156"/>
      <c r="D139" s="198"/>
      <c r="E139" s="198"/>
      <c r="F139" s="198"/>
      <c r="G139" s="198"/>
      <c r="H139" s="198"/>
      <c r="I139" s="198"/>
      <c r="J139" s="198"/>
      <c r="K139" s="198"/>
      <c r="L139" s="198"/>
      <c r="M139" s="198"/>
      <c r="N139" s="199"/>
    </row>
    <row r="140" spans="1:18">
      <c r="A140" s="379"/>
      <c r="B140" s="156"/>
      <c r="C140" s="156"/>
      <c r="D140" s="198"/>
      <c r="E140" s="198"/>
      <c r="F140" s="198"/>
      <c r="G140" s="198"/>
      <c r="H140" s="198"/>
      <c r="I140" s="198"/>
      <c r="J140" s="198"/>
      <c r="K140" s="198"/>
      <c r="L140" s="198"/>
      <c r="M140" s="198"/>
      <c r="N140" s="199"/>
    </row>
    <row r="141" spans="1:18">
      <c r="A141" s="379"/>
      <c r="B141" s="156"/>
      <c r="C141" s="156"/>
      <c r="D141" s="198"/>
      <c r="E141" s="198"/>
      <c r="F141" s="198"/>
      <c r="G141" s="198"/>
      <c r="H141" s="198"/>
      <c r="I141" s="198"/>
      <c r="J141" s="198"/>
      <c r="K141" s="198"/>
      <c r="L141" s="198"/>
      <c r="M141" s="198"/>
      <c r="N141" s="199"/>
    </row>
    <row r="142" spans="1:18">
      <c r="A142" s="379"/>
      <c r="B142" s="156"/>
      <c r="C142" s="156"/>
      <c r="D142" s="198"/>
      <c r="E142" s="198"/>
      <c r="F142" s="198"/>
      <c r="G142" s="198"/>
      <c r="H142" s="198"/>
      <c r="I142" s="198"/>
      <c r="J142" s="198"/>
      <c r="K142" s="198"/>
      <c r="L142" s="198"/>
      <c r="M142" s="198"/>
      <c r="N142" s="199"/>
    </row>
    <row r="143" spans="1:18">
      <c r="A143" s="379"/>
      <c r="B143" s="156"/>
      <c r="C143" s="156"/>
      <c r="D143" s="198"/>
      <c r="E143" s="198"/>
      <c r="F143" s="198"/>
      <c r="G143" s="198"/>
      <c r="H143" s="198"/>
      <c r="I143" s="198"/>
      <c r="J143" s="198"/>
      <c r="K143" s="198"/>
      <c r="L143" s="198"/>
      <c r="M143" s="198"/>
      <c r="N143" s="199"/>
    </row>
    <row r="144" spans="1:18">
      <c r="A144" s="379"/>
      <c r="B144" s="156"/>
      <c r="C144" s="156"/>
      <c r="D144" s="198"/>
      <c r="E144" s="198"/>
      <c r="F144" s="198"/>
      <c r="G144" s="198"/>
      <c r="H144" s="198"/>
      <c r="I144" s="198"/>
      <c r="J144" s="198"/>
      <c r="K144" s="198"/>
      <c r="L144" s="198"/>
      <c r="M144" s="198"/>
      <c r="N144" s="199"/>
    </row>
    <row r="145" spans="1:18">
      <c r="A145" s="379"/>
      <c r="B145" s="156"/>
      <c r="C145" s="156"/>
      <c r="D145" s="198"/>
      <c r="E145" s="198"/>
      <c r="F145" s="198"/>
      <c r="G145" s="198"/>
      <c r="H145" s="198"/>
      <c r="I145" s="198"/>
      <c r="J145" s="198"/>
      <c r="K145" s="198"/>
      <c r="L145" s="198"/>
      <c r="M145" s="198"/>
      <c r="N145" s="199"/>
    </row>
    <row r="146" spans="1:18">
      <c r="A146" s="379"/>
      <c r="B146" s="156"/>
      <c r="C146" s="156"/>
      <c r="D146" s="198"/>
      <c r="E146" s="198"/>
      <c r="F146" s="198"/>
      <c r="G146" s="198"/>
      <c r="H146" s="198"/>
      <c r="I146" s="198"/>
      <c r="J146" s="198"/>
      <c r="K146" s="198"/>
      <c r="L146" s="198"/>
      <c r="M146" s="198"/>
      <c r="N146" s="199"/>
    </row>
    <row r="147" spans="1:18">
      <c r="A147" s="379"/>
      <c r="B147" s="156"/>
      <c r="C147" s="156"/>
      <c r="D147" s="20"/>
      <c r="E147" s="20"/>
      <c r="F147" s="20"/>
      <c r="G147" s="20"/>
      <c r="H147" s="20"/>
      <c r="I147" s="20"/>
      <c r="J147" s="20"/>
      <c r="K147" s="20"/>
      <c r="L147" s="20"/>
      <c r="M147" s="20"/>
      <c r="N147" s="20"/>
    </row>
    <row r="148" spans="1:18">
      <c r="B148" s="200"/>
      <c r="C148" s="200"/>
    </row>
    <row r="150" spans="1:18">
      <c r="A150" s="12"/>
      <c r="B150" s="147"/>
      <c r="C150" s="147"/>
      <c r="D150" s="147"/>
      <c r="E150" s="147"/>
      <c r="F150" s="147"/>
      <c r="G150" s="147"/>
      <c r="H150" s="147"/>
      <c r="I150" s="147"/>
      <c r="J150" s="147"/>
      <c r="K150" s="147"/>
      <c r="L150" s="147"/>
      <c r="M150" s="147"/>
      <c r="N150" s="147"/>
    </row>
    <row r="151" spans="1:18">
      <c r="B151" s="35"/>
      <c r="C151" s="35"/>
      <c r="N151" s="35"/>
    </row>
    <row r="152" spans="1:18">
      <c r="A152" s="197"/>
      <c r="B152" s="144"/>
      <c r="C152" s="144"/>
      <c r="D152" s="147"/>
      <c r="E152" s="147"/>
      <c r="F152" s="147"/>
      <c r="G152" s="147"/>
      <c r="H152" s="147"/>
      <c r="I152" s="147"/>
      <c r="J152" s="147"/>
      <c r="K152" s="147"/>
      <c r="L152" s="147"/>
      <c r="M152" s="147"/>
      <c r="N152" s="144"/>
    </row>
    <row r="153" spans="1:18">
      <c r="A153" s="379"/>
      <c r="B153" s="156"/>
      <c r="C153" s="156"/>
      <c r="D153" s="201"/>
      <c r="E153" s="201"/>
      <c r="F153" s="201"/>
      <c r="G153" s="201"/>
      <c r="H153" s="201"/>
      <c r="I153" s="201"/>
      <c r="J153" s="201"/>
      <c r="K153" s="201"/>
      <c r="L153" s="201"/>
      <c r="M153" s="201"/>
      <c r="N153" s="201"/>
      <c r="R153" s="20"/>
    </row>
    <row r="154" spans="1:18">
      <c r="A154" s="379"/>
      <c r="B154" s="156"/>
      <c r="C154" s="156"/>
      <c r="D154" s="201"/>
      <c r="E154" s="201"/>
      <c r="F154" s="201"/>
      <c r="G154" s="201"/>
      <c r="H154" s="201"/>
      <c r="I154" s="201"/>
      <c r="J154" s="201"/>
      <c r="K154" s="201"/>
      <c r="L154" s="201"/>
      <c r="M154" s="201"/>
      <c r="N154" s="201"/>
      <c r="R154" s="20"/>
    </row>
    <row r="155" spans="1:18">
      <c r="A155" s="379"/>
      <c r="B155" s="156"/>
      <c r="C155" s="156"/>
      <c r="D155" s="201"/>
      <c r="E155" s="201"/>
      <c r="F155" s="201"/>
      <c r="G155" s="201"/>
      <c r="H155" s="201"/>
      <c r="I155" s="201"/>
      <c r="J155" s="201"/>
      <c r="K155" s="201"/>
      <c r="L155" s="201"/>
      <c r="M155" s="201"/>
      <c r="N155" s="201"/>
      <c r="R155" s="20"/>
    </row>
    <row r="156" spans="1:18">
      <c r="A156" s="379"/>
      <c r="B156" s="156"/>
      <c r="C156" s="156"/>
      <c r="D156" s="201"/>
      <c r="E156" s="201"/>
      <c r="F156" s="201"/>
      <c r="G156" s="201"/>
      <c r="H156" s="201"/>
      <c r="I156" s="201"/>
      <c r="J156" s="201"/>
      <c r="K156" s="201"/>
      <c r="L156" s="201"/>
      <c r="M156" s="201"/>
      <c r="N156" s="201"/>
      <c r="R156" s="20"/>
    </row>
    <row r="157" spans="1:18">
      <c r="A157" s="379"/>
      <c r="B157" s="156"/>
      <c r="C157" s="156"/>
      <c r="D157" s="201"/>
      <c r="E157" s="201"/>
      <c r="F157" s="201"/>
      <c r="G157" s="201"/>
      <c r="H157" s="201"/>
      <c r="I157" s="201"/>
      <c r="J157" s="201"/>
      <c r="K157" s="201"/>
      <c r="L157" s="201"/>
      <c r="M157" s="201"/>
      <c r="N157" s="201"/>
      <c r="R157" s="20"/>
    </row>
    <row r="158" spans="1:18">
      <c r="A158" s="379"/>
      <c r="B158" s="156"/>
      <c r="C158" s="156"/>
      <c r="D158" s="201"/>
      <c r="E158" s="201"/>
      <c r="F158" s="201"/>
      <c r="G158" s="201"/>
      <c r="H158" s="201"/>
      <c r="I158" s="201"/>
      <c r="J158" s="201"/>
      <c r="K158" s="201"/>
      <c r="L158" s="201"/>
      <c r="M158" s="201"/>
      <c r="N158" s="201"/>
      <c r="R158" s="20"/>
    </row>
    <row r="159" spans="1:18">
      <c r="A159" s="379"/>
      <c r="B159" s="156"/>
      <c r="C159" s="156"/>
      <c r="D159" s="201"/>
      <c r="E159" s="201"/>
      <c r="F159" s="201"/>
      <c r="G159" s="201"/>
      <c r="H159" s="201"/>
      <c r="I159" s="201"/>
      <c r="J159" s="201"/>
      <c r="K159" s="201"/>
      <c r="L159" s="201"/>
      <c r="M159" s="201"/>
      <c r="N159" s="201"/>
      <c r="R159" s="20"/>
    </row>
    <row r="160" spans="1:18">
      <c r="A160" s="379"/>
      <c r="B160" s="156"/>
      <c r="C160" s="156"/>
      <c r="D160" s="201"/>
      <c r="E160" s="201"/>
      <c r="F160" s="201"/>
      <c r="G160" s="201"/>
      <c r="H160" s="201"/>
      <c r="I160" s="201"/>
      <c r="J160" s="201"/>
      <c r="K160" s="201"/>
      <c r="L160" s="201"/>
      <c r="M160" s="201"/>
      <c r="N160" s="201"/>
      <c r="R160" s="20"/>
    </row>
    <row r="161" spans="1:18">
      <c r="A161" s="379"/>
      <c r="B161" s="156"/>
      <c r="C161" s="156"/>
      <c r="D161" s="201"/>
      <c r="E161" s="201"/>
      <c r="F161" s="201"/>
      <c r="G161" s="201"/>
      <c r="H161" s="201"/>
      <c r="I161" s="201"/>
      <c r="J161" s="201"/>
      <c r="K161" s="201"/>
      <c r="L161" s="201"/>
      <c r="M161" s="201"/>
      <c r="N161" s="201"/>
      <c r="R161" s="20"/>
    </row>
    <row r="162" spans="1:18">
      <c r="A162" s="379"/>
      <c r="B162" s="156"/>
      <c r="C162" s="156"/>
      <c r="D162" s="201"/>
      <c r="E162" s="201"/>
      <c r="F162" s="201"/>
      <c r="G162" s="201"/>
      <c r="H162" s="201"/>
      <c r="I162" s="201"/>
      <c r="J162" s="201"/>
      <c r="K162" s="201"/>
      <c r="L162" s="201"/>
      <c r="M162" s="201"/>
      <c r="N162" s="201"/>
      <c r="R162" s="20"/>
    </row>
    <row r="163" spans="1:18">
      <c r="A163" s="379"/>
      <c r="B163" s="156"/>
      <c r="C163" s="156"/>
      <c r="D163" s="201"/>
      <c r="E163" s="201"/>
      <c r="F163" s="201"/>
      <c r="G163" s="201"/>
      <c r="H163" s="201"/>
      <c r="I163" s="201"/>
      <c r="J163" s="201"/>
      <c r="K163" s="201"/>
      <c r="L163" s="201"/>
      <c r="M163" s="201"/>
      <c r="N163" s="201"/>
      <c r="R163" s="20"/>
    </row>
    <row r="164" spans="1:18">
      <c r="A164" s="379"/>
      <c r="B164" s="156"/>
      <c r="C164" s="156"/>
      <c r="D164" s="202"/>
      <c r="E164" s="202"/>
      <c r="F164" s="202"/>
      <c r="G164" s="202"/>
      <c r="H164" s="202"/>
      <c r="I164" s="202"/>
      <c r="J164" s="202"/>
      <c r="K164" s="202"/>
      <c r="L164" s="202"/>
      <c r="M164" s="202"/>
      <c r="N164" s="202"/>
      <c r="R164" s="20"/>
    </row>
    <row r="165" spans="1:18">
      <c r="A165" s="379"/>
      <c r="B165" s="156"/>
      <c r="C165" s="156"/>
      <c r="D165" s="201"/>
      <c r="E165" s="201"/>
      <c r="F165" s="201"/>
      <c r="G165" s="201"/>
      <c r="H165" s="201"/>
      <c r="I165" s="201"/>
      <c r="J165" s="201"/>
      <c r="K165" s="201"/>
      <c r="L165" s="201"/>
      <c r="M165" s="201"/>
      <c r="N165" s="201"/>
      <c r="R165" s="20"/>
    </row>
    <row r="166" spans="1:18">
      <c r="A166" s="379"/>
      <c r="B166" s="156"/>
      <c r="C166" s="156"/>
      <c r="D166" s="199"/>
      <c r="E166" s="199"/>
      <c r="F166" s="199"/>
      <c r="G166" s="199"/>
      <c r="H166" s="199"/>
      <c r="I166" s="199"/>
      <c r="J166" s="199"/>
      <c r="K166" s="199"/>
      <c r="L166" s="199"/>
      <c r="M166" s="199"/>
      <c r="N166" s="199"/>
    </row>
    <row r="167" spans="1:18">
      <c r="B167" s="117"/>
      <c r="C167" s="117"/>
    </row>
    <row r="169" spans="1:18">
      <c r="A169" s="12"/>
      <c r="B169" s="147"/>
      <c r="C169" s="147"/>
      <c r="D169" s="147"/>
      <c r="E169" s="147"/>
      <c r="F169" s="147"/>
      <c r="G169" s="147"/>
      <c r="H169" s="147"/>
      <c r="I169" s="147"/>
      <c r="J169" s="147"/>
      <c r="K169" s="147"/>
      <c r="L169" s="147"/>
      <c r="M169" s="147"/>
      <c r="N169" s="147"/>
    </row>
    <row r="170" spans="1:18">
      <c r="B170" s="35"/>
      <c r="C170" s="35"/>
      <c r="N170" s="35"/>
    </row>
    <row r="171" spans="1:18">
      <c r="A171" s="197"/>
      <c r="B171" s="144"/>
      <c r="C171" s="144"/>
      <c r="D171" s="147"/>
      <c r="E171" s="147"/>
      <c r="F171" s="147"/>
      <c r="G171" s="147"/>
      <c r="H171" s="147"/>
      <c r="I171" s="147"/>
      <c r="J171" s="147"/>
      <c r="K171" s="147"/>
      <c r="L171" s="147"/>
      <c r="M171" s="147"/>
      <c r="N171" s="144"/>
    </row>
    <row r="172" spans="1:18">
      <c r="A172" s="379"/>
      <c r="B172" s="156"/>
      <c r="C172" s="156"/>
      <c r="D172" s="203"/>
      <c r="E172" s="203"/>
      <c r="F172" s="203"/>
      <c r="G172" s="203"/>
      <c r="H172" s="203"/>
      <c r="I172" s="203"/>
      <c r="J172" s="203"/>
      <c r="K172" s="203"/>
      <c r="L172" s="203"/>
      <c r="M172" s="203"/>
      <c r="N172" s="203"/>
    </row>
    <row r="173" spans="1:18">
      <c r="A173" s="379"/>
      <c r="B173" s="156"/>
      <c r="C173" s="156"/>
      <c r="D173" s="203"/>
      <c r="E173" s="203"/>
      <c r="F173" s="203"/>
      <c r="G173" s="203"/>
      <c r="H173" s="203"/>
      <c r="I173" s="203"/>
      <c r="J173" s="203"/>
      <c r="K173" s="203"/>
      <c r="L173" s="203"/>
      <c r="M173" s="203"/>
      <c r="N173" s="203"/>
    </row>
    <row r="174" spans="1:18">
      <c r="A174" s="379"/>
      <c r="B174" s="156"/>
      <c r="C174" s="156"/>
      <c r="D174" s="203"/>
      <c r="E174" s="203"/>
      <c r="F174" s="203"/>
      <c r="G174" s="203"/>
      <c r="H174" s="203"/>
      <c r="I174" s="203"/>
      <c r="J174" s="203"/>
      <c r="K174" s="203"/>
      <c r="L174" s="203"/>
      <c r="M174" s="203"/>
      <c r="N174" s="203"/>
    </row>
    <row r="175" spans="1:18">
      <c r="A175" s="379"/>
      <c r="B175" s="156"/>
      <c r="C175" s="156"/>
      <c r="D175" s="203"/>
      <c r="E175" s="203"/>
      <c r="F175" s="203"/>
      <c r="G175" s="203"/>
      <c r="H175" s="203"/>
      <c r="I175" s="203"/>
      <c r="J175" s="203"/>
      <c r="K175" s="203"/>
      <c r="L175" s="203"/>
      <c r="M175" s="203"/>
      <c r="N175" s="203"/>
    </row>
    <row r="176" spans="1:18">
      <c r="A176" s="379"/>
      <c r="B176" s="156"/>
      <c r="C176" s="156"/>
      <c r="D176" s="203"/>
      <c r="E176" s="203"/>
      <c r="F176" s="203"/>
      <c r="G176" s="203"/>
      <c r="H176" s="203"/>
      <c r="I176" s="203"/>
      <c r="J176" s="203"/>
      <c r="K176" s="203"/>
      <c r="L176" s="203"/>
      <c r="M176" s="203"/>
      <c r="N176" s="203"/>
    </row>
    <row r="177" spans="1:19">
      <c r="A177" s="379"/>
      <c r="B177" s="156"/>
      <c r="C177" s="156"/>
      <c r="D177" s="203"/>
      <c r="E177" s="203"/>
      <c r="F177" s="203"/>
      <c r="G177" s="203"/>
      <c r="H177" s="203"/>
      <c r="I177" s="203"/>
      <c r="J177" s="203"/>
      <c r="K177" s="203"/>
      <c r="L177" s="203"/>
      <c r="M177" s="203"/>
      <c r="N177" s="203"/>
    </row>
    <row r="178" spans="1:19">
      <c r="A178" s="379"/>
      <c r="B178" s="156"/>
      <c r="C178" s="156"/>
      <c r="D178" s="203"/>
      <c r="E178" s="203"/>
      <c r="F178" s="203"/>
      <c r="G178" s="203"/>
      <c r="H178" s="203"/>
      <c r="I178" s="203"/>
      <c r="J178" s="203"/>
      <c r="K178" s="203"/>
      <c r="L178" s="203"/>
      <c r="M178" s="203"/>
      <c r="N178" s="203"/>
    </row>
    <row r="179" spans="1:19">
      <c r="A179" s="379"/>
      <c r="B179" s="156"/>
      <c r="C179" s="156"/>
      <c r="D179" s="203"/>
      <c r="E179" s="203"/>
      <c r="F179" s="203"/>
      <c r="G179" s="203"/>
      <c r="H179" s="203"/>
      <c r="I179" s="203"/>
      <c r="J179" s="203"/>
      <c r="K179" s="203"/>
      <c r="L179" s="203"/>
      <c r="M179" s="203"/>
      <c r="N179" s="203"/>
    </row>
    <row r="180" spans="1:19">
      <c r="A180" s="379"/>
      <c r="B180" s="156"/>
      <c r="C180" s="156"/>
      <c r="D180" s="203"/>
      <c r="E180" s="203"/>
      <c r="F180" s="203"/>
      <c r="G180" s="203"/>
      <c r="H180" s="203"/>
      <c r="I180" s="203"/>
      <c r="J180" s="203"/>
      <c r="K180" s="203"/>
      <c r="L180" s="203"/>
      <c r="M180" s="203"/>
      <c r="N180" s="203"/>
    </row>
    <row r="181" spans="1:19">
      <c r="A181" s="379"/>
      <c r="B181" s="156"/>
      <c r="C181" s="156"/>
      <c r="D181" s="203"/>
      <c r="E181" s="203"/>
      <c r="F181" s="203"/>
      <c r="G181" s="203"/>
      <c r="H181" s="203"/>
      <c r="I181" s="203"/>
      <c r="J181" s="203"/>
      <c r="K181" s="203"/>
      <c r="L181" s="203"/>
      <c r="M181" s="203"/>
      <c r="N181" s="203"/>
    </row>
    <row r="182" spans="1:19" s="17" customFormat="1">
      <c r="A182" s="379"/>
      <c r="B182" s="156"/>
      <c r="C182" s="156"/>
      <c r="D182" s="203"/>
      <c r="E182" s="203"/>
      <c r="F182" s="203"/>
      <c r="G182" s="203"/>
      <c r="H182" s="203"/>
      <c r="I182" s="203"/>
      <c r="J182" s="203"/>
      <c r="K182" s="203"/>
      <c r="L182" s="203"/>
      <c r="M182" s="203"/>
      <c r="N182" s="203"/>
      <c r="O182"/>
      <c r="P182"/>
      <c r="Q182"/>
      <c r="R182"/>
      <c r="S182"/>
    </row>
    <row r="183" spans="1:19" s="17" customFormat="1">
      <c r="A183" s="379"/>
      <c r="B183" s="156"/>
      <c r="C183" s="156"/>
      <c r="D183" s="204"/>
      <c r="E183" s="204"/>
      <c r="F183" s="204"/>
      <c r="G183" s="204"/>
      <c r="H183" s="204"/>
      <c r="I183" s="204"/>
      <c r="J183" s="204"/>
      <c r="K183" s="204"/>
      <c r="L183" s="204"/>
      <c r="M183" s="204"/>
      <c r="N183" s="204"/>
      <c r="O183"/>
      <c r="P183"/>
      <c r="Q183"/>
      <c r="R183"/>
      <c r="S183"/>
    </row>
    <row r="184" spans="1:19" s="17" customFormat="1">
      <c r="A184" s="379"/>
      <c r="B184" s="156"/>
      <c r="C184" s="156"/>
      <c r="D184" s="203"/>
      <c r="E184" s="203"/>
      <c r="F184" s="203"/>
      <c r="G184" s="203"/>
      <c r="H184" s="203"/>
      <c r="I184" s="203"/>
      <c r="J184" s="203"/>
      <c r="K184" s="203"/>
      <c r="L184" s="203"/>
      <c r="M184" s="203"/>
      <c r="N184" s="203"/>
      <c r="O184"/>
      <c r="P184"/>
      <c r="Q184"/>
      <c r="R184"/>
    </row>
    <row r="185" spans="1:19" s="17" customFormat="1">
      <c r="A185" s="379"/>
      <c r="B185" s="156"/>
      <c r="C185" s="156"/>
      <c r="D185" s="199"/>
      <c r="E185" s="199"/>
      <c r="F185" s="199"/>
      <c r="G185" s="199"/>
      <c r="H185" s="199"/>
      <c r="I185" s="199"/>
      <c r="J185" s="199"/>
      <c r="K185" s="199"/>
      <c r="L185" s="199"/>
      <c r="M185" s="199"/>
      <c r="N185" s="199"/>
      <c r="O185"/>
      <c r="P185"/>
      <c r="Q185"/>
      <c r="R185"/>
    </row>
    <row r="186" spans="1:19" s="17" customFormat="1">
      <c r="B186" s="200"/>
      <c r="C186" s="200"/>
      <c r="N186" s="199"/>
    </row>
    <row r="187" spans="1:19" s="17" customFormat="1">
      <c r="N187" s="199"/>
    </row>
    <row r="188" spans="1:19" s="17" customFormat="1">
      <c r="B188" s="379"/>
      <c r="C188" s="379"/>
      <c r="D188" s="116"/>
      <c r="E188" s="116"/>
      <c r="F188" s="116"/>
      <c r="G188" s="116"/>
      <c r="H188" s="116"/>
      <c r="I188" s="116"/>
      <c r="J188" s="116"/>
      <c r="K188" s="116"/>
      <c r="L188" s="116"/>
      <c r="M188" s="116"/>
      <c r="N188" s="199"/>
    </row>
    <row r="189" spans="1:19" s="17" customFormat="1">
      <c r="A189" s="379"/>
      <c r="B189" s="156"/>
      <c r="C189" s="156"/>
      <c r="D189" s="205"/>
      <c r="E189" s="205"/>
      <c r="F189" s="205"/>
      <c r="G189" s="205"/>
      <c r="H189" s="205"/>
      <c r="I189" s="205"/>
      <c r="J189" s="205"/>
      <c r="K189" s="205"/>
      <c r="L189" s="205"/>
      <c r="M189" s="205"/>
      <c r="N189" s="199"/>
    </row>
    <row r="190" spans="1:19" s="17" customFormat="1">
      <c r="A190" s="379"/>
      <c r="B190" s="156"/>
      <c r="C190" s="156"/>
      <c r="D190" s="205"/>
      <c r="E190" s="205"/>
      <c r="F190" s="205"/>
      <c r="G190" s="205"/>
      <c r="H190" s="205"/>
      <c r="I190" s="205"/>
      <c r="J190" s="205"/>
      <c r="K190" s="205"/>
      <c r="L190" s="205"/>
      <c r="M190" s="205"/>
      <c r="N190" s="199"/>
    </row>
    <row r="191" spans="1:19" s="17" customFormat="1">
      <c r="A191" s="379"/>
      <c r="B191" s="156"/>
      <c r="C191" s="156"/>
      <c r="D191" s="205"/>
      <c r="E191" s="205"/>
      <c r="F191" s="205"/>
      <c r="G191" s="205"/>
      <c r="H191" s="205"/>
      <c r="I191" s="205"/>
      <c r="J191" s="205"/>
      <c r="K191" s="205"/>
      <c r="L191" s="205"/>
      <c r="M191" s="205"/>
      <c r="N191" s="199"/>
    </row>
    <row r="192" spans="1:19" s="17" customFormat="1">
      <c r="A192" s="379"/>
      <c r="B192" s="156"/>
      <c r="C192" s="156"/>
      <c r="D192" s="205"/>
      <c r="E192" s="205"/>
      <c r="F192" s="205"/>
      <c r="G192" s="205"/>
      <c r="H192" s="205"/>
      <c r="I192" s="205"/>
      <c r="J192" s="205"/>
      <c r="K192" s="205"/>
      <c r="L192" s="205"/>
      <c r="M192" s="205"/>
      <c r="N192" s="199"/>
    </row>
    <row r="193" spans="1:19" s="17" customFormat="1">
      <c r="A193" s="379"/>
      <c r="B193" s="156"/>
      <c r="C193" s="156"/>
      <c r="D193" s="205"/>
      <c r="E193" s="205"/>
      <c r="F193" s="205"/>
      <c r="G193" s="205"/>
      <c r="H193" s="205"/>
      <c r="I193" s="205"/>
      <c r="J193" s="205"/>
      <c r="K193" s="205"/>
      <c r="L193" s="205"/>
      <c r="M193" s="205"/>
      <c r="N193" s="199"/>
    </row>
    <row r="194" spans="1:19" s="17" customFormat="1">
      <c r="A194" s="379"/>
      <c r="B194" s="156"/>
      <c r="C194" s="156"/>
      <c r="D194" s="205"/>
      <c r="E194" s="205"/>
      <c r="F194" s="205"/>
      <c r="G194" s="205"/>
      <c r="H194" s="205"/>
      <c r="I194" s="205"/>
      <c r="J194" s="205"/>
      <c r="K194" s="205"/>
      <c r="L194" s="205"/>
      <c r="M194" s="205"/>
      <c r="N194" s="199"/>
    </row>
    <row r="195" spans="1:19" s="17" customFormat="1">
      <c r="A195" s="379"/>
      <c r="B195" s="156"/>
      <c r="C195" s="156"/>
      <c r="D195" s="205"/>
      <c r="E195" s="205"/>
      <c r="F195" s="205"/>
      <c r="G195" s="205"/>
      <c r="H195" s="205"/>
      <c r="I195" s="205"/>
      <c r="J195" s="205"/>
      <c r="K195" s="205"/>
      <c r="L195" s="205"/>
      <c r="M195" s="205"/>
      <c r="N195" s="199"/>
    </row>
    <row r="196" spans="1:19" s="17" customFormat="1">
      <c r="A196" s="379"/>
      <c r="B196" s="156"/>
      <c r="C196" s="156"/>
      <c r="D196" s="205"/>
      <c r="E196" s="205"/>
      <c r="F196" s="205"/>
      <c r="G196" s="205"/>
      <c r="H196" s="205"/>
      <c r="I196" s="205"/>
      <c r="J196" s="205"/>
      <c r="K196" s="205"/>
      <c r="L196" s="205"/>
      <c r="M196" s="205"/>
      <c r="N196" s="199"/>
    </row>
    <row r="197" spans="1:19">
      <c r="A197" s="379"/>
      <c r="B197" s="156"/>
      <c r="C197" s="156"/>
      <c r="D197" s="205"/>
      <c r="E197" s="205"/>
      <c r="F197" s="205"/>
      <c r="G197" s="205"/>
      <c r="H197" s="205"/>
      <c r="I197" s="205"/>
      <c r="J197" s="205"/>
      <c r="K197" s="205"/>
      <c r="L197" s="205"/>
      <c r="M197" s="205"/>
      <c r="N197" s="199"/>
      <c r="O197" s="17"/>
      <c r="P197" s="17"/>
      <c r="Q197" s="17"/>
      <c r="R197" s="17"/>
      <c r="S197" s="17"/>
    </row>
    <row r="198" spans="1:19">
      <c r="A198" s="379"/>
      <c r="B198" s="156"/>
      <c r="C198" s="156"/>
      <c r="D198" s="205"/>
      <c r="E198" s="205"/>
      <c r="F198" s="205"/>
      <c r="G198" s="205"/>
      <c r="H198" s="205"/>
      <c r="I198" s="205"/>
      <c r="J198" s="205"/>
      <c r="K198" s="205"/>
      <c r="L198" s="205"/>
      <c r="M198" s="205"/>
      <c r="N198" s="199"/>
      <c r="O198" s="17"/>
      <c r="P198" s="17"/>
      <c r="Q198" s="17"/>
      <c r="R198" s="17"/>
      <c r="S198" s="17"/>
    </row>
    <row r="199" spans="1:19">
      <c r="A199" s="379"/>
      <c r="B199" s="156"/>
      <c r="C199" s="156"/>
      <c r="D199" s="205"/>
      <c r="E199" s="205"/>
      <c r="F199" s="205"/>
      <c r="G199" s="205"/>
      <c r="H199" s="205"/>
      <c r="I199" s="205"/>
      <c r="J199" s="205"/>
      <c r="K199" s="205"/>
      <c r="L199" s="205"/>
      <c r="M199" s="205"/>
      <c r="N199" s="199"/>
      <c r="O199" s="17"/>
      <c r="P199" s="17"/>
      <c r="Q199" s="17"/>
      <c r="R199" s="17"/>
    </row>
    <row r="200" spans="1:19">
      <c r="A200" s="379"/>
      <c r="B200" s="156"/>
      <c r="C200" s="156"/>
      <c r="D200" s="205"/>
      <c r="E200" s="205"/>
      <c r="F200" s="205"/>
      <c r="G200" s="205"/>
      <c r="H200" s="205"/>
      <c r="I200" s="205"/>
      <c r="J200" s="205"/>
      <c r="K200" s="205"/>
      <c r="L200" s="205"/>
      <c r="M200" s="205"/>
      <c r="N200" s="199"/>
      <c r="O200" s="17"/>
      <c r="P200" s="17"/>
      <c r="Q200" s="17"/>
      <c r="R200" s="17"/>
    </row>
    <row r="202" spans="1:19">
      <c r="B202" s="200"/>
      <c r="C202" s="200"/>
    </row>
    <row r="203" spans="1:19">
      <c r="B203" s="18"/>
      <c r="C203" s="18"/>
    </row>
    <row r="204" spans="1:19">
      <c r="B204" s="269"/>
      <c r="C204" s="269"/>
      <c r="D204" s="147"/>
      <c r="E204" s="147"/>
      <c r="F204" s="147"/>
      <c r="G204" s="147"/>
      <c r="H204" s="147"/>
      <c r="I204" s="147"/>
      <c r="J204" s="147"/>
      <c r="K204" s="147"/>
      <c r="L204" s="147"/>
      <c r="M204" s="147"/>
      <c r="N204" s="144"/>
    </row>
    <row r="205" spans="1:19">
      <c r="A205" s="379"/>
      <c r="B205" s="269"/>
      <c r="C205" s="269"/>
      <c r="D205" s="20"/>
      <c r="E205" s="20"/>
      <c r="F205" s="20"/>
      <c r="G205" s="20"/>
      <c r="H205" s="20"/>
      <c r="I205" s="20"/>
      <c r="J205" s="20"/>
      <c r="K205" s="20"/>
      <c r="L205" s="20"/>
      <c r="M205" s="20"/>
      <c r="N205" s="20"/>
    </row>
    <row r="206" spans="1:19">
      <c r="B206" s="269"/>
      <c r="C206" s="269"/>
      <c r="D206" s="20"/>
      <c r="E206" s="20"/>
      <c r="F206" s="20"/>
      <c r="G206" s="20"/>
      <c r="H206" s="20"/>
      <c r="I206" s="20"/>
      <c r="J206" s="20"/>
      <c r="K206" s="20"/>
      <c r="L206" s="20"/>
      <c r="M206" s="20"/>
      <c r="N206" s="20"/>
    </row>
    <row r="207" spans="1:19">
      <c r="B207" s="18"/>
      <c r="C207" s="18"/>
      <c r="D207" s="20"/>
      <c r="E207" s="20"/>
      <c r="F207" s="20"/>
      <c r="G207" s="20"/>
      <c r="H207" s="20"/>
      <c r="I207" s="20"/>
      <c r="J207" s="20"/>
      <c r="K207" s="20"/>
      <c r="L207" s="20"/>
      <c r="M207" s="20"/>
      <c r="N207" s="20"/>
    </row>
    <row r="208" spans="1:19">
      <c r="B208" s="269"/>
      <c r="C208" s="269"/>
      <c r="D208" s="147"/>
      <c r="E208" s="147"/>
      <c r="F208" s="147"/>
      <c r="G208" s="147"/>
      <c r="H208" s="147"/>
      <c r="I208" s="147"/>
      <c r="J208" s="147"/>
      <c r="K208" s="147"/>
      <c r="L208" s="147"/>
      <c r="M208" s="147"/>
      <c r="N208" s="144"/>
    </row>
    <row r="209" spans="1:14">
      <c r="A209" s="379"/>
      <c r="B209" s="269"/>
      <c r="C209" s="269"/>
      <c r="D209" s="20"/>
      <c r="E209" s="20"/>
      <c r="F209" s="20"/>
      <c r="G209" s="20"/>
      <c r="H209" s="20"/>
      <c r="I209" s="20"/>
      <c r="J209" s="20"/>
      <c r="K209" s="20"/>
      <c r="L209" s="20"/>
      <c r="M209" s="20"/>
      <c r="N209" s="20"/>
    </row>
    <row r="210" spans="1:14">
      <c r="B210" s="269"/>
      <c r="C210" s="269"/>
      <c r="D210" s="20"/>
      <c r="E210" s="20"/>
      <c r="F210" s="20"/>
      <c r="G210" s="20"/>
      <c r="H210" s="20"/>
      <c r="I210" s="20"/>
      <c r="J210" s="20"/>
      <c r="K210" s="20"/>
      <c r="L210" s="20"/>
      <c r="M210" s="20"/>
      <c r="N210" s="20"/>
    </row>
    <row r="211" spans="1:14">
      <c r="B211" s="18"/>
      <c r="C211" s="18"/>
      <c r="D211" s="20"/>
      <c r="E211" s="20"/>
      <c r="F211" s="20"/>
      <c r="G211" s="20"/>
      <c r="H211" s="20"/>
      <c r="I211" s="20"/>
      <c r="J211" s="20"/>
      <c r="K211" s="20"/>
      <c r="L211" s="20"/>
      <c r="M211" s="20"/>
      <c r="N211" s="20"/>
    </row>
    <row r="212" spans="1:14">
      <c r="D212" s="147"/>
      <c r="E212" s="147"/>
      <c r="F212" s="147"/>
      <c r="G212" s="147"/>
      <c r="H212" s="147"/>
      <c r="I212" s="147"/>
      <c r="J212" s="147"/>
      <c r="K212" s="147"/>
      <c r="L212" s="147"/>
      <c r="M212" s="147"/>
      <c r="N212" s="144"/>
    </row>
    <row r="213" spans="1:14">
      <c r="A213" s="379"/>
      <c r="D213" s="20"/>
      <c r="E213" s="20"/>
      <c r="F213" s="20"/>
      <c r="G213" s="20"/>
      <c r="H213" s="20"/>
      <c r="I213" s="20"/>
      <c r="J213" s="20"/>
      <c r="K213" s="20"/>
      <c r="L213" s="20"/>
      <c r="M213" s="20"/>
      <c r="N213" s="20"/>
    </row>
    <row r="215" spans="1:14">
      <c r="B215" s="200"/>
      <c r="C215" s="200"/>
    </row>
    <row r="216" spans="1:14">
      <c r="A216" s="12"/>
      <c r="B216" s="147"/>
      <c r="C216" s="147"/>
      <c r="D216" s="147"/>
      <c r="E216" s="147"/>
      <c r="F216" s="147"/>
      <c r="G216" s="147"/>
      <c r="H216" s="147"/>
      <c r="I216" s="147"/>
      <c r="J216" s="147"/>
      <c r="K216" s="147"/>
      <c r="L216" s="147"/>
      <c r="M216" s="147"/>
      <c r="N216" s="147"/>
    </row>
    <row r="217" spans="1:14">
      <c r="B217" s="8"/>
      <c r="C217" s="8"/>
      <c r="G217" s="206"/>
      <c r="N217" s="35"/>
    </row>
    <row r="218" spans="1:14">
      <c r="B218" s="379"/>
      <c r="C218" s="379"/>
      <c r="D218" s="147"/>
      <c r="E218" s="147"/>
    </row>
    <row r="219" spans="1:14">
      <c r="A219" s="197"/>
      <c r="B219" s="144"/>
      <c r="C219" s="144"/>
      <c r="D219" s="147"/>
      <c r="E219" s="147"/>
      <c r="F219" s="147"/>
      <c r="G219" s="147"/>
      <c r="H219" s="147"/>
      <c r="I219" s="147"/>
      <c r="J219" s="147"/>
      <c r="K219" s="147"/>
      <c r="L219" s="147"/>
      <c r="M219" s="147"/>
      <c r="N219" s="144"/>
    </row>
    <row r="220" spans="1:14">
      <c r="A220" s="379"/>
      <c r="B220" s="156"/>
      <c r="C220" s="156"/>
      <c r="D220" s="159"/>
      <c r="E220" s="159"/>
      <c r="F220" s="159"/>
      <c r="G220" s="159"/>
      <c r="H220" s="159"/>
      <c r="I220" s="159"/>
      <c r="J220" s="159"/>
      <c r="K220" s="159"/>
      <c r="L220" s="159"/>
      <c r="M220" s="159"/>
      <c r="N220" s="159"/>
    </row>
    <row r="221" spans="1:14">
      <c r="A221" s="379"/>
      <c r="B221" s="156"/>
      <c r="C221" s="156"/>
      <c r="D221" s="159"/>
      <c r="E221" s="159"/>
      <c r="F221" s="159"/>
      <c r="G221" s="159"/>
      <c r="H221" s="159"/>
      <c r="I221" s="159"/>
      <c r="J221" s="159"/>
      <c r="K221" s="159"/>
      <c r="L221" s="159"/>
      <c r="M221" s="159"/>
      <c r="N221" s="159"/>
    </row>
    <row r="222" spans="1:14">
      <c r="A222" s="379"/>
      <c r="B222" s="156"/>
      <c r="C222" s="156"/>
      <c r="D222" s="159"/>
      <c r="E222" s="159"/>
      <c r="F222" s="159"/>
      <c r="G222" s="159"/>
      <c r="H222" s="159"/>
      <c r="I222" s="159"/>
      <c r="J222" s="159"/>
      <c r="K222" s="159"/>
      <c r="L222" s="159"/>
      <c r="M222" s="159"/>
      <c r="N222" s="159"/>
    </row>
    <row r="223" spans="1:14">
      <c r="A223" s="379"/>
      <c r="B223" s="156"/>
      <c r="C223" s="156"/>
      <c r="D223" s="159"/>
      <c r="E223" s="159"/>
      <c r="F223" s="159"/>
      <c r="G223" s="159"/>
      <c r="H223" s="159"/>
      <c r="I223" s="159"/>
      <c r="J223" s="159"/>
      <c r="K223" s="159"/>
      <c r="L223" s="159"/>
      <c r="M223" s="159"/>
      <c r="N223" s="159"/>
    </row>
    <row r="224" spans="1:14">
      <c r="A224" s="379"/>
      <c r="B224" s="156"/>
      <c r="C224" s="156"/>
      <c r="D224" s="159"/>
      <c r="E224" s="159"/>
      <c r="F224" s="159"/>
      <c r="G224" s="159"/>
      <c r="H224" s="159"/>
      <c r="I224" s="159"/>
      <c r="J224" s="159"/>
      <c r="K224" s="159"/>
      <c r="L224" s="159"/>
      <c r="M224" s="159"/>
      <c r="N224" s="159"/>
    </row>
    <row r="225" spans="1:19">
      <c r="A225" s="379"/>
      <c r="B225" s="156"/>
      <c r="C225" s="156"/>
      <c r="D225" s="159"/>
      <c r="E225" s="159"/>
      <c r="F225" s="159"/>
      <c r="G225" s="159"/>
      <c r="H225" s="159"/>
      <c r="I225" s="159"/>
      <c r="J225" s="159"/>
      <c r="K225" s="159"/>
      <c r="L225" s="159"/>
      <c r="M225" s="159"/>
      <c r="N225" s="159"/>
    </row>
    <row r="226" spans="1:19">
      <c r="A226" s="379"/>
      <c r="B226" s="156"/>
      <c r="C226" s="156"/>
      <c r="D226" s="159"/>
      <c r="E226" s="159"/>
      <c r="F226" s="159"/>
      <c r="G226" s="159"/>
      <c r="H226" s="159"/>
      <c r="I226" s="159"/>
      <c r="J226" s="159"/>
      <c r="K226" s="159"/>
      <c r="L226" s="159"/>
      <c r="M226" s="159"/>
      <c r="N226" s="159"/>
    </row>
    <row r="227" spans="1:19">
      <c r="A227" s="379"/>
      <c r="B227" s="156"/>
      <c r="C227" s="156"/>
      <c r="D227" s="159"/>
      <c r="E227" s="159"/>
      <c r="F227" s="159"/>
      <c r="G227" s="159"/>
      <c r="H227" s="159"/>
      <c r="I227" s="159"/>
      <c r="J227" s="159"/>
      <c r="K227" s="159"/>
      <c r="L227" s="159"/>
      <c r="M227" s="159"/>
      <c r="N227" s="159"/>
    </row>
    <row r="228" spans="1:19">
      <c r="A228" s="379"/>
      <c r="B228" s="156"/>
      <c r="C228" s="156"/>
      <c r="D228" s="159"/>
      <c r="E228" s="159"/>
      <c r="F228" s="159"/>
      <c r="G228" s="159"/>
      <c r="H228" s="159"/>
      <c r="I228" s="159"/>
      <c r="J228" s="159"/>
      <c r="K228" s="159"/>
      <c r="L228" s="159"/>
      <c r="M228" s="159"/>
      <c r="N228" s="159"/>
    </row>
    <row r="229" spans="1:19">
      <c r="A229" s="379"/>
      <c r="B229" s="156"/>
      <c r="C229" s="156"/>
      <c r="D229" s="159"/>
      <c r="E229" s="159"/>
      <c r="F229" s="159"/>
      <c r="G229" s="159"/>
      <c r="H229" s="159"/>
      <c r="I229" s="159"/>
      <c r="J229" s="159"/>
      <c r="K229" s="159"/>
      <c r="L229" s="159"/>
      <c r="M229" s="159"/>
      <c r="N229" s="159"/>
    </row>
    <row r="230" spans="1:19">
      <c r="A230" s="379"/>
      <c r="B230" s="156"/>
      <c r="C230" s="156"/>
      <c r="D230" s="159"/>
      <c r="E230" s="159"/>
      <c r="F230" s="159"/>
      <c r="G230" s="159"/>
      <c r="H230" s="159"/>
      <c r="I230" s="159"/>
      <c r="J230" s="159"/>
      <c r="K230" s="159"/>
      <c r="L230" s="159"/>
      <c r="M230" s="159"/>
      <c r="N230" s="159"/>
    </row>
    <row r="231" spans="1:19">
      <c r="A231" s="379"/>
      <c r="B231" s="156"/>
      <c r="C231" s="156"/>
      <c r="D231" s="207"/>
      <c r="E231" s="207"/>
      <c r="F231" s="207"/>
      <c r="G231" s="207"/>
      <c r="H231" s="207"/>
      <c r="I231" s="207"/>
      <c r="J231" s="207"/>
      <c r="K231" s="207"/>
      <c r="L231" s="207"/>
      <c r="M231" s="207"/>
      <c r="N231" s="207"/>
    </row>
    <row r="232" spans="1:19">
      <c r="A232" s="379"/>
      <c r="B232" s="156"/>
      <c r="C232" s="156"/>
      <c r="D232" s="20"/>
      <c r="E232" s="20"/>
      <c r="F232" s="20"/>
      <c r="G232" s="20"/>
      <c r="H232" s="20"/>
      <c r="I232" s="20"/>
      <c r="J232" s="20"/>
      <c r="K232" s="20"/>
      <c r="L232" s="20"/>
      <c r="M232" s="20"/>
      <c r="N232" s="159"/>
    </row>
    <row r="234" spans="1:19">
      <c r="B234" s="16"/>
      <c r="C234" s="16"/>
      <c r="S234" s="17"/>
    </row>
    <row r="235" spans="1:19">
      <c r="B235" s="17"/>
      <c r="C235" s="17"/>
    </row>
    <row r="236" spans="1:19">
      <c r="B236" s="208"/>
      <c r="C236" s="208"/>
      <c r="D236" s="17"/>
      <c r="E236" s="17"/>
      <c r="F236" s="17"/>
      <c r="G236" s="17"/>
      <c r="H236" s="17"/>
      <c r="I236" s="17"/>
      <c r="K236" s="17"/>
      <c r="L236" s="17"/>
      <c r="M236" s="17"/>
      <c r="N236" s="17"/>
      <c r="O236" s="17"/>
      <c r="P236" s="17"/>
      <c r="Q236" s="17"/>
      <c r="R236" s="17"/>
    </row>
    <row r="238" spans="1:19">
      <c r="B238" s="18"/>
      <c r="C238" s="18"/>
    </row>
    <row r="239" spans="1:19">
      <c r="B239" s="18"/>
      <c r="C239" s="18"/>
    </row>
    <row r="240" spans="1:19">
      <c r="B240" s="269"/>
      <c r="C240" s="269"/>
    </row>
    <row r="241" spans="2:3">
      <c r="B241" s="17"/>
      <c r="C241" s="17"/>
    </row>
    <row r="242" spans="2:3">
      <c r="B242" s="18"/>
      <c r="C242" s="18"/>
    </row>
    <row r="243" spans="2:3">
      <c r="B243" s="18"/>
      <c r="C243" s="18"/>
    </row>
    <row r="244" spans="2:3">
      <c r="B244" s="18"/>
      <c r="C244" s="18"/>
    </row>
    <row r="245" spans="2:3">
      <c r="B245" s="17"/>
      <c r="C245" s="17"/>
    </row>
    <row r="246" spans="2:3">
      <c r="B246" s="18"/>
      <c r="C246" s="18"/>
    </row>
    <row r="247" spans="2:3">
      <c r="B247" s="209"/>
      <c r="C247" s="209"/>
    </row>
    <row r="248" spans="2:3">
      <c r="B248" s="17"/>
      <c r="C248" s="17"/>
    </row>
    <row r="249" spans="2:3">
      <c r="B249" s="17"/>
      <c r="C249" s="17"/>
    </row>
    <row r="251" spans="2:3">
      <c r="B251" s="17"/>
      <c r="C251" s="17"/>
    </row>
    <row r="252" spans="2:3">
      <c r="B252" s="17"/>
      <c r="C252" s="17"/>
    </row>
    <row r="256" spans="2:3">
      <c r="B256" s="17"/>
      <c r="C256" s="17"/>
    </row>
    <row r="257" spans="2:3">
      <c r="B257" s="18"/>
      <c r="C257" s="18"/>
    </row>
    <row r="258" spans="2:3">
      <c r="B258" s="18"/>
      <c r="C258" s="18"/>
    </row>
  </sheetData>
  <mergeCells count="4">
    <mergeCell ref="B133:Q133"/>
    <mergeCell ref="B134:Q134"/>
    <mergeCell ref="B135:Q135"/>
    <mergeCell ref="B136:Q136"/>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52" max="17" man="1"/>
    <brk id="117" max="17" man="1"/>
  </rowBreaks>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41"/>
  <sheetViews>
    <sheetView tabSelected="1" view="pageBreakPreview" topLeftCell="A125" zoomScale="90" zoomScaleNormal="75" zoomScaleSheetLayoutView="90" zoomScalePageLayoutView="55" workbookViewId="0">
      <selection activeCell="E21" sqref="E21"/>
    </sheetView>
  </sheetViews>
  <sheetFormatPr defaultColWidth="8.81640625" defaultRowHeight="14.5"/>
  <cols>
    <col min="1" max="1" width="6.81640625" style="35" bestFit="1" customWidth="1"/>
    <col min="2" max="3" width="16.26953125" customWidth="1"/>
    <col min="4" max="15" width="17.26953125" customWidth="1"/>
    <col min="16" max="16" width="20" customWidth="1"/>
    <col min="17" max="17" width="6.81640625" bestFit="1" customWidth="1"/>
    <col min="18" max="18" width="8.81640625" customWidth="1"/>
  </cols>
  <sheetData>
    <row r="1" spans="1:17">
      <c r="B1" s="12" t="s">
        <v>34</v>
      </c>
      <c r="G1" s="135"/>
      <c r="I1" s="17"/>
      <c r="N1" s="15"/>
      <c r="O1" s="8"/>
      <c r="P1" s="15" t="str">
        <f>CONCATENATE("Prior Year: ",'1-BaseTRR'!$G$2)</f>
        <v>Prior Year: 2020</v>
      </c>
    </row>
    <row r="2" spans="1:17">
      <c r="B2" s="113" t="s">
        <v>130</v>
      </c>
      <c r="C2" s="49"/>
      <c r="I2" s="17"/>
      <c r="N2" s="15"/>
      <c r="O2" s="8"/>
    </row>
    <row r="3" spans="1:17">
      <c r="A3" s="8"/>
    </row>
    <row r="4" spans="1:17">
      <c r="B4" s="136" t="s">
        <v>937</v>
      </c>
      <c r="C4" s="138"/>
      <c r="D4" s="138"/>
      <c r="E4" s="138"/>
      <c r="F4" s="138"/>
      <c r="G4" s="138"/>
      <c r="H4" s="138"/>
      <c r="I4" s="210"/>
      <c r="J4" s="211"/>
      <c r="K4" s="138"/>
      <c r="L4" s="138"/>
      <c r="M4" s="219"/>
      <c r="N4" s="219"/>
      <c r="O4" s="219"/>
      <c r="P4" s="219"/>
    </row>
    <row r="5" spans="1:17">
      <c r="B5" t="s">
        <v>938</v>
      </c>
    </row>
    <row r="6" spans="1:17">
      <c r="B6" t="s">
        <v>939</v>
      </c>
    </row>
    <row r="8" spans="1:17">
      <c r="A8" s="379"/>
      <c r="C8" s="147" t="s">
        <v>413</v>
      </c>
      <c r="D8" s="147" t="s">
        <v>414</v>
      </c>
      <c r="E8" s="147" t="s">
        <v>415</v>
      </c>
      <c r="F8" s="147" t="s">
        <v>416</v>
      </c>
      <c r="G8" s="147" t="s">
        <v>417</v>
      </c>
      <c r="H8" s="147" t="s">
        <v>418</v>
      </c>
      <c r="I8" s="147" t="s">
        <v>419</v>
      </c>
      <c r="J8" s="147" t="s">
        <v>420</v>
      </c>
      <c r="K8" s="147" t="s">
        <v>451</v>
      </c>
      <c r="L8" s="147" t="s">
        <v>586</v>
      </c>
      <c r="M8" s="147" t="s">
        <v>587</v>
      </c>
      <c r="N8" s="147" t="s">
        <v>588</v>
      </c>
      <c r="O8" s="147" t="s">
        <v>589</v>
      </c>
      <c r="P8" s="147"/>
    </row>
    <row r="9" spans="1:17">
      <c r="A9" s="379"/>
      <c r="C9" s="371"/>
      <c r="D9" s="371"/>
      <c r="E9" s="371"/>
      <c r="F9" s="371"/>
      <c r="G9" s="371"/>
      <c r="H9" s="371"/>
      <c r="I9" s="371"/>
      <c r="J9" s="371"/>
      <c r="K9" s="371"/>
      <c r="L9" s="371"/>
      <c r="M9" s="371"/>
      <c r="N9" s="371"/>
      <c r="O9" s="149" t="s">
        <v>749</v>
      </c>
      <c r="P9" s="371"/>
    </row>
    <row r="10" spans="1:17">
      <c r="A10" s="379"/>
      <c r="C10" s="371"/>
      <c r="D10" s="371"/>
      <c r="E10" s="371"/>
      <c r="F10" s="371"/>
      <c r="G10" s="371"/>
      <c r="H10" s="371"/>
      <c r="I10" s="371"/>
      <c r="J10" s="371"/>
      <c r="K10" s="371"/>
      <c r="L10" s="371"/>
      <c r="M10" s="371"/>
      <c r="N10" s="371"/>
      <c r="O10" s="371"/>
      <c r="P10" s="371"/>
    </row>
    <row r="11" spans="1:17">
      <c r="B11" s="151" t="s">
        <v>750</v>
      </c>
      <c r="C11" s="116">
        <v>350.01</v>
      </c>
      <c r="D11" s="116">
        <v>350.02</v>
      </c>
      <c r="E11" s="116">
        <v>352.01</v>
      </c>
      <c r="F11" s="116">
        <v>352.02</v>
      </c>
      <c r="G11" s="116">
        <v>353.01</v>
      </c>
      <c r="H11" s="116">
        <v>353.02</v>
      </c>
      <c r="I11" s="116">
        <v>354</v>
      </c>
      <c r="J11" s="116">
        <v>355</v>
      </c>
      <c r="K11" s="116">
        <v>356</v>
      </c>
      <c r="L11" s="116">
        <v>357</v>
      </c>
      <c r="M11" s="116">
        <v>358</v>
      </c>
      <c r="N11" s="116">
        <v>359</v>
      </c>
    </row>
    <row r="12" spans="1:17">
      <c r="A12" s="144" t="s">
        <v>99</v>
      </c>
      <c r="B12" s="144" t="s">
        <v>830</v>
      </c>
      <c r="C12" s="147" t="s">
        <v>751</v>
      </c>
      <c r="D12" s="147" t="s">
        <v>752</v>
      </c>
      <c r="E12" s="147" t="s">
        <v>753</v>
      </c>
      <c r="F12" s="147" t="s">
        <v>754</v>
      </c>
      <c r="G12" s="147" t="s">
        <v>755</v>
      </c>
      <c r="H12" s="147" t="s">
        <v>756</v>
      </c>
      <c r="I12" s="147" t="s">
        <v>757</v>
      </c>
      <c r="J12" s="147" t="s">
        <v>758</v>
      </c>
      <c r="K12" s="147" t="s">
        <v>759</v>
      </c>
      <c r="L12" s="147" t="s">
        <v>760</v>
      </c>
      <c r="M12" s="147" t="s">
        <v>761</v>
      </c>
      <c r="N12" s="147" t="s">
        <v>762</v>
      </c>
      <c r="O12" s="147" t="s">
        <v>509</v>
      </c>
      <c r="P12" s="147"/>
      <c r="Q12" s="144" t="str">
        <f>A12</f>
        <v>Line</v>
      </c>
    </row>
    <row r="13" spans="1:17">
      <c r="A13" s="379">
        <v>100</v>
      </c>
      <c r="B13" s="17" t="s">
        <v>775</v>
      </c>
      <c r="C13" s="513">
        <v>0</v>
      </c>
      <c r="D13" s="513">
        <v>1294497.703176874</v>
      </c>
      <c r="E13" s="513">
        <v>3034273.8758669174</v>
      </c>
      <c r="F13" s="513">
        <v>713870.34384551877</v>
      </c>
      <c r="G13" s="513">
        <v>114710342.23240837</v>
      </c>
      <c r="H13" s="513">
        <v>92186.194866736871</v>
      </c>
      <c r="I13" s="513">
        <v>11876447.42787637</v>
      </c>
      <c r="J13" s="513">
        <v>9048259.1037456095</v>
      </c>
      <c r="K13" s="513">
        <v>20382008.394335624</v>
      </c>
      <c r="L13" s="513">
        <v>5251035.9635827318</v>
      </c>
      <c r="M13" s="513">
        <v>2150540.7523198677</v>
      </c>
      <c r="N13" s="513">
        <v>729119.52375935612</v>
      </c>
      <c r="O13" s="514">
        <f>SUM(C13:N13)</f>
        <v>169282581.515784</v>
      </c>
      <c r="P13" s="212"/>
      <c r="Q13" s="379">
        <f>A13</f>
        <v>100</v>
      </c>
    </row>
    <row r="14" spans="1:17">
      <c r="A14" s="379">
        <f>+A13+1</f>
        <v>101</v>
      </c>
      <c r="B14" s="388" t="s">
        <v>776</v>
      </c>
      <c r="C14" s="506">
        <v>0</v>
      </c>
      <c r="D14" s="506">
        <v>1357918.9316729584</v>
      </c>
      <c r="E14" s="506">
        <v>3241653.4615789847</v>
      </c>
      <c r="F14" s="506">
        <v>1061525.5355823946</v>
      </c>
      <c r="G14" s="506">
        <v>119167270.74677117</v>
      </c>
      <c r="H14" s="506">
        <v>271412.65977572883</v>
      </c>
      <c r="I14" s="506">
        <v>9729329.9818991851</v>
      </c>
      <c r="J14" s="506">
        <v>47316766.995433025</v>
      </c>
      <c r="K14" s="506">
        <v>35686047.352621347</v>
      </c>
      <c r="L14" s="506">
        <v>2599807.3395026405</v>
      </c>
      <c r="M14" s="506">
        <v>3341833.8673236733</v>
      </c>
      <c r="N14" s="506">
        <v>1542231.9443756083</v>
      </c>
      <c r="O14" s="515">
        <f>SUM(C14:N14)</f>
        <v>225315798.81653669</v>
      </c>
      <c r="P14" s="212"/>
      <c r="Q14" s="379">
        <f>A14</f>
        <v>101</v>
      </c>
    </row>
    <row r="15" spans="1:17">
      <c r="A15" s="379">
        <f>+A14+1</f>
        <v>102</v>
      </c>
      <c r="B15" s="200" t="s">
        <v>509</v>
      </c>
      <c r="C15" s="191">
        <f>SUM(C13:C14)</f>
        <v>0</v>
      </c>
      <c r="D15" s="191">
        <f t="shared" ref="D15:N15" si="0">SUM(D13:D14)</f>
        <v>2652416.6348498324</v>
      </c>
      <c r="E15" s="191">
        <f t="shared" si="0"/>
        <v>6275927.3374459017</v>
      </c>
      <c r="F15" s="191">
        <f t="shared" si="0"/>
        <v>1775395.8794279133</v>
      </c>
      <c r="G15" s="191">
        <f t="shared" si="0"/>
        <v>233877612.97917956</v>
      </c>
      <c r="H15" s="191">
        <f t="shared" si="0"/>
        <v>363598.85464246571</v>
      </c>
      <c r="I15" s="191">
        <f t="shared" si="0"/>
        <v>21605777.409775555</v>
      </c>
      <c r="J15" s="191">
        <f t="shared" si="0"/>
        <v>56365026.099178635</v>
      </c>
      <c r="K15" s="191">
        <f t="shared" si="0"/>
        <v>56068055.746956974</v>
      </c>
      <c r="L15" s="191">
        <f t="shared" si="0"/>
        <v>7850843.3030853719</v>
      </c>
      <c r="M15" s="191">
        <f t="shared" si="0"/>
        <v>5492374.6196435411</v>
      </c>
      <c r="N15" s="191">
        <f t="shared" si="0"/>
        <v>2271351.4681349644</v>
      </c>
      <c r="O15" s="497">
        <f>SUM(C15:N15)</f>
        <v>394598380.33232069</v>
      </c>
      <c r="P15" s="213"/>
      <c r="Q15" s="379">
        <f>A15</f>
        <v>102</v>
      </c>
    </row>
    <row r="16" spans="1:17">
      <c r="A16" s="371"/>
      <c r="B16" s="17"/>
      <c r="C16" s="17"/>
      <c r="D16" s="17"/>
      <c r="E16" s="17"/>
      <c r="F16" s="17"/>
      <c r="G16" s="17"/>
      <c r="H16" s="17"/>
      <c r="I16" s="17"/>
      <c r="J16" s="17"/>
      <c r="K16" s="17"/>
      <c r="L16" s="17"/>
      <c r="Q16" s="35"/>
    </row>
    <row r="17" spans="1:17">
      <c r="A17" s="371"/>
      <c r="B17" s="17"/>
      <c r="C17" s="17"/>
      <c r="D17" s="17"/>
      <c r="E17" s="17"/>
      <c r="F17" s="17"/>
      <c r="G17" s="17"/>
      <c r="H17" s="17"/>
      <c r="I17" s="17"/>
      <c r="J17" s="17"/>
      <c r="K17" s="17"/>
      <c r="L17" s="17"/>
      <c r="Q17" s="35"/>
    </row>
    <row r="18" spans="1:17">
      <c r="B18" s="52" t="s">
        <v>940</v>
      </c>
      <c r="C18" s="138"/>
      <c r="D18" s="138"/>
      <c r="E18" s="138"/>
      <c r="F18" s="138"/>
      <c r="G18" s="138"/>
      <c r="H18" s="138"/>
      <c r="I18" s="138"/>
      <c r="J18" s="138"/>
      <c r="K18" s="138"/>
      <c r="L18" s="138"/>
      <c r="M18" s="219"/>
      <c r="N18" s="219"/>
      <c r="O18" s="219"/>
      <c r="P18" s="219"/>
      <c r="Q18" s="35"/>
    </row>
    <row r="19" spans="1:17">
      <c r="B19" s="145" t="s">
        <v>941</v>
      </c>
    </row>
    <row r="21" spans="1:17">
      <c r="A21" s="371"/>
      <c r="B21" s="17"/>
      <c r="C21" s="147" t="s">
        <v>413</v>
      </c>
      <c r="D21" s="147" t="s">
        <v>414</v>
      </c>
      <c r="E21" s="147" t="s">
        <v>415</v>
      </c>
      <c r="F21" s="17"/>
      <c r="G21" s="17"/>
      <c r="H21" s="17"/>
      <c r="I21" s="17"/>
      <c r="J21" s="17"/>
      <c r="K21" s="17"/>
      <c r="L21" s="17"/>
      <c r="Q21" s="35"/>
    </row>
    <row r="22" spans="1:17">
      <c r="C22" s="133" t="s">
        <v>528</v>
      </c>
      <c r="D22" s="149" t="s">
        <v>110</v>
      </c>
      <c r="E22" s="149" t="s">
        <v>110</v>
      </c>
      <c r="F22" s="17"/>
      <c r="G22" s="17"/>
      <c r="H22" s="17"/>
      <c r="I22" s="17"/>
      <c r="J22" s="17"/>
      <c r="K22" s="17"/>
      <c r="L22" s="17"/>
      <c r="Q22" s="35"/>
    </row>
    <row r="23" spans="1:17">
      <c r="D23" s="35"/>
      <c r="E23" s="35"/>
      <c r="F23" s="17"/>
      <c r="G23" s="17"/>
      <c r="H23" s="17"/>
      <c r="I23" s="17"/>
      <c r="J23" s="17"/>
      <c r="K23" s="17"/>
      <c r="L23" s="17"/>
      <c r="Q23" s="35"/>
    </row>
    <row r="24" spans="1:17">
      <c r="A24" s="144" t="s">
        <v>99</v>
      </c>
      <c r="B24" s="144" t="s">
        <v>462</v>
      </c>
      <c r="C24" s="147" t="s">
        <v>921</v>
      </c>
      <c r="D24" s="147" t="s">
        <v>775</v>
      </c>
      <c r="E24" s="147" t="s">
        <v>776</v>
      </c>
      <c r="F24" s="17"/>
      <c r="G24" s="17"/>
      <c r="H24" s="17"/>
      <c r="I24" s="17"/>
      <c r="J24" s="17"/>
      <c r="K24" s="17"/>
      <c r="L24" s="17"/>
      <c r="Q24" s="144" t="str">
        <f>A24</f>
        <v>Line</v>
      </c>
    </row>
    <row r="25" spans="1:17">
      <c r="A25" s="379">
        <v>200</v>
      </c>
      <c r="B25" s="152">
        <f>'1-BaseTRR'!$G$2</f>
        <v>2020</v>
      </c>
      <c r="C25" s="29">
        <f>D25+E25</f>
        <v>70980390.336357653</v>
      </c>
      <c r="D25" s="502">
        <v>30019478.63779081</v>
      </c>
      <c r="E25" s="502">
        <v>40960911.698566847</v>
      </c>
      <c r="F25" s="17"/>
      <c r="G25" s="17"/>
      <c r="H25" s="17"/>
      <c r="I25" s="17"/>
      <c r="J25" s="17"/>
      <c r="K25" s="17"/>
      <c r="L25" s="17"/>
      <c r="Q25" s="379">
        <f>A25</f>
        <v>200</v>
      </c>
    </row>
    <row r="26" spans="1:17">
      <c r="A26" s="150"/>
      <c r="B26" s="20"/>
      <c r="C26" s="20"/>
      <c r="D26" s="20"/>
      <c r="E26" s="17"/>
      <c r="F26" s="17"/>
      <c r="G26" s="17"/>
      <c r="H26" s="17"/>
      <c r="I26" s="17"/>
      <c r="J26" s="17"/>
      <c r="K26" s="17"/>
      <c r="L26" s="17"/>
      <c r="Q26" s="35"/>
    </row>
    <row r="27" spans="1:17">
      <c r="A27" s="150"/>
      <c r="B27" s="20"/>
      <c r="C27" s="20"/>
      <c r="D27" s="20"/>
      <c r="E27" s="17"/>
      <c r="F27" s="17"/>
      <c r="G27" s="17"/>
      <c r="H27" s="17"/>
      <c r="I27" s="17"/>
      <c r="J27" s="17"/>
      <c r="K27" s="17"/>
      <c r="L27" s="17"/>
      <c r="Q27" s="35"/>
    </row>
    <row r="28" spans="1:17">
      <c r="B28" s="52" t="s">
        <v>942</v>
      </c>
      <c r="C28" s="138"/>
      <c r="D28" s="138"/>
      <c r="E28" s="138"/>
      <c r="F28" s="138"/>
      <c r="G28" s="138"/>
      <c r="H28" s="138"/>
      <c r="I28" s="138"/>
      <c r="J28" s="138"/>
      <c r="K28" s="138"/>
      <c r="L28" s="138"/>
      <c r="M28" s="219"/>
      <c r="N28" s="219"/>
      <c r="O28" s="219"/>
      <c r="P28" s="219"/>
      <c r="Q28" s="35"/>
    </row>
    <row r="29" spans="1:17">
      <c r="B29" s="145" t="s">
        <v>943</v>
      </c>
    </row>
    <row r="31" spans="1:17">
      <c r="B31" s="17"/>
      <c r="C31" s="147" t="s">
        <v>413</v>
      </c>
      <c r="D31" s="147" t="s">
        <v>414</v>
      </c>
      <c r="E31" s="147" t="s">
        <v>415</v>
      </c>
      <c r="F31" s="147" t="s">
        <v>416</v>
      </c>
      <c r="G31" s="147" t="s">
        <v>417</v>
      </c>
      <c r="H31" s="17"/>
      <c r="I31" s="17"/>
      <c r="J31" s="17"/>
      <c r="K31" s="17"/>
      <c r="L31" s="17"/>
      <c r="Q31" s="35"/>
    </row>
    <row r="32" spans="1:17" ht="29">
      <c r="A32" s="214"/>
      <c r="B32" s="215"/>
      <c r="C32" s="149" t="s">
        <v>202</v>
      </c>
      <c r="D32" s="149" t="s">
        <v>783</v>
      </c>
      <c r="E32" s="161" t="s">
        <v>784</v>
      </c>
      <c r="F32" s="149" t="s">
        <v>785</v>
      </c>
      <c r="G32" s="149" t="s">
        <v>786</v>
      </c>
      <c r="H32" s="216"/>
      <c r="I32" s="216"/>
      <c r="J32" s="216"/>
      <c r="K32" s="216"/>
      <c r="L32" s="216"/>
      <c r="M32" s="215"/>
      <c r="N32" s="215"/>
      <c r="O32" s="215"/>
      <c r="P32" s="215"/>
      <c r="Q32" s="35"/>
    </row>
    <row r="33" spans="1:17">
      <c r="D33" s="217"/>
      <c r="F33" s="217"/>
      <c r="G33" s="217"/>
      <c r="H33" s="17"/>
      <c r="I33" s="17"/>
      <c r="J33" s="17"/>
      <c r="K33" s="17"/>
      <c r="L33" s="17"/>
      <c r="Q33" s="35"/>
    </row>
    <row r="34" spans="1:17">
      <c r="F34" s="217"/>
      <c r="G34" s="217"/>
      <c r="H34" s="17"/>
      <c r="I34" s="17"/>
      <c r="J34" s="17"/>
      <c r="K34" s="17"/>
      <c r="L34" s="17"/>
      <c r="Q34" s="35"/>
    </row>
    <row r="35" spans="1:17">
      <c r="C35" s="116" t="s">
        <v>788</v>
      </c>
      <c r="D35" s="8" t="s">
        <v>787</v>
      </c>
      <c r="E35" s="8" t="s">
        <v>427</v>
      </c>
      <c r="H35" s="17"/>
      <c r="I35" s="17"/>
      <c r="J35" s="17"/>
      <c r="K35" s="17"/>
      <c r="L35" s="17"/>
      <c r="Q35" s="35"/>
    </row>
    <row r="36" spans="1:17">
      <c r="C36" s="8" t="s">
        <v>944</v>
      </c>
      <c r="D36" s="8" t="s">
        <v>427</v>
      </c>
      <c r="E36" s="8" t="s">
        <v>945</v>
      </c>
      <c r="F36" s="116" t="s">
        <v>775</v>
      </c>
      <c r="G36" s="116" t="s">
        <v>776</v>
      </c>
      <c r="H36" s="17"/>
      <c r="I36" s="17"/>
      <c r="J36" s="17"/>
      <c r="K36" s="17"/>
      <c r="L36" s="17"/>
      <c r="Q36" s="35"/>
    </row>
    <row r="37" spans="1:17">
      <c r="A37" s="144" t="s">
        <v>99</v>
      </c>
      <c r="B37" s="144" t="s">
        <v>462</v>
      </c>
      <c r="C37" s="162" t="s">
        <v>789</v>
      </c>
      <c r="D37" s="162" t="s">
        <v>790</v>
      </c>
      <c r="E37" s="162" t="s">
        <v>791</v>
      </c>
      <c r="F37" s="162" t="s">
        <v>791</v>
      </c>
      <c r="G37" s="162" t="s">
        <v>791</v>
      </c>
      <c r="H37" s="17"/>
      <c r="I37" s="17"/>
      <c r="J37" s="17"/>
      <c r="K37" s="17"/>
      <c r="L37" s="17"/>
      <c r="Q37" s="144" t="str">
        <f>A37</f>
        <v>Line</v>
      </c>
    </row>
    <row r="38" spans="1:17">
      <c r="A38" s="379">
        <v>300</v>
      </c>
      <c r="B38" s="152">
        <f>'1-BaseTRR'!$G$2</f>
        <v>2020</v>
      </c>
      <c r="C38" s="502">
        <v>260104587.33192503</v>
      </c>
      <c r="D38" s="206">
        <f>'24-Allocators'!$C$24</f>
        <v>9.5345604059498199E-2</v>
      </c>
      <c r="E38" s="29">
        <f>+D38*C38</f>
        <v>24799828.997808896</v>
      </c>
      <c r="F38" s="516">
        <f>+E38*'24-Allocators'!$C$43</f>
        <v>10748087.440995554</v>
      </c>
      <c r="G38" s="29">
        <f>+E38*'24-Allocators'!$C$44</f>
        <v>14051741.556813352</v>
      </c>
      <c r="H38" s="17"/>
      <c r="I38" s="17"/>
      <c r="J38" s="17"/>
      <c r="K38" s="17"/>
      <c r="L38" s="17"/>
      <c r="Q38" s="379">
        <f>A38</f>
        <v>300</v>
      </c>
    </row>
    <row r="39" spans="1:17">
      <c r="A39" s="379"/>
      <c r="B39" s="145"/>
      <c r="C39" s="159"/>
      <c r="D39" s="218"/>
      <c r="E39" s="20"/>
      <c r="F39" s="17"/>
      <c r="G39" s="17"/>
      <c r="H39" s="17"/>
      <c r="I39" s="17"/>
      <c r="J39" s="17"/>
      <c r="K39" s="17"/>
      <c r="L39" s="17"/>
      <c r="Q39" s="35"/>
    </row>
    <row r="40" spans="1:17">
      <c r="A40" s="379"/>
      <c r="B40" s="145"/>
      <c r="C40" s="159"/>
      <c r="D40" s="218"/>
      <c r="E40" s="20"/>
      <c r="F40" s="17"/>
      <c r="G40" s="17"/>
      <c r="H40" s="17"/>
      <c r="I40" s="17"/>
      <c r="J40" s="17"/>
      <c r="K40" s="17"/>
      <c r="L40" s="17"/>
      <c r="Q40" s="35"/>
    </row>
    <row r="41" spans="1:17">
      <c r="B41" s="52" t="s">
        <v>946</v>
      </c>
      <c r="C41" s="138"/>
      <c r="D41" s="138"/>
      <c r="E41" s="138"/>
      <c r="F41" s="138"/>
      <c r="G41" s="138"/>
      <c r="H41" s="138"/>
      <c r="I41" s="138"/>
      <c r="J41" s="138"/>
      <c r="K41" s="138"/>
      <c r="L41" s="138"/>
      <c r="M41" s="219"/>
      <c r="N41" s="219"/>
      <c r="O41" s="219"/>
      <c r="P41" s="219"/>
      <c r="Q41" s="35"/>
    </row>
    <row r="42" spans="1:17">
      <c r="B42" s="145" t="s">
        <v>947</v>
      </c>
    </row>
    <row r="44" spans="1:17">
      <c r="B44" s="17"/>
      <c r="C44" s="147" t="s">
        <v>413</v>
      </c>
      <c r="D44" s="147" t="s">
        <v>414</v>
      </c>
      <c r="E44" s="147" t="s">
        <v>415</v>
      </c>
      <c r="F44" s="147" t="s">
        <v>416</v>
      </c>
      <c r="G44" s="147" t="s">
        <v>417</v>
      </c>
      <c r="H44" s="17"/>
      <c r="I44" s="17"/>
      <c r="J44" s="17"/>
      <c r="K44" s="17"/>
      <c r="L44" s="17"/>
      <c r="Q44" s="35"/>
    </row>
    <row r="45" spans="1:17" ht="29">
      <c r="A45" s="214"/>
      <c r="B45" s="215"/>
      <c r="C45" s="149" t="s">
        <v>249</v>
      </c>
      <c r="D45" s="149" t="s">
        <v>797</v>
      </c>
      <c r="E45" s="161" t="s">
        <v>784</v>
      </c>
      <c r="F45" s="149" t="s">
        <v>785</v>
      </c>
      <c r="G45" s="149" t="s">
        <v>786</v>
      </c>
      <c r="H45" s="216"/>
      <c r="I45" s="216"/>
      <c r="J45" s="216"/>
      <c r="K45" s="216"/>
      <c r="L45" s="216"/>
      <c r="M45" s="215"/>
      <c r="N45" s="215"/>
      <c r="O45" s="215"/>
      <c r="P45" s="215"/>
      <c r="Q45" s="35"/>
    </row>
    <row r="46" spans="1:17">
      <c r="D46" s="217"/>
      <c r="E46" s="35"/>
      <c r="F46" s="217"/>
      <c r="G46" s="217"/>
      <c r="H46" s="17"/>
      <c r="I46" s="17"/>
      <c r="J46" s="17"/>
      <c r="K46" s="17"/>
      <c r="L46" s="17"/>
      <c r="Q46" s="35"/>
    </row>
    <row r="47" spans="1:17">
      <c r="H47" s="17"/>
      <c r="I47" s="17"/>
      <c r="J47" s="17"/>
      <c r="K47" s="17"/>
      <c r="L47" s="17"/>
      <c r="Q47" s="35"/>
    </row>
    <row r="48" spans="1:17">
      <c r="D48" s="8" t="s">
        <v>787</v>
      </c>
      <c r="E48" s="8" t="s">
        <v>427</v>
      </c>
      <c r="H48" s="17"/>
      <c r="I48" s="17"/>
      <c r="J48" s="17"/>
      <c r="K48" s="17"/>
      <c r="L48" s="17"/>
      <c r="Q48" s="35"/>
    </row>
    <row r="49" spans="1:18">
      <c r="C49" s="116" t="s">
        <v>948</v>
      </c>
      <c r="D49" s="8" t="s">
        <v>427</v>
      </c>
      <c r="E49" s="8" t="s">
        <v>945</v>
      </c>
      <c r="F49" s="116" t="s">
        <v>775</v>
      </c>
      <c r="G49" s="116" t="s">
        <v>776</v>
      </c>
      <c r="H49" s="17"/>
      <c r="I49" s="17"/>
      <c r="J49" s="17"/>
      <c r="K49" s="17"/>
      <c r="L49" s="17"/>
      <c r="Q49" s="35"/>
    </row>
    <row r="50" spans="1:18">
      <c r="A50" s="144" t="s">
        <v>99</v>
      </c>
      <c r="B50" s="144" t="s">
        <v>462</v>
      </c>
      <c r="C50" s="162" t="s">
        <v>789</v>
      </c>
      <c r="D50" s="162" t="s">
        <v>790</v>
      </c>
      <c r="E50" s="162" t="s">
        <v>949</v>
      </c>
      <c r="F50" s="162" t="s">
        <v>949</v>
      </c>
      <c r="G50" s="162" t="s">
        <v>949</v>
      </c>
      <c r="H50" s="17"/>
      <c r="I50" s="17"/>
      <c r="J50" s="17"/>
      <c r="K50" s="17"/>
      <c r="L50" s="17"/>
      <c r="Q50" s="144" t="str">
        <f>A50</f>
        <v>Line</v>
      </c>
    </row>
    <row r="51" spans="1:18">
      <c r="A51" s="379">
        <v>400</v>
      </c>
      <c r="B51" s="152">
        <f>'1-BaseTRR'!$G$2</f>
        <v>2020</v>
      </c>
      <c r="C51" s="502">
        <v>2235568.0086466353</v>
      </c>
      <c r="D51" s="28">
        <f>'24-Allocators'!$C$23</f>
        <v>0.13651159222612441</v>
      </c>
      <c r="E51" s="29">
        <f>+D51*C51</f>
        <v>305180.94839013845</v>
      </c>
      <c r="F51" s="517">
        <f>+E51*'24-Allocators'!$C$43</f>
        <v>132263.47322447112</v>
      </c>
      <c r="G51" s="29">
        <f>+E51*'24-Allocators'!$C$44</f>
        <v>172917.47516566745</v>
      </c>
      <c r="H51" s="17"/>
      <c r="I51" s="17"/>
      <c r="J51" s="17"/>
      <c r="K51" s="17"/>
      <c r="L51" s="17"/>
      <c r="Q51" s="379">
        <f>A51</f>
        <v>400</v>
      </c>
    </row>
    <row r="52" spans="1:18">
      <c r="A52" s="379"/>
      <c r="B52" s="145"/>
      <c r="C52" s="159"/>
      <c r="D52" s="218"/>
      <c r="E52" s="20"/>
      <c r="F52" s="17"/>
      <c r="G52" s="17"/>
      <c r="H52" s="17"/>
      <c r="I52" s="17"/>
      <c r="J52" s="17"/>
      <c r="K52" s="17"/>
      <c r="L52" s="17"/>
      <c r="Q52" s="35"/>
    </row>
    <row r="53" spans="1:18">
      <c r="A53" s="379"/>
      <c r="B53" s="145"/>
      <c r="C53" s="159"/>
      <c r="D53" s="218"/>
      <c r="E53" s="20"/>
      <c r="F53" s="17"/>
      <c r="G53" s="17"/>
      <c r="H53" s="17"/>
      <c r="I53" s="17"/>
      <c r="J53" s="17"/>
      <c r="K53" s="17"/>
      <c r="L53" s="17"/>
      <c r="Q53" s="35"/>
    </row>
    <row r="54" spans="1:18">
      <c r="B54" s="52" t="s">
        <v>950</v>
      </c>
      <c r="C54" s="138"/>
      <c r="D54" s="138"/>
      <c r="E54" s="138"/>
      <c r="F54" s="138"/>
      <c r="G54" s="138"/>
      <c r="H54" s="138"/>
      <c r="I54" s="138"/>
      <c r="J54" s="138"/>
      <c r="K54" s="138"/>
      <c r="L54" s="138"/>
      <c r="M54" s="219"/>
      <c r="N54" s="219"/>
      <c r="O54" s="219"/>
      <c r="P54" s="219"/>
      <c r="Q54" s="35"/>
    </row>
    <row r="55" spans="1:18">
      <c r="B55" s="145" t="s">
        <v>951</v>
      </c>
    </row>
    <row r="56" spans="1:18">
      <c r="R56" s="200"/>
    </row>
    <row r="57" spans="1:18">
      <c r="B57" s="17"/>
      <c r="C57" s="147" t="s">
        <v>413</v>
      </c>
      <c r="D57" s="147" t="s">
        <v>414</v>
      </c>
      <c r="E57" s="147" t="s">
        <v>415</v>
      </c>
      <c r="F57" s="17"/>
      <c r="G57" s="17"/>
      <c r="H57" s="17"/>
      <c r="I57" s="17"/>
      <c r="J57" s="17"/>
      <c r="K57" s="17"/>
      <c r="L57" s="17"/>
      <c r="Q57" s="35"/>
    </row>
    <row r="58" spans="1:18" ht="29">
      <c r="B58" s="17"/>
      <c r="C58" s="149" t="s">
        <v>952</v>
      </c>
      <c r="D58" s="149" t="s">
        <v>952</v>
      </c>
      <c r="E58" s="149" t="s">
        <v>952</v>
      </c>
      <c r="F58" s="17"/>
      <c r="G58" s="17"/>
      <c r="H58" s="17"/>
      <c r="I58" s="17"/>
      <c r="J58" s="17"/>
      <c r="K58" s="17"/>
      <c r="L58" s="17"/>
      <c r="Q58" s="35"/>
    </row>
    <row r="59" spans="1:18">
      <c r="F59" s="17"/>
      <c r="G59" s="17"/>
      <c r="H59" s="17"/>
      <c r="I59" s="17"/>
      <c r="J59" s="17"/>
      <c r="K59" s="17"/>
      <c r="L59" s="17"/>
      <c r="Q59" s="35"/>
    </row>
    <row r="60" spans="1:18">
      <c r="A60" s="144" t="s">
        <v>99</v>
      </c>
      <c r="B60" s="144" t="s">
        <v>462</v>
      </c>
      <c r="C60" s="147" t="s">
        <v>921</v>
      </c>
      <c r="D60" s="147" t="s">
        <v>775</v>
      </c>
      <c r="E60" s="147" t="s">
        <v>776</v>
      </c>
      <c r="F60" s="17"/>
      <c r="G60" s="17"/>
      <c r="H60" s="17"/>
      <c r="I60" s="17"/>
      <c r="J60" s="17"/>
      <c r="K60" s="17"/>
      <c r="L60" s="17"/>
      <c r="Q60" s="144" t="str">
        <f>A60</f>
        <v>Line</v>
      </c>
    </row>
    <row r="61" spans="1:18">
      <c r="A61" s="379">
        <v>500</v>
      </c>
      <c r="B61" s="152">
        <f>'1-BaseTRR'!$G$2</f>
        <v>2020</v>
      </c>
      <c r="C61" s="517">
        <f>+C25+E38+E51</f>
        <v>96085400.282556698</v>
      </c>
      <c r="D61" s="517">
        <f>+D25+F38+F51</f>
        <v>40899829.552010834</v>
      </c>
      <c r="E61" s="29">
        <f>+E25+G38+G51</f>
        <v>55185570.730545864</v>
      </c>
      <c r="F61" s="159" t="s">
        <v>953</v>
      </c>
      <c r="G61" s="17"/>
      <c r="H61" s="17"/>
      <c r="I61" s="17"/>
      <c r="J61" s="17"/>
      <c r="K61" s="17"/>
      <c r="L61" s="17"/>
      <c r="Q61" s="379">
        <f>A61</f>
        <v>500</v>
      </c>
    </row>
    <row r="62" spans="1:18">
      <c r="E62" s="17"/>
      <c r="F62" s="17"/>
      <c r="G62" s="17"/>
      <c r="H62" s="17"/>
      <c r="I62" s="17"/>
      <c r="J62" s="17"/>
      <c r="K62" s="17"/>
      <c r="L62" s="17"/>
      <c r="Q62" s="35"/>
    </row>
    <row r="63" spans="1:18">
      <c r="A63" s="371"/>
      <c r="B63" s="17"/>
      <c r="C63" s="17"/>
      <c r="D63" s="17"/>
      <c r="E63" s="17"/>
      <c r="F63" s="17"/>
      <c r="G63" s="17"/>
      <c r="H63" s="17"/>
      <c r="I63" s="17"/>
      <c r="J63" s="17"/>
      <c r="K63" s="17"/>
      <c r="L63" s="17"/>
      <c r="Q63" s="35"/>
    </row>
    <row r="64" spans="1:18">
      <c r="B64" s="812" t="s">
        <v>954</v>
      </c>
      <c r="C64" s="813"/>
      <c r="D64" s="813"/>
      <c r="E64" s="813"/>
      <c r="F64" s="813"/>
      <c r="G64" s="813"/>
      <c r="H64" s="813"/>
      <c r="I64" s="813"/>
      <c r="J64" s="813"/>
      <c r="K64" s="813"/>
      <c r="L64" s="813"/>
      <c r="M64" s="813"/>
      <c r="N64" s="813"/>
      <c r="O64" s="813"/>
      <c r="P64" s="814"/>
      <c r="Q64" s="200"/>
    </row>
    <row r="65" spans="1:17">
      <c r="A65" s="371"/>
      <c r="B65" s="17" t="s">
        <v>955</v>
      </c>
      <c r="C65" s="17"/>
      <c r="D65" s="17"/>
      <c r="E65" s="17"/>
      <c r="F65" s="17"/>
      <c r="G65" s="17"/>
      <c r="H65" s="17"/>
      <c r="I65" s="17"/>
      <c r="J65" s="17"/>
      <c r="K65" s="17"/>
      <c r="L65" s="17"/>
    </row>
    <row r="66" spans="1:17">
      <c r="A66" s="371"/>
      <c r="B66" s="17" t="s">
        <v>956</v>
      </c>
      <c r="C66" s="17"/>
      <c r="D66" s="17"/>
      <c r="E66" s="17"/>
      <c r="F66" s="17"/>
      <c r="G66" s="17"/>
      <c r="H66" s="17"/>
      <c r="I66" s="17"/>
      <c r="J66" s="17"/>
      <c r="K66" s="17"/>
      <c r="L66" s="17"/>
    </row>
    <row r="67" spans="1:17">
      <c r="A67" s="371"/>
      <c r="B67" s="17"/>
      <c r="C67" s="17"/>
      <c r="D67" s="17"/>
      <c r="E67" s="17"/>
      <c r="F67" s="17"/>
      <c r="G67" s="17"/>
      <c r="H67" s="17"/>
      <c r="I67" s="17"/>
      <c r="J67" s="17"/>
      <c r="K67" s="17"/>
      <c r="L67" s="17"/>
    </row>
    <row r="68" spans="1:17">
      <c r="A68" s="8"/>
      <c r="B68" s="52" t="s">
        <v>957</v>
      </c>
      <c r="C68" s="219"/>
      <c r="D68" s="219"/>
      <c r="E68" s="219"/>
      <c r="F68" s="219"/>
      <c r="G68" s="219"/>
      <c r="H68" s="138"/>
      <c r="I68" s="219"/>
      <c r="J68" s="219"/>
      <c r="K68" s="219"/>
      <c r="L68" s="219"/>
      <c r="M68" s="219"/>
      <c r="N68" s="219"/>
      <c r="O68" s="219"/>
      <c r="P68" s="219"/>
    </row>
    <row r="69" spans="1:17">
      <c r="B69" s="145" t="s">
        <v>958</v>
      </c>
    </row>
    <row r="71" spans="1:17">
      <c r="A71" s="8"/>
      <c r="D71" s="147" t="s">
        <v>413</v>
      </c>
      <c r="E71" s="147" t="s">
        <v>414</v>
      </c>
      <c r="F71" s="147" t="s">
        <v>415</v>
      </c>
      <c r="G71" s="147" t="s">
        <v>416</v>
      </c>
      <c r="H71" s="147" t="s">
        <v>417</v>
      </c>
      <c r="I71" s="147" t="s">
        <v>418</v>
      </c>
      <c r="J71" s="147" t="s">
        <v>419</v>
      </c>
      <c r="K71" s="147" t="s">
        <v>420</v>
      </c>
      <c r="L71" s="147" t="s">
        <v>451</v>
      </c>
      <c r="M71" s="147" t="s">
        <v>586</v>
      </c>
      <c r="N71" s="147" t="s">
        <v>587</v>
      </c>
      <c r="O71" s="147" t="s">
        <v>588</v>
      </c>
      <c r="P71" s="147" t="s">
        <v>589</v>
      </c>
    </row>
    <row r="72" spans="1:17">
      <c r="B72" s="8"/>
      <c r="C72" s="8"/>
      <c r="D72" s="214" t="s">
        <v>25</v>
      </c>
      <c r="E72" s="214" t="s">
        <v>25</v>
      </c>
      <c r="F72" s="214" t="s">
        <v>25</v>
      </c>
      <c r="G72" s="214" t="s">
        <v>25</v>
      </c>
      <c r="H72" s="214" t="s">
        <v>25</v>
      </c>
      <c r="I72" s="214" t="s">
        <v>25</v>
      </c>
      <c r="J72" s="214" t="s">
        <v>25</v>
      </c>
      <c r="K72" s="214" t="s">
        <v>25</v>
      </c>
      <c r="L72" s="214" t="s">
        <v>25</v>
      </c>
      <c r="M72" s="214" t="s">
        <v>25</v>
      </c>
      <c r="N72" s="214" t="s">
        <v>25</v>
      </c>
      <c r="O72" s="214" t="s">
        <v>25</v>
      </c>
      <c r="P72" s="149" t="s">
        <v>749</v>
      </c>
    </row>
    <row r="73" spans="1:17">
      <c r="B73" s="8"/>
      <c r="C73" s="8"/>
      <c r="N73" s="35"/>
      <c r="P73" s="149"/>
    </row>
    <row r="74" spans="1:17">
      <c r="A74" s="379"/>
      <c r="C74" s="15" t="s">
        <v>750</v>
      </c>
      <c r="D74" s="116">
        <v>350.01</v>
      </c>
      <c r="E74" s="116">
        <v>350.02</v>
      </c>
      <c r="F74" s="116">
        <v>352.01</v>
      </c>
      <c r="G74" s="116">
        <v>352.02</v>
      </c>
      <c r="H74" s="116">
        <v>353.01</v>
      </c>
      <c r="I74" s="116">
        <v>353.02</v>
      </c>
      <c r="J74" s="116">
        <v>354</v>
      </c>
      <c r="K74" s="116">
        <v>355</v>
      </c>
      <c r="L74" s="116">
        <v>356</v>
      </c>
      <c r="M74" s="116">
        <v>357</v>
      </c>
      <c r="N74" s="116">
        <v>358</v>
      </c>
      <c r="O74" s="116">
        <v>359</v>
      </c>
    </row>
    <row r="75" spans="1:17">
      <c r="A75" s="144" t="s">
        <v>99</v>
      </c>
      <c r="B75" s="144" t="s">
        <v>426</v>
      </c>
      <c r="C75" s="144" t="s">
        <v>462</v>
      </c>
      <c r="D75" s="147" t="s">
        <v>751</v>
      </c>
      <c r="E75" s="147" t="s">
        <v>752</v>
      </c>
      <c r="F75" s="147" t="s">
        <v>753</v>
      </c>
      <c r="G75" s="147" t="s">
        <v>754</v>
      </c>
      <c r="H75" s="147" t="s">
        <v>755</v>
      </c>
      <c r="I75" s="147" t="s">
        <v>756</v>
      </c>
      <c r="J75" s="147" t="s">
        <v>757</v>
      </c>
      <c r="K75" s="147" t="s">
        <v>758</v>
      </c>
      <c r="L75" s="147" t="s">
        <v>759</v>
      </c>
      <c r="M75" s="147" t="s">
        <v>760</v>
      </c>
      <c r="N75" s="147" t="s">
        <v>761</v>
      </c>
      <c r="O75" s="147" t="s">
        <v>762</v>
      </c>
      <c r="P75" s="144" t="s">
        <v>509</v>
      </c>
      <c r="Q75" s="144" t="str">
        <f>A75</f>
        <v>Line</v>
      </c>
    </row>
    <row r="76" spans="1:17">
      <c r="A76" s="379">
        <v>600</v>
      </c>
      <c r="B76" s="145" t="s">
        <v>472</v>
      </c>
      <c r="C76" s="152">
        <f>'1-BaseTRR'!$G$2</f>
        <v>2020</v>
      </c>
      <c r="D76" s="500">
        <f>+'7-PlantInService'!D13</f>
        <v>63674065.708699577</v>
      </c>
      <c r="E76" s="500">
        <f>+'7-PlantInService'!E13</f>
        <v>203312922.17582595</v>
      </c>
      <c r="F76" s="500">
        <f>+'7-PlantInService'!F13</f>
        <v>365512797.84000003</v>
      </c>
      <c r="G76" s="500">
        <f>+'7-PlantInService'!G13</f>
        <v>121967730.48000003</v>
      </c>
      <c r="H76" s="500">
        <f>+'7-PlantInService'!H13</f>
        <v>6665999852.2409763</v>
      </c>
      <c r="I76" s="500">
        <f>+'7-PlantInService'!I13</f>
        <v>36002905.153908156</v>
      </c>
      <c r="J76" s="500">
        <f>+'7-PlantInService'!J13</f>
        <v>908376743.62792802</v>
      </c>
      <c r="K76" s="500">
        <f>+'7-PlantInService'!K13</f>
        <v>1612412708.1976111</v>
      </c>
      <c r="L76" s="500">
        <f>+'7-PlantInService'!L13</f>
        <v>1901134934.0751476</v>
      </c>
      <c r="M76" s="500">
        <f>+'7-PlantInService'!M13</f>
        <v>508795749.5842042</v>
      </c>
      <c r="N76" s="500">
        <f>+'7-PlantInService'!N13</f>
        <v>269285980.90600574</v>
      </c>
      <c r="O76" s="500">
        <f>+'7-PlantInService'!O13</f>
        <v>118638029.32548952</v>
      </c>
      <c r="P76" s="30">
        <f t="shared" ref="P76:P87" si="1">SUM(D76:O76)</f>
        <v>12775114419.315796</v>
      </c>
      <c r="Q76" s="379">
        <f t="shared" ref="Q76:Q87" si="2">A76</f>
        <v>600</v>
      </c>
    </row>
    <row r="77" spans="1:17">
      <c r="A77" s="379">
        <f t="shared" ref="A77:A87" si="3">A76+1</f>
        <v>601</v>
      </c>
      <c r="B77" s="145" t="s">
        <v>473</v>
      </c>
      <c r="C77" s="152">
        <f>'1-BaseTRR'!$G$2</f>
        <v>2020</v>
      </c>
      <c r="D77" s="500">
        <f>+'7-PlantInService'!D14</f>
        <v>63716915.698002368</v>
      </c>
      <c r="E77" s="500">
        <f>+'7-PlantInService'!E14</f>
        <v>204231967.85865545</v>
      </c>
      <c r="F77" s="500">
        <f>+'7-PlantInService'!F14</f>
        <v>366992298.10999995</v>
      </c>
      <c r="G77" s="500">
        <f>+'7-PlantInService'!G14</f>
        <v>110016856.78</v>
      </c>
      <c r="H77" s="500">
        <f>+'7-PlantInService'!H14</f>
        <v>6695377273.0149565</v>
      </c>
      <c r="I77" s="500">
        <f>+'7-PlantInService'!I14</f>
        <v>36003481.291033246</v>
      </c>
      <c r="J77" s="500">
        <f>+'7-PlantInService'!J14</f>
        <v>910004953.1266396</v>
      </c>
      <c r="K77" s="500">
        <f>+'7-PlantInService'!K14</f>
        <v>1636446456.0137506</v>
      </c>
      <c r="L77" s="500">
        <f>+'7-PlantInService'!L14</f>
        <v>1920025191.7246668</v>
      </c>
      <c r="M77" s="500">
        <f>+'7-PlantInService'!M14</f>
        <v>510008841.14116096</v>
      </c>
      <c r="N77" s="500">
        <f>+'7-PlantInService'!N14</f>
        <v>270508358.81964946</v>
      </c>
      <c r="O77" s="500">
        <f>+'7-PlantInService'!O14</f>
        <v>118824858.02548954</v>
      </c>
      <c r="P77" s="30">
        <f t="shared" si="1"/>
        <v>12842157451.604004</v>
      </c>
      <c r="Q77" s="379">
        <f t="shared" si="2"/>
        <v>601</v>
      </c>
    </row>
    <row r="78" spans="1:17">
      <c r="A78" s="379">
        <f t="shared" si="3"/>
        <v>602</v>
      </c>
      <c r="B78" s="145" t="s">
        <v>474</v>
      </c>
      <c r="C78" s="152">
        <f>'1-BaseTRR'!$G$2</f>
        <v>2020</v>
      </c>
      <c r="D78" s="500">
        <f>+'7-PlantInService'!D15</f>
        <v>63729297.123346418</v>
      </c>
      <c r="E78" s="500">
        <f>+'7-PlantInService'!E15</f>
        <v>205188358.19545683</v>
      </c>
      <c r="F78" s="500">
        <f>+'7-PlantInService'!F15</f>
        <v>367117173.57000005</v>
      </c>
      <c r="G78" s="500">
        <f>+'7-PlantInService'!G15</f>
        <v>110055707.53999998</v>
      </c>
      <c r="H78" s="500">
        <f>+'7-PlantInService'!H15</f>
        <v>6711289468.9641094</v>
      </c>
      <c r="I78" s="500">
        <f>+'7-PlantInService'!I15</f>
        <v>36003864.409790233</v>
      </c>
      <c r="J78" s="500">
        <f>+'7-PlantInService'!J15</f>
        <v>910568376.50455439</v>
      </c>
      <c r="K78" s="500">
        <f>+'7-PlantInService'!K15</f>
        <v>1649791808.9101696</v>
      </c>
      <c r="L78" s="500">
        <f>+'7-PlantInService'!L15</f>
        <v>1935411864.364707</v>
      </c>
      <c r="M78" s="500">
        <f>+'7-PlantInService'!M15</f>
        <v>510037543.34508741</v>
      </c>
      <c r="N78" s="500">
        <f>+'7-PlantInService'!N15</f>
        <v>270580038.81133765</v>
      </c>
      <c r="O78" s="500">
        <f>+'7-PlantInService'!O15</f>
        <v>120089809.21548954</v>
      </c>
      <c r="P78" s="30">
        <f t="shared" si="1"/>
        <v>12889863310.95405</v>
      </c>
      <c r="Q78" s="379">
        <f t="shared" si="2"/>
        <v>602</v>
      </c>
    </row>
    <row r="79" spans="1:17">
      <c r="A79" s="379">
        <f t="shared" si="3"/>
        <v>603</v>
      </c>
      <c r="B79" s="145" t="s">
        <v>475</v>
      </c>
      <c r="C79" s="152">
        <f>'1-BaseTRR'!$G$2</f>
        <v>2020</v>
      </c>
      <c r="D79" s="500">
        <f>+'7-PlantInService'!D16</f>
        <v>63725547.224586949</v>
      </c>
      <c r="E79" s="500">
        <f>+'7-PlantInService'!E16</f>
        <v>207979541.05737963</v>
      </c>
      <c r="F79" s="500">
        <f>+'7-PlantInService'!F16</f>
        <v>367214867.79000008</v>
      </c>
      <c r="G79" s="500">
        <f>+'7-PlantInService'!G16</f>
        <v>109986716.19</v>
      </c>
      <c r="H79" s="500">
        <f>+'7-PlantInService'!H16</f>
        <v>6810349315.8379049</v>
      </c>
      <c r="I79" s="500">
        <f>+'7-PlantInService'!I16</f>
        <v>36004446.95566716</v>
      </c>
      <c r="J79" s="500">
        <f>+'7-PlantInService'!J16</f>
        <v>911219375.2878952</v>
      </c>
      <c r="K79" s="500">
        <f>+'7-PlantInService'!K16</f>
        <v>1666538182.2813311</v>
      </c>
      <c r="L79" s="500">
        <f>+'7-PlantInService'!L16</f>
        <v>1947455295.9127073</v>
      </c>
      <c r="M79" s="500">
        <f>+'7-PlantInService'!M16</f>
        <v>510044645.38023114</v>
      </c>
      <c r="N79" s="500">
        <f>+'7-PlantInService'!N16</f>
        <v>270675281.94215804</v>
      </c>
      <c r="O79" s="500">
        <f>+'7-PlantInService'!O16</f>
        <v>120626631.5654895</v>
      </c>
      <c r="P79" s="30">
        <f t="shared" si="1"/>
        <v>13021819847.42535</v>
      </c>
      <c r="Q79" s="379">
        <f t="shared" si="2"/>
        <v>603</v>
      </c>
    </row>
    <row r="80" spans="1:17">
      <c r="A80" s="379">
        <f t="shared" si="3"/>
        <v>604</v>
      </c>
      <c r="B80" s="145" t="s">
        <v>437</v>
      </c>
      <c r="C80" s="152">
        <f>'1-BaseTRR'!$G$2</f>
        <v>2020</v>
      </c>
      <c r="D80" s="500">
        <f>+'7-PlantInService'!D17</f>
        <v>63767465.739106447</v>
      </c>
      <c r="E80" s="500">
        <f>+'7-PlantInService'!E17</f>
        <v>209570664.43414375</v>
      </c>
      <c r="F80" s="500">
        <f>+'7-PlantInService'!F17</f>
        <v>366940095.8900001</v>
      </c>
      <c r="G80" s="500">
        <f>+'7-PlantInService'!G17</f>
        <v>109494907.90000001</v>
      </c>
      <c r="H80" s="500">
        <f>+'7-PlantInService'!H17</f>
        <v>6829518146.4479103</v>
      </c>
      <c r="I80" s="500">
        <f>+'7-PlantInService'!I17</f>
        <v>36049887.570000008</v>
      </c>
      <c r="J80" s="500">
        <f>+'7-PlantInService'!J17</f>
        <v>912130601.31140041</v>
      </c>
      <c r="K80" s="500">
        <f>+'7-PlantInService'!K17</f>
        <v>1700775106.0421338</v>
      </c>
      <c r="L80" s="500">
        <f>+'7-PlantInService'!L17</f>
        <v>1958044809.2583256</v>
      </c>
      <c r="M80" s="500">
        <f>+'7-PlantInService'!M17</f>
        <v>512078166.73831964</v>
      </c>
      <c r="N80" s="500">
        <f>+'7-PlantInService'!N17</f>
        <v>280356575.82362324</v>
      </c>
      <c r="O80" s="500">
        <f>+'7-PlantInService'!O17</f>
        <v>122228804.81548953</v>
      </c>
      <c r="P80" s="30">
        <f t="shared" si="1"/>
        <v>13100955231.970451</v>
      </c>
      <c r="Q80" s="379">
        <f t="shared" si="2"/>
        <v>604</v>
      </c>
    </row>
    <row r="81" spans="1:17">
      <c r="A81" s="379">
        <f t="shared" si="3"/>
        <v>605</v>
      </c>
      <c r="B81" s="145" t="s">
        <v>592</v>
      </c>
      <c r="C81" s="152">
        <f>'1-BaseTRR'!$G$2</f>
        <v>2020</v>
      </c>
      <c r="D81" s="500">
        <f>+'7-PlantInService'!D18</f>
        <v>64071338.532799527</v>
      </c>
      <c r="E81" s="500">
        <f>+'7-PlantInService'!E18</f>
        <v>211634735.19775659</v>
      </c>
      <c r="F81" s="500">
        <f>+'7-PlantInService'!F18</f>
        <v>366987916.2299999</v>
      </c>
      <c r="G81" s="500">
        <f>+'7-PlantInService'!G18</f>
        <v>109402381.86000001</v>
      </c>
      <c r="H81" s="500">
        <f>+'7-PlantInService'!H18</f>
        <v>6892210398.8897705</v>
      </c>
      <c r="I81" s="500">
        <f>+'7-PlantInService'!I18</f>
        <v>36049887.920000002</v>
      </c>
      <c r="J81" s="500">
        <f>+'7-PlantInService'!J18</f>
        <v>918320489.57301509</v>
      </c>
      <c r="K81" s="500">
        <f>+'7-PlantInService'!K18</f>
        <v>1757117726.6348011</v>
      </c>
      <c r="L81" s="500">
        <f>+'7-PlantInService'!L18</f>
        <v>1979259933.9467175</v>
      </c>
      <c r="M81" s="500">
        <f>+'7-PlantInService'!M18</f>
        <v>512121545.07363969</v>
      </c>
      <c r="N81" s="500">
        <f>+'7-PlantInService'!N18</f>
        <v>280250719.85973096</v>
      </c>
      <c r="O81" s="500">
        <f>+'7-PlantInService'!O18</f>
        <v>123364560.91548951</v>
      </c>
      <c r="P81" s="30">
        <f t="shared" si="1"/>
        <v>13250791634.63372</v>
      </c>
      <c r="Q81" s="379">
        <f t="shared" si="2"/>
        <v>605</v>
      </c>
    </row>
    <row r="82" spans="1:17">
      <c r="A82" s="379">
        <f t="shared" si="3"/>
        <v>606</v>
      </c>
      <c r="B82" s="145" t="s">
        <v>477</v>
      </c>
      <c r="C82" s="152">
        <f>'1-BaseTRR'!$G$2</f>
        <v>2020</v>
      </c>
      <c r="D82" s="500">
        <f>+'7-PlantInService'!D19</f>
        <v>64085289.038739823</v>
      </c>
      <c r="E82" s="500">
        <f>+'7-PlantInService'!E19</f>
        <v>212113871.51603943</v>
      </c>
      <c r="F82" s="500">
        <f>+'7-PlantInService'!F19</f>
        <v>367185135.42999989</v>
      </c>
      <c r="G82" s="500">
        <f>+'7-PlantInService'!G19</f>
        <v>108850934.11000001</v>
      </c>
      <c r="H82" s="500">
        <f>+'7-PlantInService'!H19</f>
        <v>6901488438.2101545</v>
      </c>
      <c r="I82" s="500">
        <f>+'7-PlantInService'!I19</f>
        <v>36049976.598514833</v>
      </c>
      <c r="J82" s="500">
        <f>+'7-PlantInService'!J19</f>
        <v>921120826.26374531</v>
      </c>
      <c r="K82" s="500">
        <f>+'7-PlantInService'!K19</f>
        <v>1767896045.0571384</v>
      </c>
      <c r="L82" s="500">
        <f>+'7-PlantInService'!L19</f>
        <v>1992792069.5342908</v>
      </c>
      <c r="M82" s="500">
        <f>+'7-PlantInService'!M19</f>
        <v>512132931.50258815</v>
      </c>
      <c r="N82" s="500">
        <f>+'7-PlantInService'!N19</f>
        <v>280317046.34548831</v>
      </c>
      <c r="O82" s="500">
        <f>+'7-PlantInService'!O19</f>
        <v>123174350.79548949</v>
      </c>
      <c r="P82" s="30">
        <f t="shared" si="1"/>
        <v>13287206914.402189</v>
      </c>
      <c r="Q82" s="379">
        <f t="shared" si="2"/>
        <v>606</v>
      </c>
    </row>
    <row r="83" spans="1:17">
      <c r="A83" s="379">
        <f t="shared" si="3"/>
        <v>607</v>
      </c>
      <c r="B83" s="145" t="s">
        <v>478</v>
      </c>
      <c r="C83" s="152">
        <f>'1-BaseTRR'!$G$2</f>
        <v>2020</v>
      </c>
      <c r="D83" s="500">
        <f>+'7-PlantInService'!D20</f>
        <v>63980250.321213931</v>
      </c>
      <c r="E83" s="500">
        <f>+'7-PlantInService'!E20</f>
        <v>206705285.49574962</v>
      </c>
      <c r="F83" s="500">
        <f>+'7-PlantInService'!F20</f>
        <v>367602462.61999995</v>
      </c>
      <c r="G83" s="500">
        <f>+'7-PlantInService'!G20</f>
        <v>109881774.40000001</v>
      </c>
      <c r="H83" s="500">
        <f>+'7-PlantInService'!H20</f>
        <v>6924673113.8227968</v>
      </c>
      <c r="I83" s="500">
        <f>+'7-PlantInService'!I20</f>
        <v>36049978.430000007</v>
      </c>
      <c r="J83" s="500">
        <f>+'7-PlantInService'!J20</f>
        <v>928201041.1544776</v>
      </c>
      <c r="K83" s="500">
        <f>+'7-PlantInService'!K20</f>
        <v>1769102205.1522999</v>
      </c>
      <c r="L83" s="500">
        <f>+'7-PlantInService'!L20</f>
        <v>2003802780.4542794</v>
      </c>
      <c r="M83" s="500">
        <f>+'7-PlantInService'!M20</f>
        <v>512137832.08242798</v>
      </c>
      <c r="N83" s="500">
        <f>+'7-PlantInService'!N20</f>
        <v>280547014.97369277</v>
      </c>
      <c r="O83" s="500">
        <f>+'7-PlantInService'!O20</f>
        <v>123956843.02548948</v>
      </c>
      <c r="P83" s="30">
        <f t="shared" si="1"/>
        <v>13326640581.932426</v>
      </c>
      <c r="Q83" s="379">
        <f t="shared" si="2"/>
        <v>607</v>
      </c>
    </row>
    <row r="84" spans="1:17">
      <c r="A84" s="379">
        <f t="shared" si="3"/>
        <v>608</v>
      </c>
      <c r="B84" s="145" t="s">
        <v>480</v>
      </c>
      <c r="C84" s="152">
        <f>'1-BaseTRR'!$G$2</f>
        <v>2020</v>
      </c>
      <c r="D84" s="500">
        <f>+'7-PlantInService'!D21</f>
        <v>64003300.288752303</v>
      </c>
      <c r="E84" s="500">
        <f>+'7-PlantInService'!E21</f>
        <v>206734465.29716194</v>
      </c>
      <c r="F84" s="500">
        <f>+'7-PlantInService'!F21</f>
        <v>367612373.74000001</v>
      </c>
      <c r="G84" s="500">
        <f>+'7-PlantInService'!G21</f>
        <v>109855093.87</v>
      </c>
      <c r="H84" s="500">
        <f>+'7-PlantInService'!H21</f>
        <v>7055993771.0922356</v>
      </c>
      <c r="I84" s="500">
        <f>+'7-PlantInService'!I21</f>
        <v>36049986.151673555</v>
      </c>
      <c r="J84" s="500">
        <f>+'7-PlantInService'!J21</f>
        <v>923461973.79497552</v>
      </c>
      <c r="K84" s="500">
        <f>+'7-PlantInService'!K21</f>
        <v>1799173546.5562119</v>
      </c>
      <c r="L84" s="500">
        <f>+'7-PlantInService'!L21</f>
        <v>2025373237.9014673</v>
      </c>
      <c r="M84" s="500">
        <f>+'7-PlantInService'!M21</f>
        <v>512145514.47979182</v>
      </c>
      <c r="N84" s="500">
        <f>+'7-PlantInService'!N21</f>
        <v>280573721.10772121</v>
      </c>
      <c r="O84" s="500">
        <f>+'7-PlantInService'!O21</f>
        <v>124316100.7554895</v>
      </c>
      <c r="P84" s="30">
        <f t="shared" si="1"/>
        <v>13505293085.03548</v>
      </c>
      <c r="Q84" s="379">
        <f t="shared" si="2"/>
        <v>608</v>
      </c>
    </row>
    <row r="85" spans="1:17">
      <c r="A85" s="379">
        <f t="shared" si="3"/>
        <v>609</v>
      </c>
      <c r="B85" s="145" t="s">
        <v>481</v>
      </c>
      <c r="C85" s="152">
        <f>'1-BaseTRR'!$G$2</f>
        <v>2020</v>
      </c>
      <c r="D85" s="500">
        <f>+'7-PlantInService'!D22</f>
        <v>64056807.391450807</v>
      </c>
      <c r="E85" s="500">
        <f>+'7-PlantInService'!E22</f>
        <v>206731964.63734192</v>
      </c>
      <c r="F85" s="500">
        <f>+'7-PlantInService'!F22</f>
        <v>367633468.69999999</v>
      </c>
      <c r="G85" s="500">
        <f>+'7-PlantInService'!G22</f>
        <v>109866318.10000004</v>
      </c>
      <c r="H85" s="500">
        <f>+'7-PlantInService'!H22</f>
        <v>7077326537.0381155</v>
      </c>
      <c r="I85" s="500">
        <f>+'7-PlantInService'!I22</f>
        <v>36049987.072986782</v>
      </c>
      <c r="J85" s="500">
        <f>+'7-PlantInService'!J22</f>
        <v>924587534.75898099</v>
      </c>
      <c r="K85" s="500">
        <f>+'7-PlantInService'!K22</f>
        <v>1826630851.689436</v>
      </c>
      <c r="L85" s="500">
        <f>+'7-PlantInService'!L22</f>
        <v>2032353686.8898227</v>
      </c>
      <c r="M85" s="500">
        <f>+'7-PlantInService'!M22</f>
        <v>512178774.39438617</v>
      </c>
      <c r="N85" s="500">
        <f>+'7-PlantInService'!N22</f>
        <v>280751575.85376883</v>
      </c>
      <c r="O85" s="500">
        <f>+'7-PlantInService'!O22</f>
        <v>125192432.19548953</v>
      </c>
      <c r="P85" s="30">
        <f t="shared" si="1"/>
        <v>13563359938.721779</v>
      </c>
      <c r="Q85" s="379">
        <f t="shared" si="2"/>
        <v>609</v>
      </c>
    </row>
    <row r="86" spans="1:17">
      <c r="A86" s="379">
        <f t="shared" si="3"/>
        <v>610</v>
      </c>
      <c r="B86" s="145" t="s">
        <v>482</v>
      </c>
      <c r="C86" s="152">
        <f>'1-BaseTRR'!$G$2</f>
        <v>2020</v>
      </c>
      <c r="D86" s="500">
        <f>+'7-PlantInService'!D23</f>
        <v>64100170.389238402</v>
      </c>
      <c r="E86" s="500">
        <f>+'7-PlantInService'!E23</f>
        <v>206856641.35039973</v>
      </c>
      <c r="F86" s="500">
        <f>+'7-PlantInService'!F23</f>
        <v>368115545.05999994</v>
      </c>
      <c r="G86" s="500">
        <f>+'7-PlantInService'!G23</f>
        <v>109418506.24000001</v>
      </c>
      <c r="H86" s="500">
        <f>+'7-PlantInService'!H23</f>
        <v>7154676303.5748549</v>
      </c>
      <c r="I86" s="500">
        <f>+'7-PlantInService'!I23</f>
        <v>35969876.150000006</v>
      </c>
      <c r="J86" s="500">
        <f>+'7-PlantInService'!J23</f>
        <v>936004358.55387235</v>
      </c>
      <c r="K86" s="500">
        <f>+'7-PlantInService'!K23</f>
        <v>1840300223.9759789</v>
      </c>
      <c r="L86" s="500">
        <f>+'7-PlantInService'!L23</f>
        <v>2045814531.1432719</v>
      </c>
      <c r="M86" s="500">
        <f>+'7-PlantInService'!M23</f>
        <v>512204294.02640647</v>
      </c>
      <c r="N86" s="500">
        <f>+'7-PlantInService'!N23</f>
        <v>280865442.00118297</v>
      </c>
      <c r="O86" s="500">
        <f>+'7-PlantInService'!O23</f>
        <v>125698492.90548949</v>
      </c>
      <c r="P86" s="30">
        <f t="shared" si="1"/>
        <v>13680024385.370695</v>
      </c>
      <c r="Q86" s="379">
        <f t="shared" si="2"/>
        <v>610</v>
      </c>
    </row>
    <row r="87" spans="1:17">
      <c r="A87" s="379">
        <f t="shared" si="3"/>
        <v>611</v>
      </c>
      <c r="B87" s="145" t="s">
        <v>470</v>
      </c>
      <c r="C87" s="152">
        <f>'1-BaseTRR'!$G$2</f>
        <v>2020</v>
      </c>
      <c r="D87" s="500">
        <f>+'7-PlantInService'!D24</f>
        <v>63231179.729595318</v>
      </c>
      <c r="E87" s="500">
        <f>+'7-PlantInService'!E24</f>
        <v>205845528.87046275</v>
      </c>
      <c r="F87" s="500">
        <f>+'7-PlantInService'!F24</f>
        <v>366119916.95656717</v>
      </c>
      <c r="G87" s="500">
        <f>+'7-PlantInService'!G24</f>
        <v>109131455.49245669</v>
      </c>
      <c r="H87" s="500">
        <f>+'7-PlantInService'!H24</f>
        <v>7204638732.4242744</v>
      </c>
      <c r="I87" s="500">
        <f>+'7-PlantInService'!I24</f>
        <v>35969891.061679393</v>
      </c>
      <c r="J87" s="500">
        <f>+'7-PlantInService'!J24</f>
        <v>941463910.79628062</v>
      </c>
      <c r="K87" s="500">
        <f>+'7-PlantInService'!K24</f>
        <v>1864869522.6619036</v>
      </c>
      <c r="L87" s="500">
        <f>+'7-PlantInService'!L24</f>
        <v>2062518475.7625394</v>
      </c>
      <c r="M87" s="500">
        <f>+'7-PlantInService'!M24</f>
        <v>512216182.99682474</v>
      </c>
      <c r="N87" s="500">
        <f>+'7-PlantInService'!N24</f>
        <v>281270290.6082713</v>
      </c>
      <c r="O87" s="500">
        <f>+'7-PlantInService'!O24</f>
        <v>125139859.76503025</v>
      </c>
      <c r="P87" s="500">
        <f t="shared" si="1"/>
        <v>13772414947.125883</v>
      </c>
      <c r="Q87" s="379">
        <f t="shared" si="2"/>
        <v>611</v>
      </c>
    </row>
    <row r="88" spans="1:17" ht="13.5" customHeight="1">
      <c r="A88" s="379"/>
      <c r="B88" s="177"/>
      <c r="C88" s="163"/>
      <c r="D88" s="220"/>
      <c r="E88" s="220"/>
      <c r="F88" s="220"/>
      <c r="G88" s="220"/>
      <c r="H88" s="220"/>
      <c r="I88" s="220"/>
      <c r="J88" s="220"/>
      <c r="K88" s="220"/>
      <c r="L88" s="220"/>
      <c r="M88" s="220"/>
      <c r="N88" s="220"/>
      <c r="O88" s="220"/>
      <c r="P88" s="220"/>
      <c r="Q88" s="379"/>
    </row>
    <row r="89" spans="1:17" ht="13.5" customHeight="1">
      <c r="A89" s="371"/>
      <c r="B89" s="17"/>
      <c r="C89" s="17"/>
      <c r="D89" s="17"/>
      <c r="E89" s="17"/>
      <c r="F89" s="17"/>
      <c r="G89" s="17"/>
      <c r="H89" s="17"/>
      <c r="I89" s="17"/>
      <c r="J89" s="17"/>
      <c r="K89" s="17"/>
      <c r="L89" s="17"/>
    </row>
    <row r="90" spans="1:17" ht="13.5" customHeight="1">
      <c r="B90" s="221" t="s">
        <v>959</v>
      </c>
      <c r="C90" s="138"/>
      <c r="D90" s="138"/>
      <c r="E90" s="138"/>
      <c r="F90" s="138"/>
      <c r="G90" s="138"/>
      <c r="H90" s="138"/>
      <c r="I90" s="138"/>
      <c r="J90" s="138"/>
      <c r="K90" s="138"/>
      <c r="L90" s="138"/>
      <c r="M90" s="219"/>
      <c r="N90" s="219"/>
      <c r="O90" s="219"/>
      <c r="P90" s="219"/>
    </row>
    <row r="91" spans="1:17">
      <c r="B91" s="145" t="s">
        <v>960</v>
      </c>
    </row>
    <row r="92" spans="1:17">
      <c r="B92" s="145" t="s">
        <v>961</v>
      </c>
    </row>
    <row r="93" spans="1:17">
      <c r="B93" s="145"/>
    </row>
    <row r="94" spans="1:17">
      <c r="D94" s="147" t="s">
        <v>413</v>
      </c>
      <c r="E94" s="147" t="s">
        <v>414</v>
      </c>
      <c r="F94" s="147" t="s">
        <v>415</v>
      </c>
      <c r="G94" s="147" t="s">
        <v>416</v>
      </c>
      <c r="H94" s="147" t="s">
        <v>417</v>
      </c>
      <c r="I94" s="147" t="s">
        <v>418</v>
      </c>
      <c r="J94" s="147" t="s">
        <v>419</v>
      </c>
      <c r="K94" s="147" t="s">
        <v>420</v>
      </c>
      <c r="L94" s="147" t="s">
        <v>451</v>
      </c>
      <c r="M94" s="147" t="s">
        <v>586</v>
      </c>
      <c r="N94" s="147" t="s">
        <v>587</v>
      </c>
      <c r="O94" s="147" t="s">
        <v>588</v>
      </c>
    </row>
    <row r="95" spans="1:17" ht="29">
      <c r="D95" s="149" t="s">
        <v>285</v>
      </c>
      <c r="E95" s="149" t="s">
        <v>452</v>
      </c>
      <c r="F95" s="149" t="s">
        <v>962</v>
      </c>
      <c r="G95" s="149" t="s">
        <v>963</v>
      </c>
      <c r="H95" s="149" t="s">
        <v>964</v>
      </c>
      <c r="I95" s="149" t="s">
        <v>965</v>
      </c>
      <c r="J95" s="149" t="s">
        <v>966</v>
      </c>
      <c r="K95" s="149" t="s">
        <v>967</v>
      </c>
      <c r="L95" s="149" t="s">
        <v>968</v>
      </c>
      <c r="M95" s="149" t="s">
        <v>969</v>
      </c>
      <c r="N95" s="149" t="s">
        <v>970</v>
      </c>
      <c r="O95" s="149" t="s">
        <v>971</v>
      </c>
      <c r="P95" s="214"/>
    </row>
    <row r="96" spans="1:17">
      <c r="A96" s="379"/>
    </row>
    <row r="97" spans="1:17">
      <c r="A97" s="144" t="s">
        <v>99</v>
      </c>
      <c r="B97" s="17"/>
      <c r="D97" s="147" t="s">
        <v>751</v>
      </c>
      <c r="E97" s="147" t="s">
        <v>752</v>
      </c>
      <c r="F97" s="147" t="s">
        <v>753</v>
      </c>
      <c r="G97" s="147" t="s">
        <v>754</v>
      </c>
      <c r="H97" s="147" t="s">
        <v>755</v>
      </c>
      <c r="I97" s="147" t="s">
        <v>756</v>
      </c>
      <c r="J97" s="147" t="s">
        <v>757</v>
      </c>
      <c r="K97" s="147" t="s">
        <v>758</v>
      </c>
      <c r="L97" s="147" t="s">
        <v>759</v>
      </c>
      <c r="M97" s="147" t="s">
        <v>760</v>
      </c>
      <c r="N97" s="147" t="s">
        <v>761</v>
      </c>
      <c r="O97" s="147" t="s">
        <v>762</v>
      </c>
      <c r="Q97" s="144" t="str">
        <f>A97</f>
        <v>Line</v>
      </c>
    </row>
    <row r="98" spans="1:17">
      <c r="A98" s="379">
        <v>700</v>
      </c>
      <c r="B98" t="s">
        <v>972</v>
      </c>
      <c r="D98" s="222">
        <v>0</v>
      </c>
      <c r="E98" s="222">
        <f>'12-DepRates'!O21</f>
        <v>1.83E-2</v>
      </c>
      <c r="F98" s="222">
        <f>VLOOKUP(F97,'12-DepRates'!$D:$N,11,FALSE)</f>
        <v>1.6299999999999999E-2</v>
      </c>
      <c r="G98" s="222">
        <f>VLOOKUP(G97,'12-DepRates'!$D:$N,11,FALSE)</f>
        <v>1.7139999999999999E-2</v>
      </c>
      <c r="H98" s="222">
        <f>VLOOKUP(H97,'12-DepRates'!$D:$N,11,FALSE)</f>
        <v>3.1309999999999998E-2</v>
      </c>
      <c r="I98" s="222">
        <f>VLOOKUP(I97,'12-DepRates'!$D:$N,11,FALSE)</f>
        <v>1.661E-2</v>
      </c>
      <c r="J98" s="222">
        <f>VLOOKUP(J97,'12-DepRates'!$D:$N,11,FALSE)</f>
        <v>2.299E-2</v>
      </c>
      <c r="K98" s="222">
        <f>VLOOKUP(K97,'12-DepRates'!$D:$N,11,FALSE)</f>
        <v>3.1559999999999998E-2</v>
      </c>
      <c r="L98" s="222">
        <f>VLOOKUP(L97,'12-DepRates'!$D:$N,11,FALSE)</f>
        <v>2.724E-2</v>
      </c>
      <c r="M98" s="222">
        <f>VLOOKUP(M97,'12-DepRates'!$D:$N,11,FALSE)</f>
        <v>1.529E-2</v>
      </c>
      <c r="N98" s="222">
        <f>VLOOKUP(N97,'12-DepRates'!$D:$N,11,FALSE)</f>
        <v>1.9900000000000001E-2</v>
      </c>
      <c r="O98" s="222">
        <f>VLOOKUP(O97,'12-DepRates'!$D:$N,11,FALSE)</f>
        <v>1.8620000000000001E-2</v>
      </c>
      <c r="Q98" s="379">
        <f>Q87+1</f>
        <v>612</v>
      </c>
    </row>
    <row r="99" spans="1:17">
      <c r="A99" s="371"/>
      <c r="B99" s="371"/>
      <c r="C99" s="17"/>
      <c r="D99" s="17"/>
      <c r="E99" s="17"/>
      <c r="F99" s="17"/>
      <c r="G99" s="17"/>
      <c r="H99" s="17"/>
      <c r="I99" s="17"/>
      <c r="J99" s="17"/>
      <c r="K99" s="17"/>
      <c r="L99" s="17"/>
    </row>
    <row r="100" spans="1:17">
      <c r="A100" s="371"/>
      <c r="B100" s="371"/>
      <c r="C100" s="17"/>
      <c r="D100" s="17"/>
      <c r="E100" s="17"/>
      <c r="F100" s="17"/>
      <c r="G100" s="17"/>
      <c r="H100" s="17"/>
      <c r="I100" s="17"/>
      <c r="J100" s="17"/>
      <c r="K100" s="17"/>
      <c r="L100" s="17"/>
    </row>
    <row r="101" spans="1:17">
      <c r="B101" s="52" t="s">
        <v>973</v>
      </c>
      <c r="C101" s="138"/>
      <c r="D101" s="138"/>
      <c r="E101" s="138"/>
      <c r="F101" s="138"/>
      <c r="G101" s="138"/>
      <c r="H101" s="138"/>
      <c r="I101" s="138"/>
      <c r="J101" s="138"/>
      <c r="K101" s="138"/>
      <c r="L101" s="138"/>
      <c r="M101" s="219"/>
      <c r="N101" s="219"/>
      <c r="O101" s="219"/>
      <c r="P101" s="219"/>
    </row>
    <row r="102" spans="1:17">
      <c r="B102" t="s">
        <v>974</v>
      </c>
    </row>
    <row r="104" spans="1:17">
      <c r="A104" s="8"/>
      <c r="D104" s="147" t="s">
        <v>413</v>
      </c>
      <c r="E104" s="147" t="s">
        <v>414</v>
      </c>
      <c r="F104" s="147" t="s">
        <v>415</v>
      </c>
      <c r="G104" s="147" t="s">
        <v>416</v>
      </c>
      <c r="H104" s="147" t="s">
        <v>417</v>
      </c>
      <c r="I104" s="147" t="s">
        <v>418</v>
      </c>
      <c r="J104" s="147" t="s">
        <v>419</v>
      </c>
      <c r="K104" s="147" t="s">
        <v>420</v>
      </c>
      <c r="L104" s="147" t="s">
        <v>451</v>
      </c>
      <c r="M104" s="147" t="s">
        <v>586</v>
      </c>
      <c r="N104" s="147" t="s">
        <v>587</v>
      </c>
      <c r="O104" s="147" t="s">
        <v>588</v>
      </c>
      <c r="P104" s="13" t="s">
        <v>589</v>
      </c>
    </row>
    <row r="105" spans="1:17" ht="29">
      <c r="B105" s="379"/>
      <c r="C105" s="379"/>
      <c r="D105" s="149" t="s">
        <v>975</v>
      </c>
      <c r="E105" s="149" t="s">
        <v>975</v>
      </c>
      <c r="F105" s="149" t="s">
        <v>975</v>
      </c>
      <c r="G105" s="149" t="s">
        <v>975</v>
      </c>
      <c r="H105" s="149" t="s">
        <v>975</v>
      </c>
      <c r="I105" s="149" t="s">
        <v>975</v>
      </c>
      <c r="J105" s="149" t="s">
        <v>975</v>
      </c>
      <c r="K105" s="149" t="s">
        <v>975</v>
      </c>
      <c r="L105" s="149" t="s">
        <v>975</v>
      </c>
      <c r="M105" s="149" t="s">
        <v>975</v>
      </c>
      <c r="N105" s="149" t="s">
        <v>975</v>
      </c>
      <c r="O105" s="149" t="s">
        <v>975</v>
      </c>
      <c r="P105" s="149" t="s">
        <v>749</v>
      </c>
    </row>
    <row r="106" spans="1:17">
      <c r="B106" s="379"/>
      <c r="C106" s="379"/>
      <c r="D106" s="147"/>
      <c r="E106" s="147"/>
      <c r="P106" s="35"/>
    </row>
    <row r="107" spans="1:17">
      <c r="B107" s="15" t="s">
        <v>750</v>
      </c>
      <c r="C107" s="15"/>
      <c r="D107" s="116">
        <v>350.01</v>
      </c>
      <c r="E107" s="116">
        <v>350.02</v>
      </c>
      <c r="F107" s="116">
        <v>352.01</v>
      </c>
      <c r="G107" s="116">
        <v>352.02</v>
      </c>
      <c r="H107" s="116">
        <v>353.01</v>
      </c>
      <c r="I107" s="116">
        <v>353.02</v>
      </c>
      <c r="J107" s="116">
        <v>354</v>
      </c>
      <c r="K107" s="116">
        <v>355</v>
      </c>
      <c r="L107" s="116">
        <v>356</v>
      </c>
      <c r="M107" s="116">
        <v>357</v>
      </c>
      <c r="N107" s="116">
        <v>358</v>
      </c>
      <c r="O107" s="116">
        <v>359</v>
      </c>
      <c r="P107" s="35"/>
    </row>
    <row r="108" spans="1:17" s="200" customFormat="1">
      <c r="A108" s="144" t="s">
        <v>99</v>
      </c>
      <c r="B108" s="144" t="s">
        <v>426</v>
      </c>
      <c r="C108" s="144" t="s">
        <v>462</v>
      </c>
      <c r="D108" s="147" t="s">
        <v>751</v>
      </c>
      <c r="E108" s="147" t="s">
        <v>752</v>
      </c>
      <c r="F108" s="147" t="s">
        <v>753</v>
      </c>
      <c r="G108" s="147" t="s">
        <v>754</v>
      </c>
      <c r="H108" s="147" t="s">
        <v>755</v>
      </c>
      <c r="I108" s="147" t="s">
        <v>756</v>
      </c>
      <c r="J108" s="147" t="s">
        <v>757</v>
      </c>
      <c r="K108" s="147" t="s">
        <v>758</v>
      </c>
      <c r="L108" s="147" t="s">
        <v>759</v>
      </c>
      <c r="M108" s="147" t="s">
        <v>760</v>
      </c>
      <c r="N108" s="147" t="s">
        <v>761</v>
      </c>
      <c r="O108" s="147" t="s">
        <v>762</v>
      </c>
      <c r="P108" s="144" t="s">
        <v>509</v>
      </c>
      <c r="Q108" s="144" t="str">
        <f>A108</f>
        <v>Line</v>
      </c>
    </row>
    <row r="109" spans="1:17">
      <c r="A109" s="379"/>
      <c r="B109" s="145"/>
      <c r="C109" s="145"/>
      <c r="D109" s="223"/>
      <c r="E109" s="224"/>
      <c r="F109" s="225"/>
      <c r="G109" s="223"/>
      <c r="H109" s="223"/>
      <c r="I109" s="223"/>
      <c r="J109" s="223"/>
      <c r="K109" s="223"/>
      <c r="L109" s="223"/>
      <c r="M109" s="223"/>
      <c r="N109" s="225"/>
      <c r="O109" s="225"/>
      <c r="P109" s="157"/>
    </row>
    <row r="110" spans="1:17">
      <c r="A110" s="379">
        <v>800</v>
      </c>
      <c r="B110" s="145" t="s">
        <v>472</v>
      </c>
      <c r="C110" s="152">
        <f>'1-BaseTRR'!$G$2</f>
        <v>2020</v>
      </c>
      <c r="D110" s="518">
        <f t="shared" ref="D110:O121" si="4">+D$98*D76/12</f>
        <v>0</v>
      </c>
      <c r="E110" s="519">
        <f t="shared" si="4"/>
        <v>310052.20631813462</v>
      </c>
      <c r="F110" s="518">
        <f t="shared" si="4"/>
        <v>496488.21706599998</v>
      </c>
      <c r="G110" s="518">
        <f t="shared" si="4"/>
        <v>174210.57503560002</v>
      </c>
      <c r="H110" s="518">
        <f t="shared" si="4"/>
        <v>17392704.61447208</v>
      </c>
      <c r="I110" s="518">
        <f t="shared" si="4"/>
        <v>49834.021217201203</v>
      </c>
      <c r="J110" s="518">
        <f t="shared" si="4"/>
        <v>1740298.4446671719</v>
      </c>
      <c r="K110" s="518">
        <f t="shared" si="4"/>
        <v>4240645.4225597167</v>
      </c>
      <c r="L110" s="518">
        <f t="shared" si="4"/>
        <v>4315576.300350585</v>
      </c>
      <c r="M110" s="518">
        <f t="shared" si="4"/>
        <v>648290.5842618735</v>
      </c>
      <c r="N110" s="518">
        <f t="shared" si="4"/>
        <v>446565.91833579284</v>
      </c>
      <c r="O110" s="518">
        <f t="shared" si="4"/>
        <v>184086.67550338458</v>
      </c>
      <c r="P110" s="30">
        <f t="shared" ref="P110:P121" si="5">SUM(D110:O110)</f>
        <v>29998752.979787536</v>
      </c>
      <c r="Q110" s="379">
        <f t="shared" ref="Q110:Q122" si="6">A110</f>
        <v>800</v>
      </c>
    </row>
    <row r="111" spans="1:17">
      <c r="A111" s="379">
        <f t="shared" ref="A111:A122" si="7">A110+1</f>
        <v>801</v>
      </c>
      <c r="B111" s="145" t="s">
        <v>473</v>
      </c>
      <c r="C111" s="152">
        <f>'1-BaseTRR'!$G$2</f>
        <v>2020</v>
      </c>
      <c r="D111" s="518">
        <f t="shared" si="4"/>
        <v>0</v>
      </c>
      <c r="E111" s="518">
        <f t="shared" si="4"/>
        <v>311453.75098444958</v>
      </c>
      <c r="F111" s="518">
        <f t="shared" si="4"/>
        <v>498497.87159941654</v>
      </c>
      <c r="G111" s="518">
        <f t="shared" si="4"/>
        <v>157140.74376743333</v>
      </c>
      <c r="H111" s="518">
        <f t="shared" si="4"/>
        <v>17469355.20150819</v>
      </c>
      <c r="I111" s="518">
        <f t="shared" si="4"/>
        <v>49834.81868700518</v>
      </c>
      <c r="J111" s="518">
        <f t="shared" si="4"/>
        <v>1743417.8226984537</v>
      </c>
      <c r="K111" s="518">
        <f t="shared" si="4"/>
        <v>4303854.179316164</v>
      </c>
      <c r="L111" s="518">
        <f t="shared" si="4"/>
        <v>4358457.1852149935</v>
      </c>
      <c r="M111" s="518">
        <f t="shared" si="4"/>
        <v>649836.26508736261</v>
      </c>
      <c r="N111" s="518">
        <f t="shared" si="4"/>
        <v>448593.02837591874</v>
      </c>
      <c r="O111" s="518">
        <f t="shared" si="4"/>
        <v>184376.57136955127</v>
      </c>
      <c r="P111" s="30">
        <f t="shared" si="5"/>
        <v>30174817.438608941</v>
      </c>
      <c r="Q111" s="379">
        <f t="shared" si="6"/>
        <v>801</v>
      </c>
    </row>
    <row r="112" spans="1:17">
      <c r="A112" s="379">
        <f t="shared" si="7"/>
        <v>802</v>
      </c>
      <c r="B112" s="145" t="s">
        <v>474</v>
      </c>
      <c r="C112" s="152">
        <f>'1-BaseTRR'!$G$2</f>
        <v>2020</v>
      </c>
      <c r="D112" s="518">
        <f t="shared" si="4"/>
        <v>0</v>
      </c>
      <c r="E112" s="518">
        <f t="shared" si="4"/>
        <v>312912.24624807166</v>
      </c>
      <c r="F112" s="518">
        <f t="shared" si="4"/>
        <v>498667.49409925006</v>
      </c>
      <c r="G112" s="518">
        <f t="shared" si="4"/>
        <v>157196.23560296663</v>
      </c>
      <c r="H112" s="518">
        <f t="shared" si="4"/>
        <v>17510872.772772189</v>
      </c>
      <c r="I112" s="518">
        <f t="shared" si="4"/>
        <v>49835.348987217985</v>
      </c>
      <c r="J112" s="518">
        <f t="shared" si="4"/>
        <v>1744497.2479866419</v>
      </c>
      <c r="K112" s="518">
        <f t="shared" si="4"/>
        <v>4338952.4574337462</v>
      </c>
      <c r="L112" s="518">
        <f t="shared" si="4"/>
        <v>4393384.9321078854</v>
      </c>
      <c r="M112" s="518">
        <f t="shared" si="4"/>
        <v>649872.83647886559</v>
      </c>
      <c r="N112" s="518">
        <f t="shared" si="4"/>
        <v>448711.89769546827</v>
      </c>
      <c r="O112" s="518">
        <f t="shared" si="4"/>
        <v>186339.3539660346</v>
      </c>
      <c r="P112" s="30">
        <f t="shared" si="5"/>
        <v>30291242.823378336</v>
      </c>
      <c r="Q112" s="379">
        <f t="shared" si="6"/>
        <v>802</v>
      </c>
    </row>
    <row r="113" spans="1:17">
      <c r="A113" s="379">
        <f t="shared" si="7"/>
        <v>803</v>
      </c>
      <c r="B113" s="145" t="s">
        <v>475</v>
      </c>
      <c r="C113" s="152">
        <f>'1-BaseTRR'!$G$2</f>
        <v>2020</v>
      </c>
      <c r="D113" s="518">
        <f t="shared" si="4"/>
        <v>0</v>
      </c>
      <c r="E113" s="518">
        <f t="shared" si="4"/>
        <v>317168.80011250393</v>
      </c>
      <c r="F113" s="518">
        <f t="shared" si="4"/>
        <v>498800.19541475008</v>
      </c>
      <c r="G113" s="518">
        <f t="shared" si="4"/>
        <v>157097.69295804997</v>
      </c>
      <c r="H113" s="518">
        <f t="shared" si="4"/>
        <v>17769336.423240397</v>
      </c>
      <c r="I113" s="518">
        <f t="shared" si="4"/>
        <v>49836.155327802633</v>
      </c>
      <c r="J113" s="518">
        <f t="shared" si="4"/>
        <v>1745744.453155726</v>
      </c>
      <c r="K113" s="518">
        <f t="shared" si="4"/>
        <v>4382995.4193999004</v>
      </c>
      <c r="L113" s="518">
        <f t="shared" si="4"/>
        <v>4420723.5217218455</v>
      </c>
      <c r="M113" s="518">
        <f t="shared" si="4"/>
        <v>649881.88565531117</v>
      </c>
      <c r="N113" s="518">
        <f t="shared" si="4"/>
        <v>448869.84255407873</v>
      </c>
      <c r="O113" s="518">
        <f t="shared" si="4"/>
        <v>187172.32331245122</v>
      </c>
      <c r="P113" s="30">
        <f t="shared" si="5"/>
        <v>30627626.712852821</v>
      </c>
      <c r="Q113" s="379">
        <f t="shared" si="6"/>
        <v>803</v>
      </c>
    </row>
    <row r="114" spans="1:17" s="200" customFormat="1">
      <c r="A114" s="379">
        <f t="shared" si="7"/>
        <v>804</v>
      </c>
      <c r="B114" s="145" t="s">
        <v>437</v>
      </c>
      <c r="C114" s="152">
        <f>'1-BaseTRR'!$G$2</f>
        <v>2020</v>
      </c>
      <c r="D114" s="518">
        <f t="shared" si="4"/>
        <v>0</v>
      </c>
      <c r="E114" s="518">
        <f t="shared" si="4"/>
        <v>319595.26326206926</v>
      </c>
      <c r="F114" s="518">
        <f t="shared" si="4"/>
        <v>498426.96358391672</v>
      </c>
      <c r="G114" s="518">
        <f t="shared" si="4"/>
        <v>156395.22678383332</v>
      </c>
      <c r="H114" s="518">
        <f t="shared" si="4"/>
        <v>17819351.097107004</v>
      </c>
      <c r="I114" s="518">
        <f t="shared" si="4"/>
        <v>49899.052711475008</v>
      </c>
      <c r="J114" s="518">
        <f t="shared" si="4"/>
        <v>1747490.2103457579</v>
      </c>
      <c r="K114" s="518">
        <f t="shared" si="4"/>
        <v>4473038.5288908118</v>
      </c>
      <c r="L114" s="518">
        <f t="shared" si="4"/>
        <v>4444761.7170163989</v>
      </c>
      <c r="M114" s="518">
        <f t="shared" si="4"/>
        <v>652472.93078574224</v>
      </c>
      <c r="N114" s="518">
        <f t="shared" si="4"/>
        <v>464924.65490750858</v>
      </c>
      <c r="O114" s="518">
        <f t="shared" si="4"/>
        <v>189658.36213870125</v>
      </c>
      <c r="P114" s="30">
        <f t="shared" si="5"/>
        <v>30816014.007533215</v>
      </c>
      <c r="Q114" s="379">
        <f t="shared" si="6"/>
        <v>804</v>
      </c>
    </row>
    <row r="115" spans="1:17">
      <c r="A115" s="379">
        <f t="shared" si="7"/>
        <v>805</v>
      </c>
      <c r="B115" s="145" t="s">
        <v>592</v>
      </c>
      <c r="C115" s="152">
        <f>'1-BaseTRR'!$G$2</f>
        <v>2020</v>
      </c>
      <c r="D115" s="518">
        <f t="shared" si="4"/>
        <v>0</v>
      </c>
      <c r="E115" s="518">
        <f t="shared" si="4"/>
        <v>322742.97117657884</v>
      </c>
      <c r="F115" s="518">
        <f t="shared" si="4"/>
        <v>498491.91954574984</v>
      </c>
      <c r="G115" s="518">
        <f t="shared" si="4"/>
        <v>156263.0687567</v>
      </c>
      <c r="H115" s="518">
        <f t="shared" si="4"/>
        <v>17982925.632436559</v>
      </c>
      <c r="I115" s="518">
        <f t="shared" si="4"/>
        <v>49899.053195933338</v>
      </c>
      <c r="J115" s="518">
        <f t="shared" si="4"/>
        <v>1759349.004606968</v>
      </c>
      <c r="K115" s="518">
        <f t="shared" si="4"/>
        <v>4621219.6210495261</v>
      </c>
      <c r="L115" s="518">
        <f t="shared" si="4"/>
        <v>4492920.0500590494</v>
      </c>
      <c r="M115" s="518">
        <f t="shared" si="4"/>
        <v>652528.20201466256</v>
      </c>
      <c r="N115" s="518">
        <f t="shared" si="4"/>
        <v>464749.11043405387</v>
      </c>
      <c r="O115" s="518">
        <f t="shared" si="4"/>
        <v>191420.67702053455</v>
      </c>
      <c r="P115" s="30">
        <f t="shared" si="5"/>
        <v>31192509.310296323</v>
      </c>
      <c r="Q115" s="379">
        <f t="shared" si="6"/>
        <v>805</v>
      </c>
    </row>
    <row r="116" spans="1:17">
      <c r="A116" s="379">
        <f t="shared" si="7"/>
        <v>806</v>
      </c>
      <c r="B116" s="145" t="s">
        <v>477</v>
      </c>
      <c r="C116" s="152">
        <f>'1-BaseTRR'!$G$2</f>
        <v>2020</v>
      </c>
      <c r="D116" s="518">
        <f t="shared" si="4"/>
        <v>0</v>
      </c>
      <c r="E116" s="518">
        <f t="shared" si="4"/>
        <v>323473.65406196011</v>
      </c>
      <c r="F116" s="518">
        <f t="shared" si="4"/>
        <v>498759.80895908317</v>
      </c>
      <c r="G116" s="518">
        <f t="shared" si="4"/>
        <v>155475.41755378334</v>
      </c>
      <c r="H116" s="518">
        <f t="shared" si="4"/>
        <v>18007133.583363328</v>
      </c>
      <c r="I116" s="518">
        <f t="shared" si="4"/>
        <v>49899.175941777612</v>
      </c>
      <c r="J116" s="518">
        <f t="shared" si="4"/>
        <v>1764713.9829836255</v>
      </c>
      <c r="K116" s="518">
        <f t="shared" si="4"/>
        <v>4649566.5985002732</v>
      </c>
      <c r="L116" s="518">
        <f t="shared" si="4"/>
        <v>4523637.9978428399</v>
      </c>
      <c r="M116" s="518">
        <f t="shared" si="4"/>
        <v>652542.71022288105</v>
      </c>
      <c r="N116" s="518">
        <f t="shared" si="4"/>
        <v>464859.10185626819</v>
      </c>
      <c r="O116" s="518">
        <f t="shared" si="4"/>
        <v>191125.53431766786</v>
      </c>
      <c r="P116" s="30">
        <f t="shared" si="5"/>
        <v>31281187.565603491</v>
      </c>
      <c r="Q116" s="379">
        <f t="shared" si="6"/>
        <v>806</v>
      </c>
    </row>
    <row r="117" spans="1:17">
      <c r="A117" s="379">
        <f t="shared" si="7"/>
        <v>807</v>
      </c>
      <c r="B117" s="145" t="s">
        <v>478</v>
      </c>
      <c r="C117" s="152">
        <f>'1-BaseTRR'!$G$2</f>
        <v>2020</v>
      </c>
      <c r="D117" s="518">
        <f t="shared" si="4"/>
        <v>0</v>
      </c>
      <c r="E117" s="518">
        <f t="shared" si="4"/>
        <v>315225.56038101815</v>
      </c>
      <c r="F117" s="518">
        <f t="shared" si="4"/>
        <v>499326.67839216656</v>
      </c>
      <c r="G117" s="518">
        <f t="shared" si="4"/>
        <v>156947.80110133332</v>
      </c>
      <c r="H117" s="518">
        <f t="shared" si="4"/>
        <v>18067626.266149312</v>
      </c>
      <c r="I117" s="518">
        <f t="shared" si="4"/>
        <v>49899.178476858338</v>
      </c>
      <c r="J117" s="518">
        <f t="shared" si="4"/>
        <v>1778278.4946784533</v>
      </c>
      <c r="K117" s="518">
        <f t="shared" si="4"/>
        <v>4652738.7995505482</v>
      </c>
      <c r="L117" s="518">
        <f t="shared" si="4"/>
        <v>4548632.3116312148</v>
      </c>
      <c r="M117" s="518">
        <f t="shared" si="4"/>
        <v>652548.9543783603</v>
      </c>
      <c r="N117" s="518">
        <f t="shared" si="4"/>
        <v>465240.46649804054</v>
      </c>
      <c r="O117" s="518">
        <f t="shared" si="4"/>
        <v>192339.70142788452</v>
      </c>
      <c r="P117" s="30">
        <f t="shared" si="5"/>
        <v>31378804.212665185</v>
      </c>
      <c r="Q117" s="379">
        <f t="shared" si="6"/>
        <v>807</v>
      </c>
    </row>
    <row r="118" spans="1:17">
      <c r="A118" s="379">
        <f t="shared" si="7"/>
        <v>808</v>
      </c>
      <c r="B118" s="145" t="s">
        <v>480</v>
      </c>
      <c r="C118" s="152">
        <f>'1-BaseTRR'!$G$2</f>
        <v>2020</v>
      </c>
      <c r="D118" s="518">
        <f t="shared" si="4"/>
        <v>0</v>
      </c>
      <c r="E118" s="518">
        <f t="shared" si="4"/>
        <v>315270.05957817199</v>
      </c>
      <c r="F118" s="518">
        <f t="shared" si="4"/>
        <v>499340.14099683333</v>
      </c>
      <c r="G118" s="518">
        <f t="shared" si="4"/>
        <v>156909.69241098335</v>
      </c>
      <c r="H118" s="518">
        <f t="shared" si="4"/>
        <v>18410263.747741491</v>
      </c>
      <c r="I118" s="518">
        <f t="shared" si="4"/>
        <v>49899.189164941483</v>
      </c>
      <c r="J118" s="518">
        <f t="shared" si="4"/>
        <v>1769199.2314622074</v>
      </c>
      <c r="K118" s="518">
        <f t="shared" si="4"/>
        <v>4731826.4274428366</v>
      </c>
      <c r="L118" s="518">
        <f t="shared" si="4"/>
        <v>4597597.2500363309</v>
      </c>
      <c r="M118" s="518">
        <f t="shared" si="4"/>
        <v>652558.74303300143</v>
      </c>
      <c r="N118" s="518">
        <f t="shared" si="4"/>
        <v>465284.7541703044</v>
      </c>
      <c r="O118" s="518">
        <f t="shared" si="4"/>
        <v>192897.14967226787</v>
      </c>
      <c r="P118" s="30">
        <f t="shared" si="5"/>
        <v>31841046.385709368</v>
      </c>
      <c r="Q118" s="379">
        <f t="shared" si="6"/>
        <v>808</v>
      </c>
    </row>
    <row r="119" spans="1:17">
      <c r="A119" s="379">
        <f t="shared" si="7"/>
        <v>809</v>
      </c>
      <c r="B119" s="145" t="s">
        <v>481</v>
      </c>
      <c r="C119" s="152">
        <f>'1-BaseTRR'!$G$2</f>
        <v>2020</v>
      </c>
      <c r="D119" s="518">
        <f t="shared" si="4"/>
        <v>0</v>
      </c>
      <c r="E119" s="518">
        <f t="shared" si="4"/>
        <v>315266.2460719464</v>
      </c>
      <c r="F119" s="518">
        <f t="shared" si="4"/>
        <v>499368.79498416657</v>
      </c>
      <c r="G119" s="518">
        <f t="shared" si="4"/>
        <v>156925.72435283338</v>
      </c>
      <c r="H119" s="518">
        <f t="shared" si="4"/>
        <v>18465924.489555281</v>
      </c>
      <c r="I119" s="518">
        <f t="shared" si="4"/>
        <v>49899.190440192535</v>
      </c>
      <c r="J119" s="518">
        <f t="shared" si="4"/>
        <v>1771355.6186757479</v>
      </c>
      <c r="K119" s="518">
        <f t="shared" si="4"/>
        <v>4804039.139943216</v>
      </c>
      <c r="L119" s="518">
        <f t="shared" si="4"/>
        <v>4613442.8692398975</v>
      </c>
      <c r="M119" s="518">
        <f t="shared" si="4"/>
        <v>652601.1217075137</v>
      </c>
      <c r="N119" s="518">
        <f t="shared" si="4"/>
        <v>465579.69662416662</v>
      </c>
      <c r="O119" s="518">
        <f t="shared" si="4"/>
        <v>194256.92395666792</v>
      </c>
      <c r="P119" s="30">
        <f t="shared" si="5"/>
        <v>31988659.815551631</v>
      </c>
      <c r="Q119" s="379">
        <f t="shared" si="6"/>
        <v>809</v>
      </c>
    </row>
    <row r="120" spans="1:17">
      <c r="A120" s="379">
        <f t="shared" si="7"/>
        <v>810</v>
      </c>
      <c r="B120" s="145" t="s">
        <v>482</v>
      </c>
      <c r="C120" s="152">
        <f>'1-BaseTRR'!$G$2</f>
        <v>2020</v>
      </c>
      <c r="D120" s="518">
        <f t="shared" si="4"/>
        <v>0</v>
      </c>
      <c r="E120" s="518">
        <f t="shared" si="4"/>
        <v>315456.37805935962</v>
      </c>
      <c r="F120" s="518">
        <f t="shared" si="4"/>
        <v>500023.61537316651</v>
      </c>
      <c r="G120" s="518">
        <f t="shared" si="4"/>
        <v>156286.09974613335</v>
      </c>
      <c r="H120" s="518">
        <f t="shared" si="4"/>
        <v>18667742.922077391</v>
      </c>
      <c r="I120" s="518">
        <f t="shared" si="4"/>
        <v>49788.303570958342</v>
      </c>
      <c r="J120" s="518">
        <f t="shared" si="4"/>
        <v>1793228.3502627937</v>
      </c>
      <c r="K120" s="518">
        <f t="shared" si="4"/>
        <v>4839989.5890568243</v>
      </c>
      <c r="L120" s="518">
        <f t="shared" si="4"/>
        <v>4643998.985695227</v>
      </c>
      <c r="M120" s="518">
        <f t="shared" si="4"/>
        <v>652633.63797197957</v>
      </c>
      <c r="N120" s="518">
        <f t="shared" si="4"/>
        <v>465768.52465196181</v>
      </c>
      <c r="O120" s="518">
        <f t="shared" si="4"/>
        <v>195042.16149168453</v>
      </c>
      <c r="P120" s="30">
        <f t="shared" si="5"/>
        <v>32279958.567957483</v>
      </c>
      <c r="Q120" s="379">
        <f t="shared" si="6"/>
        <v>810</v>
      </c>
    </row>
    <row r="121" spans="1:17">
      <c r="A121" s="379">
        <f t="shared" si="7"/>
        <v>811</v>
      </c>
      <c r="B121" s="154" t="s">
        <v>470</v>
      </c>
      <c r="C121" s="155">
        <f>'1-BaseTRR'!$G$2</f>
        <v>2020</v>
      </c>
      <c r="D121" s="504">
        <f t="shared" si="4"/>
        <v>0</v>
      </c>
      <c r="E121" s="504">
        <f t="shared" si="4"/>
        <v>313914.43152745569</v>
      </c>
      <c r="F121" s="504">
        <f t="shared" si="4"/>
        <v>497312.88719933707</v>
      </c>
      <c r="G121" s="504">
        <f t="shared" si="4"/>
        <v>155876.09559505896</v>
      </c>
      <c r="H121" s="504">
        <f t="shared" si="4"/>
        <v>18798103.226017002</v>
      </c>
      <c r="I121" s="504">
        <f t="shared" si="4"/>
        <v>49788.324211207888</v>
      </c>
      <c r="J121" s="504">
        <f t="shared" si="4"/>
        <v>1803687.9424338744</v>
      </c>
      <c r="K121" s="504">
        <f t="shared" si="4"/>
        <v>4904606.844600806</v>
      </c>
      <c r="L121" s="504">
        <f t="shared" si="4"/>
        <v>4681916.9399809642</v>
      </c>
      <c r="M121" s="504">
        <f t="shared" si="4"/>
        <v>652648.78650178749</v>
      </c>
      <c r="N121" s="504">
        <f t="shared" si="4"/>
        <v>466439.89859204995</v>
      </c>
      <c r="O121" s="504">
        <f t="shared" si="4"/>
        <v>194175.34906873861</v>
      </c>
      <c r="P121" s="504">
        <f t="shared" si="5"/>
        <v>32518470.725728281</v>
      </c>
      <c r="Q121" s="379">
        <f t="shared" si="6"/>
        <v>811</v>
      </c>
    </row>
    <row r="122" spans="1:17">
      <c r="A122" s="379">
        <f t="shared" si="7"/>
        <v>812</v>
      </c>
      <c r="B122" s="163" t="s">
        <v>509</v>
      </c>
      <c r="C122" s="163"/>
      <c r="D122" s="523">
        <f>SUM(D110:D121)</f>
        <v>0</v>
      </c>
      <c r="E122" s="523">
        <f t="shared" ref="E122:P122" si="8">SUM(E110:E121)</f>
        <v>3792531.5677817203</v>
      </c>
      <c r="F122" s="523">
        <f t="shared" si="8"/>
        <v>5983504.5872138357</v>
      </c>
      <c r="G122" s="523">
        <f t="shared" si="8"/>
        <v>1896724.373664709</v>
      </c>
      <c r="H122" s="523">
        <f t="shared" si="8"/>
        <v>216361339.97644022</v>
      </c>
      <c r="I122" s="523">
        <f t="shared" si="8"/>
        <v>598311.81193257158</v>
      </c>
      <c r="J122" s="523">
        <f t="shared" si="8"/>
        <v>21161260.803957425</v>
      </c>
      <c r="K122" s="523">
        <f t="shared" si="8"/>
        <v>54943473.027744368</v>
      </c>
      <c r="L122" s="523">
        <f t="shared" si="8"/>
        <v>54035050.060897231</v>
      </c>
      <c r="M122" s="523">
        <f t="shared" si="8"/>
        <v>7818416.6580993412</v>
      </c>
      <c r="N122" s="523">
        <f t="shared" si="8"/>
        <v>5515586.8946956117</v>
      </c>
      <c r="O122" s="523">
        <f t="shared" si="8"/>
        <v>2282890.7832455691</v>
      </c>
      <c r="P122" s="523">
        <f t="shared" si="8"/>
        <v>374389090.5456726</v>
      </c>
      <c r="Q122" s="379">
        <f t="shared" si="6"/>
        <v>812</v>
      </c>
    </row>
    <row r="123" spans="1:17">
      <c r="A123" s="371"/>
      <c r="B123" s="17"/>
      <c r="C123" s="17"/>
      <c r="D123" s="17"/>
      <c r="E123" s="17"/>
      <c r="F123" s="17"/>
      <c r="G123" s="17"/>
      <c r="H123" s="17"/>
      <c r="I123" s="17"/>
      <c r="J123" s="17"/>
      <c r="K123" s="17"/>
      <c r="L123" s="17"/>
    </row>
    <row r="124" spans="1:17">
      <c r="A124" s="371"/>
      <c r="B124" s="17"/>
      <c r="C124" s="17"/>
      <c r="D124" s="17"/>
      <c r="E124" s="17"/>
      <c r="F124" s="17"/>
      <c r="G124" s="17"/>
      <c r="H124" s="17"/>
      <c r="I124" s="17"/>
      <c r="J124" s="17"/>
      <c r="K124" s="17"/>
      <c r="L124" s="17"/>
    </row>
    <row r="125" spans="1:17">
      <c r="B125" s="136" t="s">
        <v>976</v>
      </c>
      <c r="C125" s="138"/>
      <c r="D125" s="138"/>
      <c r="E125" s="138"/>
      <c r="F125" s="138"/>
      <c r="G125" s="138"/>
      <c r="H125" s="138"/>
      <c r="I125" s="138"/>
      <c r="J125" s="138"/>
      <c r="K125" s="138"/>
      <c r="L125" s="138"/>
      <c r="M125" s="219"/>
      <c r="N125" s="219"/>
      <c r="O125" s="219"/>
      <c r="P125" s="219"/>
    </row>
    <row r="126" spans="1:17">
      <c r="B126" t="s">
        <v>977</v>
      </c>
    </row>
    <row r="128" spans="1:17">
      <c r="A128" s="144" t="s">
        <v>99</v>
      </c>
      <c r="B128" s="17"/>
      <c r="C128" s="17"/>
      <c r="D128" s="17"/>
      <c r="E128" s="17"/>
      <c r="F128" s="17"/>
      <c r="G128" s="17"/>
      <c r="H128" s="17"/>
      <c r="I128" s="17"/>
      <c r="J128" s="17"/>
      <c r="K128" s="17"/>
      <c r="L128" s="17"/>
      <c r="Q128" s="144" t="str">
        <f>A128</f>
        <v>Line</v>
      </c>
    </row>
    <row r="129" spans="1:17">
      <c r="A129" s="379">
        <v>900</v>
      </c>
      <c r="B129" s="3" t="s">
        <v>978</v>
      </c>
      <c r="C129" s="17"/>
      <c r="D129" s="17"/>
      <c r="F129" s="457">
        <f>+P122</f>
        <v>374389090.5456726</v>
      </c>
      <c r="G129" s="17" t="s">
        <v>979</v>
      </c>
      <c r="H129" s="17"/>
      <c r="I129" s="17"/>
      <c r="J129" s="17"/>
      <c r="K129" s="17"/>
      <c r="L129" s="17"/>
      <c r="Q129" s="379">
        <f t="shared" ref="Q129:Q131" si="9">A129</f>
        <v>900</v>
      </c>
    </row>
    <row r="130" spans="1:17">
      <c r="A130" s="379">
        <f>+A129+1</f>
        <v>901</v>
      </c>
      <c r="B130" s="226" t="s">
        <v>980</v>
      </c>
      <c r="C130" s="388"/>
      <c r="D130" s="388"/>
      <c r="E130" s="227"/>
      <c r="F130" s="540">
        <f>+O15</f>
        <v>394598380.33232069</v>
      </c>
      <c r="G130" s="17" t="s">
        <v>981</v>
      </c>
      <c r="H130" s="17"/>
      <c r="I130" s="17"/>
      <c r="J130" s="17"/>
      <c r="K130" s="17"/>
      <c r="L130" s="17"/>
      <c r="Q130" s="379">
        <f t="shared" si="9"/>
        <v>901</v>
      </c>
    </row>
    <row r="131" spans="1:17">
      <c r="A131" s="379">
        <f>+A130+1</f>
        <v>902</v>
      </c>
      <c r="B131" s="12" t="s">
        <v>982</v>
      </c>
      <c r="E131" s="17"/>
      <c r="F131" s="345">
        <f>+F129-F130</f>
        <v>-20209289.786648095</v>
      </c>
      <c r="G131" s="17" t="s">
        <v>983</v>
      </c>
      <c r="H131" s="12"/>
      <c r="I131" s="12"/>
      <c r="J131" s="12"/>
      <c r="K131" s="12"/>
      <c r="L131" s="200"/>
      <c r="M131" s="8"/>
      <c r="N131" s="200"/>
      <c r="O131" s="200"/>
      <c r="P131" s="200"/>
      <c r="Q131" s="379">
        <f t="shared" si="9"/>
        <v>902</v>
      </c>
    </row>
    <row r="132" spans="1:17">
      <c r="B132" s="379"/>
      <c r="C132" s="147"/>
      <c r="D132" s="147"/>
    </row>
    <row r="133" spans="1:17">
      <c r="B133" s="379"/>
      <c r="C133" s="147"/>
      <c r="D133" s="147"/>
    </row>
    <row r="134" spans="1:17">
      <c r="B134" s="16" t="s">
        <v>304</v>
      </c>
      <c r="C134" s="147"/>
      <c r="D134" s="147"/>
    </row>
    <row r="135" spans="1:17">
      <c r="B135" s="809" t="s">
        <v>984</v>
      </c>
      <c r="C135" s="809"/>
      <c r="D135" s="809"/>
      <c r="E135" s="809"/>
      <c r="F135" s="809"/>
      <c r="G135" s="809"/>
      <c r="H135" s="809"/>
      <c r="I135" s="809"/>
      <c r="J135" s="809"/>
      <c r="K135" s="809"/>
      <c r="L135" s="809"/>
      <c r="M135" s="809"/>
      <c r="N135" s="809"/>
      <c r="O135" s="809"/>
      <c r="P135" s="809"/>
    </row>
    <row r="136" spans="1:17">
      <c r="B136" s="809" t="s">
        <v>985</v>
      </c>
      <c r="C136" s="809"/>
      <c r="D136" s="809"/>
      <c r="E136" s="809"/>
      <c r="F136" s="809"/>
      <c r="G136" s="809"/>
      <c r="H136" s="809"/>
      <c r="I136" s="809"/>
      <c r="J136" s="809"/>
      <c r="K136" s="809"/>
      <c r="L136" s="809"/>
      <c r="M136" s="809"/>
      <c r="N136" s="809"/>
      <c r="O136" s="809"/>
      <c r="P136" s="809"/>
    </row>
    <row r="137" spans="1:17">
      <c r="B137" s="809" t="s">
        <v>986</v>
      </c>
      <c r="C137" s="809"/>
      <c r="D137" s="809"/>
      <c r="E137" s="809"/>
      <c r="F137" s="809"/>
      <c r="G137" s="809"/>
      <c r="H137" s="809"/>
      <c r="I137" s="809"/>
      <c r="J137" s="809"/>
      <c r="K137" s="809"/>
      <c r="L137" s="809"/>
      <c r="M137" s="809"/>
      <c r="N137" s="809"/>
      <c r="O137" s="809"/>
      <c r="P137" s="809"/>
    </row>
    <row r="138" spans="1:17">
      <c r="B138" s="809" t="s">
        <v>987</v>
      </c>
      <c r="C138" s="809"/>
      <c r="D138" s="809"/>
      <c r="E138" s="809"/>
      <c r="F138" s="809"/>
      <c r="G138" s="809"/>
      <c r="H138" s="809"/>
      <c r="I138" s="809"/>
      <c r="J138" s="809"/>
      <c r="K138" s="809"/>
      <c r="L138" s="809"/>
      <c r="M138" s="809"/>
      <c r="N138" s="809"/>
      <c r="O138" s="809"/>
      <c r="P138" s="809"/>
    </row>
    <row r="139" spans="1:17">
      <c r="B139" s="809" t="s">
        <v>988</v>
      </c>
      <c r="C139" s="809"/>
      <c r="D139" s="809"/>
      <c r="E139" s="809"/>
      <c r="F139" s="809"/>
      <c r="G139" s="809"/>
      <c r="H139" s="809"/>
      <c r="I139" s="809"/>
      <c r="J139" s="809"/>
      <c r="K139" s="809"/>
      <c r="L139" s="809"/>
      <c r="M139" s="809"/>
      <c r="N139" s="809"/>
      <c r="O139" s="809"/>
      <c r="P139" s="809"/>
    </row>
    <row r="140" spans="1:17" ht="32.25" customHeight="1">
      <c r="B140" s="810" t="s">
        <v>989</v>
      </c>
      <c r="C140" s="810"/>
      <c r="D140" s="810"/>
      <c r="E140" s="810"/>
      <c r="F140" s="810"/>
      <c r="G140" s="810"/>
      <c r="H140" s="810"/>
      <c r="I140" s="810"/>
      <c r="J140" s="810"/>
      <c r="K140" s="810"/>
      <c r="L140" s="810"/>
      <c r="M140" s="810"/>
      <c r="N140" s="810"/>
      <c r="O140" s="810"/>
      <c r="P140" s="810"/>
    </row>
    <row r="141" spans="1:17">
      <c r="B141" s="809" t="s">
        <v>745</v>
      </c>
      <c r="C141" s="809"/>
      <c r="D141" s="809"/>
      <c r="E141" s="809"/>
      <c r="F141" s="809"/>
      <c r="G141" s="809"/>
      <c r="H141" s="809"/>
      <c r="I141" s="809"/>
      <c r="J141" s="809"/>
      <c r="K141" s="809"/>
      <c r="L141" s="809"/>
      <c r="M141" s="809"/>
      <c r="N141" s="809"/>
      <c r="O141" s="809"/>
      <c r="P141" s="809"/>
    </row>
  </sheetData>
  <mergeCells count="8">
    <mergeCell ref="B139:P139"/>
    <mergeCell ref="B141:P141"/>
    <mergeCell ref="B64:P64"/>
    <mergeCell ref="B135:P135"/>
    <mergeCell ref="B136:P136"/>
    <mergeCell ref="B137:P137"/>
    <mergeCell ref="B138:P138"/>
    <mergeCell ref="B140:P140"/>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66" max="16383"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82"/>
  <sheetViews>
    <sheetView tabSelected="1" view="pageBreakPreview" topLeftCell="G58" zoomScale="90" zoomScaleNormal="70" zoomScaleSheetLayoutView="90" zoomScalePageLayoutView="55" workbookViewId="0">
      <selection activeCell="E21" sqref="E21"/>
    </sheetView>
  </sheetViews>
  <sheetFormatPr defaultColWidth="8.81640625" defaultRowHeight="14.5"/>
  <cols>
    <col min="1" max="1" width="6.7265625" style="8" bestFit="1" customWidth="1"/>
    <col min="2" max="2" width="8.81640625" customWidth="1"/>
    <col min="3" max="3" width="13" style="6" customWidth="1"/>
    <col min="4" max="4" width="13" customWidth="1"/>
    <col min="5" max="5" width="66.1796875" bestFit="1" customWidth="1"/>
    <col min="6" max="6" width="18.26953125" customWidth="1"/>
    <col min="7" max="7" width="7.7265625" customWidth="1"/>
    <col min="8" max="8" width="21.54296875" bestFit="1" customWidth="1"/>
    <col min="9" max="9" width="17.26953125" customWidth="1"/>
    <col min="10" max="10" width="21.7265625" bestFit="1" customWidth="1"/>
    <col min="11" max="11" width="10" customWidth="1"/>
    <col min="12" max="12" width="13" customWidth="1"/>
    <col min="13" max="14" width="16.7265625" customWidth="1"/>
    <col min="15" max="15" width="10.54296875" customWidth="1"/>
    <col min="16" max="16" width="11" customWidth="1"/>
    <col min="17" max="17" width="6.7265625" bestFit="1" customWidth="1"/>
    <col min="18" max="18" width="14.453125" customWidth="1"/>
  </cols>
  <sheetData>
    <row r="1" spans="1:17">
      <c r="B1" s="200" t="s">
        <v>990</v>
      </c>
      <c r="P1" s="15" t="str">
        <f>CONCATENATE("Rate Year: ",'1-BaseTRR'!$G$1)</f>
        <v>Rate Year: 2022</v>
      </c>
    </row>
    <row r="2" spans="1:17">
      <c r="B2" s="200"/>
    </row>
    <row r="3" spans="1:17">
      <c r="B3" s="52" t="s">
        <v>991</v>
      </c>
      <c r="C3" s="48"/>
      <c r="D3" s="52"/>
      <c r="E3" s="219"/>
      <c r="F3" s="219"/>
      <c r="G3" s="219"/>
      <c r="H3" s="219"/>
      <c r="I3" s="219"/>
      <c r="J3" s="219"/>
      <c r="K3" s="219"/>
      <c r="L3" s="219"/>
      <c r="M3" s="219"/>
      <c r="N3" s="219"/>
      <c r="O3" s="219"/>
      <c r="P3" s="219"/>
    </row>
    <row r="4" spans="1:17">
      <c r="B4" s="12"/>
      <c r="D4" s="12"/>
    </row>
    <row r="5" spans="1:17">
      <c r="B5" s="8"/>
      <c r="C5" s="8"/>
      <c r="D5" s="8"/>
      <c r="E5" s="35"/>
      <c r="F5" s="725" t="s">
        <v>413</v>
      </c>
      <c r="G5" s="725" t="s">
        <v>414</v>
      </c>
      <c r="H5" s="725" t="s">
        <v>415</v>
      </c>
      <c r="I5" s="725" t="s">
        <v>416</v>
      </c>
      <c r="J5" s="725" t="s">
        <v>417</v>
      </c>
      <c r="K5" s="725" t="s">
        <v>418</v>
      </c>
      <c r="L5" s="725" t="s">
        <v>419</v>
      </c>
      <c r="M5" s="725" t="s">
        <v>420</v>
      </c>
      <c r="N5" s="725" t="s">
        <v>451</v>
      </c>
      <c r="O5" s="725" t="s">
        <v>586</v>
      </c>
      <c r="P5" s="725" t="s">
        <v>587</v>
      </c>
      <c r="Q5" s="35"/>
    </row>
    <row r="6" spans="1:17" s="215" customFormat="1" ht="29">
      <c r="A6" s="730"/>
      <c r="B6" s="730"/>
      <c r="C6" s="214"/>
      <c r="D6" s="730"/>
      <c r="E6" s="214"/>
      <c r="F6" s="149" t="s">
        <v>992</v>
      </c>
      <c r="G6" s="214"/>
      <c r="H6" s="214" t="s">
        <v>993</v>
      </c>
      <c r="I6" s="149" t="s">
        <v>994</v>
      </c>
      <c r="J6" s="214" t="s">
        <v>995</v>
      </c>
      <c r="K6" s="214"/>
      <c r="L6" s="214"/>
      <c r="M6" s="214" t="s">
        <v>996</v>
      </c>
      <c r="N6" s="214"/>
      <c r="O6" s="214"/>
      <c r="P6" s="214"/>
      <c r="Q6" s="214"/>
    </row>
    <row r="7" spans="1:17">
      <c r="B7" s="12"/>
      <c r="D7" s="12"/>
    </row>
    <row r="8" spans="1:17">
      <c r="F8" s="8" t="s">
        <v>997</v>
      </c>
      <c r="G8" s="815" t="s">
        <v>998</v>
      </c>
      <c r="H8" s="815"/>
      <c r="I8" s="8" t="s">
        <v>999</v>
      </c>
      <c r="J8" s="8" t="s">
        <v>1000</v>
      </c>
      <c r="K8" s="726" t="s">
        <v>1001</v>
      </c>
      <c r="L8" s="8" t="s">
        <v>1002</v>
      </c>
      <c r="M8" s="816" t="s">
        <v>1003</v>
      </c>
      <c r="N8" s="816"/>
    </row>
    <row r="9" spans="1:17">
      <c r="A9" s="13" t="s">
        <v>99</v>
      </c>
      <c r="B9" s="13" t="s">
        <v>1004</v>
      </c>
      <c r="C9" s="13" t="s">
        <v>708</v>
      </c>
      <c r="D9" s="13" t="s">
        <v>1005</v>
      </c>
      <c r="E9" s="13" t="s">
        <v>1006</v>
      </c>
      <c r="F9" s="236" t="s">
        <v>1007</v>
      </c>
      <c r="G9" s="236" t="s">
        <v>1008</v>
      </c>
      <c r="H9" s="767" t="s">
        <v>1009</v>
      </c>
      <c r="I9" s="236" t="s">
        <v>1010</v>
      </c>
      <c r="J9" s="236" t="s">
        <v>1011</v>
      </c>
      <c r="K9" s="727" t="s">
        <v>1012</v>
      </c>
      <c r="L9" s="236" t="s">
        <v>1013</v>
      </c>
      <c r="M9" s="236" t="s">
        <v>1009</v>
      </c>
      <c r="N9" s="236" t="s">
        <v>1014</v>
      </c>
      <c r="O9" s="236" t="s">
        <v>1015</v>
      </c>
      <c r="P9" s="236" t="s">
        <v>1016</v>
      </c>
      <c r="Q9" s="13" t="str">
        <f t="shared" ref="Q9:Q19" si="0">A9</f>
        <v>Line</v>
      </c>
    </row>
    <row r="10" spans="1:17">
      <c r="A10" s="8">
        <v>100</v>
      </c>
      <c r="B10" t="str">
        <f t="shared" ref="B10:B19" si="1">IF(RIGHT(E10,4)="CPUC","ETC","ETP")</f>
        <v>ETP</v>
      </c>
      <c r="C10" s="6">
        <v>352.01</v>
      </c>
      <c r="D10" t="str">
        <f t="shared" ref="D10:D19" si="2">IF(LEN(C10)&gt;=6,"ETP"&amp;LEFT(C10,3)&amp;RIGHT(C10,2),"ETP"&amp;LEFT(C10,3)&amp;"00")</f>
        <v>ETP35201</v>
      </c>
      <c r="E10" t="s">
        <v>1017</v>
      </c>
      <c r="F10" s="521">
        <f>'7-PlantInService'!F$24</f>
        <v>366119916.95656717</v>
      </c>
      <c r="G10" s="235">
        <v>-20</v>
      </c>
      <c r="H10" s="505">
        <f t="shared" ref="H10:H19" si="3">+F10*G10/100</f>
        <v>-73223983.391313434</v>
      </c>
      <c r="I10" s="521">
        <f>'10-AccDep'!F$26</f>
        <v>109706920.36513495</v>
      </c>
      <c r="J10" s="505">
        <f t="shared" ref="J10:J19" si="4">+F10-H10-I10</f>
        <v>329636979.98274565</v>
      </c>
      <c r="K10" s="6" t="s">
        <v>1018</v>
      </c>
      <c r="L10" s="228">
        <v>57.45</v>
      </c>
      <c r="M10" s="505">
        <f t="shared" ref="M10:M19" si="5">N10*F10</f>
        <v>5967754.6463920446</v>
      </c>
      <c r="N10" s="27">
        <v>1.6299999999999999E-2</v>
      </c>
      <c r="O10" s="27">
        <v>1.325E-2</v>
      </c>
      <c r="P10" s="27">
        <v>3.0500000000000002E-3</v>
      </c>
      <c r="Q10" s="8">
        <f t="shared" si="0"/>
        <v>100</v>
      </c>
    </row>
    <row r="11" spans="1:17">
      <c r="A11" s="8">
        <f t="shared" ref="A11:A19" si="6">+A10+1</f>
        <v>101</v>
      </c>
      <c r="B11" t="str">
        <f t="shared" si="1"/>
        <v>ETP</v>
      </c>
      <c r="C11" s="6">
        <v>352.02</v>
      </c>
      <c r="D11" t="str">
        <f t="shared" si="2"/>
        <v>ETP35202</v>
      </c>
      <c r="E11" t="s">
        <v>1019</v>
      </c>
      <c r="F11" s="521">
        <f>'7-PlantInService'!G$24</f>
        <v>109131455.49245669</v>
      </c>
      <c r="G11" s="235">
        <v>-20</v>
      </c>
      <c r="H11" s="505">
        <f t="shared" si="3"/>
        <v>-21826291.098491341</v>
      </c>
      <c r="I11" s="521">
        <f>'10-AccDep'!G$26</f>
        <v>18023615.466308933</v>
      </c>
      <c r="J11" s="505">
        <f t="shared" si="4"/>
        <v>112934131.12463909</v>
      </c>
      <c r="K11" s="6" t="s">
        <v>1018</v>
      </c>
      <c r="L11" s="228">
        <v>63.8</v>
      </c>
      <c r="M11" s="505">
        <f t="shared" si="5"/>
        <v>1870513.1471407076</v>
      </c>
      <c r="N11" s="27">
        <v>1.7139999999999999E-2</v>
      </c>
      <c r="O11" s="27">
        <v>1.414E-2</v>
      </c>
      <c r="P11" s="27">
        <v>3.0000000000000001E-3</v>
      </c>
      <c r="Q11" s="8">
        <f t="shared" si="0"/>
        <v>101</v>
      </c>
    </row>
    <row r="12" spans="1:17">
      <c r="A12" s="8">
        <f t="shared" si="6"/>
        <v>102</v>
      </c>
      <c r="B12" t="str">
        <f t="shared" si="1"/>
        <v>ETP</v>
      </c>
      <c r="C12" s="6">
        <v>353.01</v>
      </c>
      <c r="D12" t="str">
        <f t="shared" si="2"/>
        <v>ETP35301</v>
      </c>
      <c r="E12" t="s">
        <v>1020</v>
      </c>
      <c r="F12" s="521">
        <f>'7-PlantInService'!H$24</f>
        <v>7204638732.4242744</v>
      </c>
      <c r="G12" s="235">
        <v>-60</v>
      </c>
      <c r="H12" s="505">
        <f t="shared" si="3"/>
        <v>-4322783239.454565</v>
      </c>
      <c r="I12" s="521">
        <f>'10-AccDep'!H$26</f>
        <v>1591956949.5661855</v>
      </c>
      <c r="J12" s="505">
        <f t="shared" si="4"/>
        <v>9935465022.3126545</v>
      </c>
      <c r="K12" s="6" t="s">
        <v>1021</v>
      </c>
      <c r="L12" s="228">
        <v>37.869999999999997</v>
      </c>
      <c r="M12" s="505">
        <f t="shared" si="5"/>
        <v>225577238.71220401</v>
      </c>
      <c r="N12" s="27">
        <v>3.1309999999999998E-2</v>
      </c>
      <c r="O12" s="27">
        <v>2.128E-2</v>
      </c>
      <c r="P12" s="27">
        <v>1.0030000000000001E-2</v>
      </c>
      <c r="Q12" s="8">
        <f t="shared" si="0"/>
        <v>102</v>
      </c>
    </row>
    <row r="13" spans="1:17">
      <c r="A13" s="8">
        <f t="shared" si="6"/>
        <v>103</v>
      </c>
      <c r="B13" t="str">
        <f t="shared" si="1"/>
        <v>ETP</v>
      </c>
      <c r="C13" s="6">
        <v>353.02</v>
      </c>
      <c r="D13" t="str">
        <f t="shared" si="2"/>
        <v>ETP35302</v>
      </c>
      <c r="E13" t="s">
        <v>1022</v>
      </c>
      <c r="F13" s="521">
        <f>'7-PlantInService'!I$24</f>
        <v>35969891.061679393</v>
      </c>
      <c r="G13" s="235">
        <v>-5</v>
      </c>
      <c r="H13" s="505">
        <f t="shared" si="3"/>
        <v>-1798494.5530839697</v>
      </c>
      <c r="I13" s="521">
        <f>'10-AccDep'!I$26</f>
        <v>15966368.313273482</v>
      </c>
      <c r="J13" s="505">
        <f t="shared" si="4"/>
        <v>21802017.301489882</v>
      </c>
      <c r="K13" s="6" t="s">
        <v>1023</v>
      </c>
      <c r="L13" s="228">
        <v>34.299999999999997</v>
      </c>
      <c r="M13" s="505">
        <f t="shared" si="5"/>
        <v>597459.89053449465</v>
      </c>
      <c r="N13" s="27">
        <v>1.661E-2</v>
      </c>
      <c r="O13" s="27">
        <v>1.5440000000000001E-2</v>
      </c>
      <c r="P13" s="27">
        <v>1.17E-3</v>
      </c>
      <c r="Q13" s="8">
        <f t="shared" si="0"/>
        <v>103</v>
      </c>
    </row>
    <row r="14" spans="1:17">
      <c r="A14" s="8">
        <f t="shared" si="6"/>
        <v>104</v>
      </c>
      <c r="B14" t="str">
        <f t="shared" si="1"/>
        <v>ETP</v>
      </c>
      <c r="C14" s="6">
        <v>354</v>
      </c>
      <c r="D14" t="str">
        <f t="shared" si="2"/>
        <v>ETP35400</v>
      </c>
      <c r="E14" t="s">
        <v>1024</v>
      </c>
      <c r="F14" s="521">
        <f>'7-PlantInService'!J$24</f>
        <v>941463910.79628062</v>
      </c>
      <c r="G14" s="235">
        <v>-100</v>
      </c>
      <c r="H14" s="505">
        <f t="shared" si="3"/>
        <v>-941463910.79628062</v>
      </c>
      <c r="I14" s="521">
        <f>'10-AccDep'!J$26</f>
        <v>347587089.51122552</v>
      </c>
      <c r="J14" s="505">
        <f t="shared" si="4"/>
        <v>1535340732.0813358</v>
      </c>
      <c r="K14" s="6" t="s">
        <v>1025</v>
      </c>
      <c r="L14" s="228">
        <v>57.03</v>
      </c>
      <c r="M14" s="505">
        <f t="shared" si="5"/>
        <v>21644255.309206493</v>
      </c>
      <c r="N14" s="27">
        <v>2.299E-2</v>
      </c>
      <c r="O14" s="27">
        <v>1.188E-2</v>
      </c>
      <c r="P14" s="27">
        <v>1.111E-2</v>
      </c>
      <c r="Q14" s="8">
        <f t="shared" si="0"/>
        <v>104</v>
      </c>
    </row>
    <row r="15" spans="1:17">
      <c r="A15" s="8">
        <f t="shared" si="6"/>
        <v>105</v>
      </c>
      <c r="B15" t="str">
        <f t="shared" si="1"/>
        <v>ETP</v>
      </c>
      <c r="C15" s="6">
        <v>355</v>
      </c>
      <c r="D15" t="str">
        <f t="shared" si="2"/>
        <v>ETP35500</v>
      </c>
      <c r="E15" t="s">
        <v>1026</v>
      </c>
      <c r="F15" s="521">
        <f>'7-PlantInService'!K$24</f>
        <v>1864869522.6619036</v>
      </c>
      <c r="G15" s="235">
        <v>-80</v>
      </c>
      <c r="H15" s="505">
        <f t="shared" si="3"/>
        <v>-1491895618.129523</v>
      </c>
      <c r="I15" s="521">
        <f>'10-AccDep'!K$26</f>
        <v>379206173.59303063</v>
      </c>
      <c r="J15" s="505">
        <f t="shared" si="4"/>
        <v>2977558967.1983962</v>
      </c>
      <c r="K15" s="6" t="s">
        <v>1027</v>
      </c>
      <c r="L15" s="228">
        <v>46.49</v>
      </c>
      <c r="M15" s="505">
        <f t="shared" si="5"/>
        <v>58855282.135209672</v>
      </c>
      <c r="N15" s="27">
        <v>3.1559999999999998E-2</v>
      </c>
      <c r="O15" s="27">
        <v>1.7139999999999999E-2</v>
      </c>
      <c r="P15" s="27">
        <v>1.4420000000000001E-2</v>
      </c>
      <c r="Q15" s="8">
        <f t="shared" si="0"/>
        <v>105</v>
      </c>
    </row>
    <row r="16" spans="1:17">
      <c r="A16" s="8">
        <f t="shared" si="6"/>
        <v>106</v>
      </c>
      <c r="B16" t="str">
        <f t="shared" si="1"/>
        <v>ETP</v>
      </c>
      <c r="C16" s="6">
        <v>356</v>
      </c>
      <c r="D16" t="str">
        <f t="shared" si="2"/>
        <v>ETP35600</v>
      </c>
      <c r="E16" t="s">
        <v>1028</v>
      </c>
      <c r="F16" s="521">
        <f>'7-PlantInService'!L$24</f>
        <v>2062518475.7625394</v>
      </c>
      <c r="G16" s="235">
        <v>-110</v>
      </c>
      <c r="H16" s="505">
        <f t="shared" si="3"/>
        <v>-2268770323.3387933</v>
      </c>
      <c r="I16" s="521">
        <f>'10-AccDep'!L$26</f>
        <v>527564752.95332021</v>
      </c>
      <c r="J16" s="505">
        <f t="shared" si="4"/>
        <v>3803724046.1480126</v>
      </c>
      <c r="K16" s="6" t="s">
        <v>1029</v>
      </c>
      <c r="L16" s="228">
        <v>51.91</v>
      </c>
      <c r="M16" s="505">
        <f t="shared" si="5"/>
        <v>56183003.279771574</v>
      </c>
      <c r="N16" s="27">
        <v>2.724E-2</v>
      </c>
      <c r="O16" s="27">
        <v>1.3610000000000001E-2</v>
      </c>
      <c r="P16" s="27">
        <v>1.363E-2</v>
      </c>
      <c r="Q16" s="8">
        <f t="shared" si="0"/>
        <v>106</v>
      </c>
    </row>
    <row r="17" spans="1:17">
      <c r="A17" s="8">
        <f t="shared" si="6"/>
        <v>107</v>
      </c>
      <c r="B17" t="str">
        <f t="shared" si="1"/>
        <v>ETP</v>
      </c>
      <c r="C17" s="6">
        <v>357</v>
      </c>
      <c r="D17" t="str">
        <f t="shared" si="2"/>
        <v>ETP35700</v>
      </c>
      <c r="E17" t="s">
        <v>1030</v>
      </c>
      <c r="F17" s="521">
        <f>'7-PlantInService'!M$24</f>
        <v>512216182.99682474</v>
      </c>
      <c r="G17" s="235">
        <v>0</v>
      </c>
      <c r="H17" s="505">
        <f t="shared" si="3"/>
        <v>0</v>
      </c>
      <c r="I17" s="521">
        <f>'10-AccDep'!M$26</f>
        <v>102565877.30907288</v>
      </c>
      <c r="J17" s="505">
        <f t="shared" si="4"/>
        <v>409650305.68775189</v>
      </c>
      <c r="K17" s="6" t="s">
        <v>1031</v>
      </c>
      <c r="L17" s="228">
        <v>54.8</v>
      </c>
      <c r="M17" s="505">
        <f t="shared" si="5"/>
        <v>7831785.4380214503</v>
      </c>
      <c r="N17" s="27">
        <v>1.529E-2</v>
      </c>
      <c r="O17" s="27">
        <v>1.524E-2</v>
      </c>
      <c r="P17" s="27">
        <v>5.0000000000000002E-5</v>
      </c>
      <c r="Q17" s="8">
        <f t="shared" si="0"/>
        <v>107</v>
      </c>
    </row>
    <row r="18" spans="1:17">
      <c r="A18" s="8">
        <f t="shared" si="6"/>
        <v>108</v>
      </c>
      <c r="B18" t="str">
        <f t="shared" si="1"/>
        <v>ETP</v>
      </c>
      <c r="C18" s="6">
        <v>358</v>
      </c>
      <c r="D18" t="str">
        <f t="shared" si="2"/>
        <v>ETP35800</v>
      </c>
      <c r="E18" t="s">
        <v>1032</v>
      </c>
      <c r="F18" s="521">
        <f>'7-PlantInService'!N$24</f>
        <v>281270290.6082713</v>
      </c>
      <c r="G18" s="235">
        <v>-10</v>
      </c>
      <c r="H18" s="505">
        <f t="shared" si="3"/>
        <v>-28127029.060827132</v>
      </c>
      <c r="I18" s="521">
        <f>'10-AccDep'!N$26</f>
        <v>75168248.85443145</v>
      </c>
      <c r="J18" s="505">
        <f t="shared" si="4"/>
        <v>234229070.81466699</v>
      </c>
      <c r="K18" s="6" t="s">
        <v>1033</v>
      </c>
      <c r="L18" s="228">
        <v>43.69</v>
      </c>
      <c r="M18" s="505">
        <f t="shared" si="5"/>
        <v>5597278.7831045995</v>
      </c>
      <c r="N18" s="27">
        <v>1.9900000000000001E-2</v>
      </c>
      <c r="O18" s="27">
        <v>1.7639999999999999E-2</v>
      </c>
      <c r="P18" s="27">
        <v>2.2599999999999999E-3</v>
      </c>
      <c r="Q18" s="8">
        <f t="shared" si="0"/>
        <v>108</v>
      </c>
    </row>
    <row r="19" spans="1:17">
      <c r="A19" s="8">
        <f t="shared" si="6"/>
        <v>109</v>
      </c>
      <c r="B19" t="str">
        <f t="shared" si="1"/>
        <v>ETP</v>
      </c>
      <c r="C19" s="6">
        <v>359</v>
      </c>
      <c r="D19" t="str">
        <f t="shared" si="2"/>
        <v>ETP35900</v>
      </c>
      <c r="E19" t="s">
        <v>1034</v>
      </c>
      <c r="F19" s="724">
        <f>'7-PlantInService'!O$24</f>
        <v>125139859.76503025</v>
      </c>
      <c r="G19" s="728">
        <v>-10</v>
      </c>
      <c r="H19" s="504">
        <f t="shared" si="3"/>
        <v>-12513985.976503024</v>
      </c>
      <c r="I19" s="724">
        <f>'10-AccDep'!O$26</f>
        <v>15292937.384513758</v>
      </c>
      <c r="J19" s="504">
        <f t="shared" si="4"/>
        <v>122360908.35701951</v>
      </c>
      <c r="K19" s="723" t="s">
        <v>1035</v>
      </c>
      <c r="L19" s="729">
        <v>52.76</v>
      </c>
      <c r="M19" s="504">
        <f t="shared" si="5"/>
        <v>2330104.1888248632</v>
      </c>
      <c r="N19" s="440">
        <v>1.8620000000000001E-2</v>
      </c>
      <c r="O19" s="440">
        <v>1.6459999999999999E-2</v>
      </c>
      <c r="P19" s="440">
        <v>2.16E-3</v>
      </c>
      <c r="Q19" s="8">
        <f t="shared" si="0"/>
        <v>109</v>
      </c>
    </row>
    <row r="20" spans="1:17">
      <c r="F20" s="518"/>
      <c r="G20" s="235"/>
      <c r="H20" s="522"/>
      <c r="I20" s="518"/>
      <c r="J20" s="522"/>
      <c r="L20" s="233"/>
      <c r="M20" s="522"/>
      <c r="N20" s="233"/>
    </row>
    <row r="21" spans="1:17">
      <c r="A21" s="8">
        <f>+A19+1</f>
        <v>110</v>
      </c>
      <c r="C21" s="14" t="s">
        <v>1036</v>
      </c>
      <c r="D21" s="12"/>
      <c r="F21" s="520">
        <f>SUM(F10:F19)</f>
        <v>13503338238.525826</v>
      </c>
      <c r="G21" s="153"/>
      <c r="H21" s="520">
        <f>SUM(H10:H19)</f>
        <v>-9162402875.7993832</v>
      </c>
      <c r="I21" s="520">
        <f>SUM(I10:I19)</f>
        <v>3183038933.3164973</v>
      </c>
      <c r="J21" s="520">
        <f>SUM(J10:J19)</f>
        <v>19482702181.008717</v>
      </c>
      <c r="K21" s="153"/>
      <c r="L21" s="153"/>
      <c r="M21" s="520">
        <f>SUM(M10:M19)</f>
        <v>386454675.53040987</v>
      </c>
      <c r="N21" s="232">
        <f>+M21/F21</f>
        <v>2.8619195394797396E-2</v>
      </c>
      <c r="O21" s="124">
        <v>1.83E-2</v>
      </c>
      <c r="P21" s="124">
        <f>N21-O21</f>
        <v>1.0319195394797396E-2</v>
      </c>
      <c r="Q21" s="8">
        <f>A21</f>
        <v>110</v>
      </c>
    </row>
    <row r="22" spans="1:17">
      <c r="C22" s="14"/>
      <c r="D22" s="12"/>
      <c r="F22" s="231"/>
      <c r="H22" s="230"/>
      <c r="I22" s="231"/>
      <c r="J22" s="230"/>
      <c r="L22" s="229"/>
      <c r="M22" s="230"/>
      <c r="O22" s="114" t="s">
        <v>1037</v>
      </c>
      <c r="Q22" s="8"/>
    </row>
    <row r="24" spans="1:17">
      <c r="B24" s="52" t="s">
        <v>1038</v>
      </c>
      <c r="C24" s="48"/>
      <c r="D24" s="219"/>
      <c r="E24" s="219"/>
      <c r="F24" s="219"/>
      <c r="G24" s="219"/>
      <c r="H24" s="219"/>
      <c r="I24" s="219"/>
      <c r="J24" s="219"/>
      <c r="K24" s="219"/>
      <c r="L24" s="219"/>
      <c r="M24" s="219"/>
      <c r="N24" s="219"/>
      <c r="O24" s="219"/>
      <c r="P24" s="219"/>
    </row>
    <row r="26" spans="1:17">
      <c r="D26" s="8"/>
      <c r="F26" s="8" t="s">
        <v>1039</v>
      </c>
    </row>
    <row r="27" spans="1:17">
      <c r="A27" s="13" t="s">
        <v>99</v>
      </c>
      <c r="B27" s="13" t="s">
        <v>1004</v>
      </c>
      <c r="C27" s="13" t="s">
        <v>708</v>
      </c>
      <c r="D27" s="13" t="s">
        <v>1005</v>
      </c>
      <c r="E27" s="13" t="s">
        <v>1006</v>
      </c>
      <c r="F27" s="162" t="s">
        <v>1040</v>
      </c>
      <c r="Q27" s="13" t="str">
        <f t="shared" ref="Q27:Q76" si="7">A27</f>
        <v>Line</v>
      </c>
    </row>
    <row r="28" spans="1:17">
      <c r="A28" s="8">
        <v>200</v>
      </c>
      <c r="D28" t="s">
        <v>1041</v>
      </c>
      <c r="E28" t="s">
        <v>1042</v>
      </c>
      <c r="F28" s="228">
        <v>0</v>
      </c>
      <c r="Q28" s="8">
        <f t="shared" si="7"/>
        <v>200</v>
      </c>
    </row>
    <row r="29" spans="1:17">
      <c r="A29" s="8">
        <f t="shared" ref="A29:A76" si="8">A28+1</f>
        <v>201</v>
      </c>
      <c r="D29" t="s">
        <v>1043</v>
      </c>
      <c r="E29" t="s">
        <v>1044</v>
      </c>
      <c r="F29" s="228">
        <v>0</v>
      </c>
      <c r="Q29" s="8">
        <f t="shared" si="7"/>
        <v>201</v>
      </c>
    </row>
    <row r="30" spans="1:17">
      <c r="A30" s="8">
        <f t="shared" si="8"/>
        <v>202</v>
      </c>
      <c r="D30" t="s">
        <v>1045</v>
      </c>
      <c r="E30" t="s">
        <v>1046</v>
      </c>
      <c r="F30" s="228">
        <v>3.39</v>
      </c>
      <c r="Q30" s="8">
        <f t="shared" si="7"/>
        <v>202</v>
      </c>
    </row>
    <row r="31" spans="1:17">
      <c r="A31" s="8">
        <f t="shared" si="8"/>
        <v>203</v>
      </c>
      <c r="D31" t="s">
        <v>1047</v>
      </c>
      <c r="E31" t="s">
        <v>1048</v>
      </c>
      <c r="F31" s="228">
        <v>17.36</v>
      </c>
      <c r="Q31" s="8">
        <f t="shared" si="7"/>
        <v>203</v>
      </c>
    </row>
    <row r="32" spans="1:17">
      <c r="A32" s="8">
        <f t="shared" si="8"/>
        <v>204</v>
      </c>
      <c r="D32" t="s">
        <v>1049</v>
      </c>
      <c r="E32" t="s">
        <v>1050</v>
      </c>
      <c r="F32" s="228">
        <v>9.01</v>
      </c>
      <c r="Q32" s="8">
        <f t="shared" si="7"/>
        <v>204</v>
      </c>
    </row>
    <row r="33" spans="1:17">
      <c r="A33" s="8">
        <f t="shared" si="8"/>
        <v>205</v>
      </c>
      <c r="D33" t="s">
        <v>1051</v>
      </c>
      <c r="E33" t="s">
        <v>1052</v>
      </c>
      <c r="F33" s="228">
        <v>0</v>
      </c>
      <c r="Q33" s="8">
        <f t="shared" si="7"/>
        <v>205</v>
      </c>
    </row>
    <row r="34" spans="1:17">
      <c r="A34" s="8">
        <f t="shared" si="8"/>
        <v>206</v>
      </c>
      <c r="D34" t="s">
        <v>1053</v>
      </c>
      <c r="E34" t="s">
        <v>1054</v>
      </c>
      <c r="F34" s="228">
        <v>2.58</v>
      </c>
      <c r="Q34" s="8">
        <f t="shared" si="7"/>
        <v>206</v>
      </c>
    </row>
    <row r="35" spans="1:17">
      <c r="A35" s="8">
        <f t="shared" si="8"/>
        <v>207</v>
      </c>
      <c r="D35" t="s">
        <v>1055</v>
      </c>
      <c r="E35" t="s">
        <v>1017</v>
      </c>
      <c r="F35" s="228">
        <v>1.97</v>
      </c>
      <c r="Q35" s="8">
        <f t="shared" si="7"/>
        <v>207</v>
      </c>
    </row>
    <row r="36" spans="1:17">
      <c r="A36" s="8">
        <f t="shared" si="8"/>
        <v>208</v>
      </c>
      <c r="D36" t="s">
        <v>1056</v>
      </c>
      <c r="E36" t="s">
        <v>1057</v>
      </c>
      <c r="F36" s="228">
        <v>20</v>
      </c>
      <c r="Q36" s="8">
        <f t="shared" si="7"/>
        <v>208</v>
      </c>
    </row>
    <row r="37" spans="1:17">
      <c r="A37" s="8">
        <f t="shared" si="8"/>
        <v>209</v>
      </c>
      <c r="D37" t="s">
        <v>1058</v>
      </c>
      <c r="E37" t="s">
        <v>1059</v>
      </c>
      <c r="F37" s="228">
        <v>27.31</v>
      </c>
      <c r="Q37" s="8">
        <f t="shared" si="7"/>
        <v>209</v>
      </c>
    </row>
    <row r="38" spans="1:17">
      <c r="A38" s="8">
        <f t="shared" si="8"/>
        <v>210</v>
      </c>
      <c r="D38" t="s">
        <v>1060</v>
      </c>
      <c r="E38" t="s">
        <v>1061</v>
      </c>
      <c r="F38" s="228">
        <v>14.17</v>
      </c>
      <c r="Q38" s="8">
        <f t="shared" si="7"/>
        <v>210</v>
      </c>
    </row>
    <row r="39" spans="1:17">
      <c r="A39" s="8">
        <f t="shared" si="8"/>
        <v>211</v>
      </c>
      <c r="D39" t="s">
        <v>1062</v>
      </c>
      <c r="E39" t="s">
        <v>1063</v>
      </c>
      <c r="F39" s="228">
        <v>7.5</v>
      </c>
      <c r="Q39" s="8">
        <f t="shared" si="7"/>
        <v>211</v>
      </c>
    </row>
    <row r="40" spans="1:17">
      <c r="A40" s="8">
        <f t="shared" si="8"/>
        <v>212</v>
      </c>
      <c r="D40" t="s">
        <v>1064</v>
      </c>
      <c r="E40" t="s">
        <v>1065</v>
      </c>
      <c r="F40" s="228">
        <v>27.31</v>
      </c>
      <c r="Q40" s="8">
        <f t="shared" si="7"/>
        <v>212</v>
      </c>
    </row>
    <row r="41" spans="1:17">
      <c r="A41" s="8">
        <f t="shared" si="8"/>
        <v>213</v>
      </c>
      <c r="D41" t="s">
        <v>1066</v>
      </c>
      <c r="E41" t="s">
        <v>1067</v>
      </c>
      <c r="F41" s="228">
        <v>1.36</v>
      </c>
      <c r="Q41" s="8">
        <f t="shared" si="7"/>
        <v>213</v>
      </c>
    </row>
    <row r="42" spans="1:17">
      <c r="A42" s="8">
        <f t="shared" si="8"/>
        <v>214</v>
      </c>
      <c r="D42" t="s">
        <v>1068</v>
      </c>
      <c r="E42" t="s">
        <v>1069</v>
      </c>
      <c r="F42" s="228">
        <v>13.48</v>
      </c>
      <c r="Q42" s="8">
        <f t="shared" si="7"/>
        <v>214</v>
      </c>
    </row>
    <row r="43" spans="1:17">
      <c r="A43" s="8">
        <f t="shared" si="8"/>
        <v>215</v>
      </c>
      <c r="D43" t="s">
        <v>1070</v>
      </c>
      <c r="E43" t="s">
        <v>1071</v>
      </c>
      <c r="F43" s="228">
        <v>9.92</v>
      </c>
      <c r="Q43" s="8">
        <f t="shared" si="7"/>
        <v>215</v>
      </c>
    </row>
    <row r="44" spans="1:17">
      <c r="A44" s="8">
        <f t="shared" si="8"/>
        <v>216</v>
      </c>
      <c r="D44" t="s">
        <v>1072</v>
      </c>
      <c r="E44" t="s">
        <v>1073</v>
      </c>
      <c r="F44" s="228">
        <v>10.130000000000001</v>
      </c>
      <c r="Q44" s="8">
        <f t="shared" si="7"/>
        <v>216</v>
      </c>
    </row>
    <row r="45" spans="1:17">
      <c r="A45" s="8">
        <f t="shared" si="8"/>
        <v>217</v>
      </c>
      <c r="D45" t="s">
        <v>1074</v>
      </c>
      <c r="E45" t="s">
        <v>1075</v>
      </c>
      <c r="F45" s="228">
        <v>10.11</v>
      </c>
      <c r="Q45" s="8">
        <f t="shared" si="7"/>
        <v>217</v>
      </c>
    </row>
    <row r="46" spans="1:17">
      <c r="A46" s="8">
        <f t="shared" si="8"/>
        <v>218</v>
      </c>
      <c r="D46" t="s">
        <v>1076</v>
      </c>
      <c r="E46" t="s">
        <v>1077</v>
      </c>
      <c r="F46" s="228">
        <v>9.1</v>
      </c>
      <c r="Q46" s="8">
        <f t="shared" si="7"/>
        <v>218</v>
      </c>
    </row>
    <row r="47" spans="1:17">
      <c r="A47" s="8">
        <f t="shared" si="8"/>
        <v>219</v>
      </c>
      <c r="D47" t="s">
        <v>1078</v>
      </c>
      <c r="E47" t="s">
        <v>1079</v>
      </c>
      <c r="F47" s="228">
        <v>6.8199999999999994</v>
      </c>
      <c r="Q47" s="8">
        <f t="shared" si="7"/>
        <v>219</v>
      </c>
    </row>
    <row r="48" spans="1:17">
      <c r="A48" s="8">
        <f t="shared" si="8"/>
        <v>220</v>
      </c>
      <c r="D48" t="s">
        <v>1080</v>
      </c>
      <c r="E48" t="s">
        <v>1081</v>
      </c>
      <c r="F48" s="228">
        <v>4.1500000000000004</v>
      </c>
      <c r="Q48" s="8">
        <f t="shared" si="7"/>
        <v>220</v>
      </c>
    </row>
    <row r="49" spans="1:17">
      <c r="A49" s="8">
        <f t="shared" si="8"/>
        <v>221</v>
      </c>
      <c r="D49" t="s">
        <v>1082</v>
      </c>
      <c r="E49" t="s">
        <v>1083</v>
      </c>
      <c r="F49" s="228">
        <v>3.07</v>
      </c>
      <c r="Q49" s="8">
        <f t="shared" si="7"/>
        <v>221</v>
      </c>
    </row>
    <row r="50" spans="1:17">
      <c r="A50" s="8">
        <f t="shared" si="8"/>
        <v>222</v>
      </c>
      <c r="D50" t="s">
        <v>1084</v>
      </c>
      <c r="E50" t="s">
        <v>1085</v>
      </c>
      <c r="F50" s="228">
        <v>6.25</v>
      </c>
      <c r="Q50" s="8">
        <f t="shared" si="7"/>
        <v>222</v>
      </c>
    </row>
    <row r="51" spans="1:17">
      <c r="A51" s="8">
        <f t="shared" si="8"/>
        <v>223</v>
      </c>
      <c r="D51" t="s">
        <v>1086</v>
      </c>
      <c r="E51" t="s">
        <v>1087</v>
      </c>
      <c r="F51" s="228">
        <v>3.34</v>
      </c>
      <c r="Q51" s="8">
        <f t="shared" si="7"/>
        <v>223</v>
      </c>
    </row>
    <row r="52" spans="1:17">
      <c r="A52" s="8">
        <f t="shared" si="8"/>
        <v>224</v>
      </c>
      <c r="D52" t="s">
        <v>1088</v>
      </c>
      <c r="E52" t="s">
        <v>1089</v>
      </c>
      <c r="F52" s="228">
        <v>7.77</v>
      </c>
      <c r="Q52" s="8">
        <f t="shared" si="7"/>
        <v>224</v>
      </c>
    </row>
    <row r="53" spans="1:17">
      <c r="A53" s="8">
        <f t="shared" si="8"/>
        <v>225</v>
      </c>
      <c r="D53" t="s">
        <v>1090</v>
      </c>
      <c r="E53" t="s">
        <v>1091</v>
      </c>
      <c r="F53" s="228">
        <v>6.45</v>
      </c>
      <c r="Q53" s="8">
        <f t="shared" si="7"/>
        <v>225</v>
      </c>
    </row>
    <row r="54" spans="1:17">
      <c r="A54" s="8">
        <f t="shared" si="8"/>
        <v>226</v>
      </c>
      <c r="D54" t="s">
        <v>1092</v>
      </c>
      <c r="E54" t="s">
        <v>1093</v>
      </c>
      <c r="F54" s="228">
        <v>14.45</v>
      </c>
      <c r="Q54" s="8">
        <f t="shared" si="7"/>
        <v>226</v>
      </c>
    </row>
    <row r="55" spans="1:17">
      <c r="A55" s="8">
        <f t="shared" si="8"/>
        <v>227</v>
      </c>
      <c r="D55" t="s">
        <v>1094</v>
      </c>
      <c r="E55" t="s">
        <v>1095</v>
      </c>
      <c r="F55" s="228">
        <v>20.47</v>
      </c>
      <c r="Q55" s="8">
        <f t="shared" si="7"/>
        <v>227</v>
      </c>
    </row>
    <row r="56" spans="1:17">
      <c r="A56" s="8">
        <f t="shared" si="8"/>
        <v>228</v>
      </c>
      <c r="D56" t="s">
        <v>1096</v>
      </c>
      <c r="E56" t="s">
        <v>1097</v>
      </c>
      <c r="F56" s="228">
        <v>15.25</v>
      </c>
      <c r="Q56" s="8">
        <f t="shared" si="7"/>
        <v>228</v>
      </c>
    </row>
    <row r="57" spans="1:17">
      <c r="A57" s="8">
        <f t="shared" si="8"/>
        <v>229</v>
      </c>
      <c r="D57" t="s">
        <v>1098</v>
      </c>
      <c r="E57" t="s">
        <v>1099</v>
      </c>
      <c r="F57" s="228">
        <v>14.61</v>
      </c>
      <c r="Q57" s="8">
        <f t="shared" si="7"/>
        <v>229</v>
      </c>
    </row>
    <row r="58" spans="1:17">
      <c r="A58" s="8">
        <f t="shared" si="8"/>
        <v>230</v>
      </c>
      <c r="D58" t="s">
        <v>1100</v>
      </c>
      <c r="E58" t="s">
        <v>1101</v>
      </c>
      <c r="F58" s="228">
        <v>4.79</v>
      </c>
      <c r="Q58" s="8">
        <f t="shared" si="7"/>
        <v>230</v>
      </c>
    </row>
    <row r="59" spans="1:17">
      <c r="A59" s="8">
        <f t="shared" si="8"/>
        <v>231</v>
      </c>
      <c r="D59" t="s">
        <v>1102</v>
      </c>
      <c r="E59" t="s">
        <v>1103</v>
      </c>
      <c r="F59" s="228">
        <v>5.14</v>
      </c>
      <c r="Q59" s="8">
        <f t="shared" si="7"/>
        <v>231</v>
      </c>
    </row>
    <row r="60" spans="1:17">
      <c r="A60" s="8">
        <f t="shared" si="8"/>
        <v>232</v>
      </c>
      <c r="D60" t="s">
        <v>1104</v>
      </c>
      <c r="E60" t="s">
        <v>1105</v>
      </c>
      <c r="F60" s="228">
        <v>0.83</v>
      </c>
      <c r="Q60" s="8">
        <f t="shared" si="7"/>
        <v>232</v>
      </c>
    </row>
    <row r="61" spans="1:17">
      <c r="A61" s="8">
        <f t="shared" si="8"/>
        <v>233</v>
      </c>
      <c r="D61" t="s">
        <v>1106</v>
      </c>
      <c r="E61" t="s">
        <v>1107</v>
      </c>
      <c r="F61" s="228">
        <v>4.87</v>
      </c>
      <c r="Q61" s="8">
        <f t="shared" si="7"/>
        <v>233</v>
      </c>
    </row>
    <row r="62" spans="1:17">
      <c r="A62" s="8">
        <f t="shared" si="8"/>
        <v>234</v>
      </c>
      <c r="D62" t="s">
        <v>1108</v>
      </c>
      <c r="E62" t="s">
        <v>1109</v>
      </c>
      <c r="F62" s="228">
        <v>5.36</v>
      </c>
      <c r="Q62" s="8">
        <f t="shared" si="7"/>
        <v>234</v>
      </c>
    </row>
    <row r="63" spans="1:17">
      <c r="A63" s="8">
        <f t="shared" si="8"/>
        <v>235</v>
      </c>
      <c r="D63" t="s">
        <v>1110</v>
      </c>
      <c r="E63" t="s">
        <v>1111</v>
      </c>
      <c r="F63" s="228">
        <v>0.21</v>
      </c>
      <c r="Q63" s="8">
        <f t="shared" si="7"/>
        <v>235</v>
      </c>
    </row>
    <row r="64" spans="1:17">
      <c r="A64" s="8">
        <f t="shared" si="8"/>
        <v>236</v>
      </c>
      <c r="D64" t="s">
        <v>1112</v>
      </c>
      <c r="E64" t="s">
        <v>1113</v>
      </c>
      <c r="F64" s="228">
        <v>0</v>
      </c>
      <c r="Q64" s="8">
        <f t="shared" si="7"/>
        <v>236</v>
      </c>
    </row>
    <row r="65" spans="1:17">
      <c r="A65" s="8">
        <f t="shared" si="8"/>
        <v>237</v>
      </c>
      <c r="D65" t="s">
        <v>1114</v>
      </c>
      <c r="E65" t="s">
        <v>1054</v>
      </c>
      <c r="F65" s="228">
        <v>2.99</v>
      </c>
      <c r="Q65" s="8">
        <f t="shared" si="7"/>
        <v>237</v>
      </c>
    </row>
    <row r="66" spans="1:17">
      <c r="A66" s="8">
        <f t="shared" si="8"/>
        <v>238</v>
      </c>
      <c r="D66" t="s">
        <v>1115</v>
      </c>
      <c r="E66" t="s">
        <v>1017</v>
      </c>
      <c r="F66" s="228">
        <v>1.58</v>
      </c>
      <c r="Q66" s="8">
        <f t="shared" si="7"/>
        <v>238</v>
      </c>
    </row>
    <row r="67" spans="1:17">
      <c r="A67" s="8">
        <f t="shared" si="8"/>
        <v>239</v>
      </c>
      <c r="D67" t="s">
        <v>1116</v>
      </c>
      <c r="E67" t="s">
        <v>1063</v>
      </c>
      <c r="F67" s="228">
        <v>5.93</v>
      </c>
      <c r="Q67" s="8">
        <f t="shared" si="7"/>
        <v>239</v>
      </c>
    </row>
    <row r="68" spans="1:17">
      <c r="A68" s="8">
        <f t="shared" si="8"/>
        <v>240</v>
      </c>
      <c r="D68" t="s">
        <v>1117</v>
      </c>
      <c r="E68" t="s">
        <v>1118</v>
      </c>
      <c r="F68" s="228">
        <v>3.94</v>
      </c>
      <c r="Q68" s="8">
        <f t="shared" si="7"/>
        <v>240</v>
      </c>
    </row>
    <row r="69" spans="1:17">
      <c r="A69" s="8">
        <f t="shared" si="8"/>
        <v>241</v>
      </c>
      <c r="D69" t="s">
        <v>1119</v>
      </c>
      <c r="E69" t="s">
        <v>1089</v>
      </c>
      <c r="F69" s="228">
        <v>4.74</v>
      </c>
      <c r="Q69" s="8">
        <f t="shared" si="7"/>
        <v>241</v>
      </c>
    </row>
    <row r="70" spans="1:17">
      <c r="A70" s="8">
        <f t="shared" si="8"/>
        <v>242</v>
      </c>
      <c r="D70" t="s">
        <v>1120</v>
      </c>
      <c r="E70" t="s">
        <v>1091</v>
      </c>
      <c r="F70" s="228">
        <v>7.89</v>
      </c>
      <c r="Q70" s="8">
        <f t="shared" si="7"/>
        <v>242</v>
      </c>
    </row>
    <row r="71" spans="1:17">
      <c r="A71" s="8">
        <f t="shared" si="8"/>
        <v>243</v>
      </c>
      <c r="D71" t="s">
        <v>1121</v>
      </c>
      <c r="E71" t="s">
        <v>1122</v>
      </c>
      <c r="F71" s="228">
        <v>6.92</v>
      </c>
      <c r="Q71" s="8">
        <f t="shared" si="7"/>
        <v>243</v>
      </c>
    </row>
    <row r="72" spans="1:17">
      <c r="A72" s="8">
        <f t="shared" si="8"/>
        <v>244</v>
      </c>
      <c r="D72" t="s">
        <v>1123</v>
      </c>
      <c r="E72" t="s">
        <v>1107</v>
      </c>
      <c r="F72" s="228">
        <v>4.96</v>
      </c>
      <c r="Q72" s="8">
        <f t="shared" si="7"/>
        <v>244</v>
      </c>
    </row>
    <row r="73" spans="1:17">
      <c r="A73" s="8">
        <f t="shared" si="8"/>
        <v>245</v>
      </c>
      <c r="D73" t="s">
        <v>1124</v>
      </c>
      <c r="E73" t="s">
        <v>1109</v>
      </c>
      <c r="F73" s="228">
        <v>6.8499999999999988</v>
      </c>
      <c r="Q73" s="8">
        <f t="shared" si="7"/>
        <v>245</v>
      </c>
    </row>
    <row r="74" spans="1:17">
      <c r="A74" s="8">
        <f t="shared" si="8"/>
        <v>246</v>
      </c>
      <c r="D74" t="s">
        <v>1125</v>
      </c>
      <c r="E74" t="s">
        <v>1126</v>
      </c>
      <c r="F74" s="228">
        <v>2.4</v>
      </c>
      <c r="Q74" s="8">
        <f t="shared" si="7"/>
        <v>246</v>
      </c>
    </row>
    <row r="75" spans="1:17">
      <c r="A75" s="8">
        <f t="shared" si="8"/>
        <v>247</v>
      </c>
      <c r="D75" t="s">
        <v>1127</v>
      </c>
      <c r="E75" t="s">
        <v>1128</v>
      </c>
      <c r="F75" s="228">
        <v>0</v>
      </c>
      <c r="Q75" s="8">
        <f t="shared" si="7"/>
        <v>247</v>
      </c>
    </row>
    <row r="76" spans="1:17">
      <c r="A76" s="8">
        <f t="shared" si="8"/>
        <v>248</v>
      </c>
      <c r="D76" t="s">
        <v>1129</v>
      </c>
      <c r="E76" t="s">
        <v>1130</v>
      </c>
      <c r="F76" s="228">
        <v>20.420000000000002</v>
      </c>
      <c r="Q76" s="8">
        <f t="shared" si="7"/>
        <v>248</v>
      </c>
    </row>
    <row r="78" spans="1:17">
      <c r="B78" s="349" t="s">
        <v>304</v>
      </c>
      <c r="C78"/>
    </row>
    <row r="79" spans="1:17">
      <c r="B79" s="6" t="s">
        <v>1131</v>
      </c>
      <c r="C79"/>
    </row>
    <row r="80" spans="1:17">
      <c r="B80" s="17" t="s">
        <v>1132</v>
      </c>
      <c r="C80" s="17"/>
      <c r="D80" s="17"/>
      <c r="E80" s="17"/>
      <c r="F80" s="17"/>
      <c r="G80" s="17"/>
      <c r="H80" s="17"/>
      <c r="I80" s="17"/>
      <c r="J80" s="17"/>
      <c r="K80" s="17"/>
      <c r="L80" s="17"/>
      <c r="M80" s="17"/>
      <c r="N80" s="17"/>
      <c r="O80" s="17"/>
      <c r="P80" s="17"/>
    </row>
    <row r="81" spans="2:16" ht="15" customHeight="1">
      <c r="B81" s="17" t="s">
        <v>1133</v>
      </c>
      <c r="C81" s="17"/>
      <c r="D81" s="17"/>
      <c r="E81" s="17"/>
      <c r="F81" s="17"/>
      <c r="G81" s="17"/>
      <c r="H81" s="17"/>
      <c r="I81" s="17"/>
      <c r="J81" s="17"/>
      <c r="K81" s="17"/>
      <c r="L81" s="17"/>
      <c r="M81" s="17"/>
      <c r="N81" s="17"/>
      <c r="O81" s="17"/>
      <c r="P81" s="17"/>
    </row>
    <row r="82" spans="2:16">
      <c r="B82" s="17" t="s">
        <v>1134</v>
      </c>
      <c r="C82" s="17"/>
      <c r="D82" s="17"/>
      <c r="E82" s="17"/>
      <c r="F82" s="17"/>
      <c r="G82" s="17"/>
      <c r="H82" s="17"/>
      <c r="I82" s="17"/>
      <c r="J82" s="17"/>
      <c r="K82" s="17"/>
      <c r="L82" s="17"/>
      <c r="M82" s="17"/>
      <c r="N82" s="17"/>
      <c r="O82" s="17"/>
      <c r="P82" s="17"/>
    </row>
  </sheetData>
  <mergeCells count="2">
    <mergeCell ref="G8:H8"/>
    <mergeCell ref="M8:N8"/>
  </mergeCells>
  <printOptions horizontalCentered="1"/>
  <pageMargins left="1" right="1" top="1" bottom="1" header="0.5" footer="0.5"/>
  <pageSetup scale="4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74"/>
  <sheetViews>
    <sheetView tabSelected="1" view="pageBreakPreview" zoomScaleNormal="85" zoomScaleSheetLayoutView="100" zoomScalePageLayoutView="55" workbookViewId="0">
      <selection activeCell="E21" sqref="E21"/>
    </sheetView>
  </sheetViews>
  <sheetFormatPr defaultColWidth="9.1796875" defaultRowHeight="14.5"/>
  <cols>
    <col min="1" max="1" width="5.453125" customWidth="1"/>
    <col min="2" max="2" width="27.453125" customWidth="1"/>
    <col min="3" max="3" width="18.81640625" customWidth="1"/>
    <col min="4" max="4" width="21.81640625"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0">
      <c r="B1" s="200" t="s">
        <v>38</v>
      </c>
      <c r="I1" s="15" t="str">
        <f>CONCATENATE("Prior Year: ",'1-BaseTRR'!$G$2)</f>
        <v>Prior Year: 2020</v>
      </c>
    </row>
    <row r="2" spans="1:10">
      <c r="B2" s="113" t="s">
        <v>130</v>
      </c>
      <c r="C2" s="49"/>
      <c r="I2" s="15"/>
    </row>
    <row r="4" spans="1:10">
      <c r="B4" s="136" t="s">
        <v>1135</v>
      </c>
      <c r="C4" s="219"/>
      <c r="D4" s="219"/>
      <c r="E4" s="219"/>
      <c r="F4" s="219"/>
      <c r="G4" s="219"/>
      <c r="H4" s="219"/>
      <c r="I4" s="219"/>
    </row>
    <row r="5" spans="1:10">
      <c r="B5" s="17" t="s">
        <v>1136</v>
      </c>
      <c r="D5" s="237"/>
      <c r="E5" s="238"/>
    </row>
    <row r="6" spans="1:10">
      <c r="D6" s="237"/>
      <c r="E6" s="238"/>
    </row>
    <row r="7" spans="1:10">
      <c r="D7" s="147" t="s">
        <v>413</v>
      </c>
      <c r="E7" s="147" t="s">
        <v>414</v>
      </c>
      <c r="F7" s="147" t="s">
        <v>415</v>
      </c>
      <c r="G7" s="147" t="s">
        <v>416</v>
      </c>
      <c r="H7" s="147"/>
    </row>
    <row r="8" spans="1:10" ht="29">
      <c r="B8" s="239"/>
      <c r="C8" s="149"/>
      <c r="D8" s="188" t="s">
        <v>110</v>
      </c>
      <c r="E8" s="240" t="s">
        <v>202</v>
      </c>
      <c r="F8" s="239" t="s">
        <v>1137</v>
      </c>
      <c r="G8" s="239" t="s">
        <v>1138</v>
      </c>
    </row>
    <row r="9" spans="1:10">
      <c r="D9" s="241"/>
      <c r="E9" s="238"/>
      <c r="F9" s="242"/>
      <c r="G9" s="242"/>
    </row>
    <row r="10" spans="1:10">
      <c r="D10" s="243" t="s">
        <v>1139</v>
      </c>
      <c r="E10" s="243" t="s">
        <v>509</v>
      </c>
      <c r="F10" s="242"/>
      <c r="G10" s="242"/>
    </row>
    <row r="11" spans="1:10">
      <c r="B11" s="244"/>
      <c r="C11" s="245"/>
      <c r="D11" s="243" t="s">
        <v>1140</v>
      </c>
      <c r="E11" s="243" t="s">
        <v>787</v>
      </c>
      <c r="F11" s="243" t="s">
        <v>806</v>
      </c>
      <c r="G11" s="243" t="s">
        <v>807</v>
      </c>
    </row>
    <row r="12" spans="1:10">
      <c r="A12" s="246" t="s">
        <v>1141</v>
      </c>
      <c r="B12" s="247" t="s">
        <v>426</v>
      </c>
      <c r="C12" s="247" t="s">
        <v>462</v>
      </c>
      <c r="D12" s="247" t="s">
        <v>1142</v>
      </c>
      <c r="E12" s="247" t="s">
        <v>1143</v>
      </c>
      <c r="F12" s="247" t="s">
        <v>830</v>
      </c>
      <c r="G12" s="247" t="s">
        <v>830</v>
      </c>
      <c r="J12" s="246" t="str">
        <f t="shared" ref="J12:J26" si="0">A12</f>
        <v xml:space="preserve">Line </v>
      </c>
    </row>
    <row r="13" spans="1:10">
      <c r="A13" s="379">
        <v>100</v>
      </c>
      <c r="B13" s="245" t="s">
        <v>470</v>
      </c>
      <c r="C13" s="248">
        <f>'1-BaseTRR'!$G$2-1</f>
        <v>2019</v>
      </c>
      <c r="D13" s="524">
        <v>549615749</v>
      </c>
      <c r="E13" s="524">
        <v>87359221</v>
      </c>
      <c r="F13" s="525">
        <f>+E13*'24-Allocators'!$C$43</f>
        <v>37860928.241408929</v>
      </c>
      <c r="G13" s="525">
        <f>+E13*'24-Allocators'!$C$44</f>
        <v>49498292.758591101</v>
      </c>
      <c r="J13" s="379">
        <f t="shared" si="0"/>
        <v>100</v>
      </c>
    </row>
    <row r="14" spans="1:10">
      <c r="A14" s="379">
        <f t="shared" ref="A14:A26" si="1">A13+1</f>
        <v>101</v>
      </c>
      <c r="B14" s="245" t="s">
        <v>472</v>
      </c>
      <c r="C14" s="248">
        <f>'1-BaseTRR'!$G$2</f>
        <v>2020</v>
      </c>
      <c r="D14" s="344">
        <v>564668228.68560791</v>
      </c>
      <c r="E14" s="344">
        <v>78718982.50332126</v>
      </c>
      <c r="F14" s="525">
        <f>+E14*'24-Allocators'!$C$43</f>
        <v>34116304.07962282</v>
      </c>
      <c r="G14" s="525">
        <f>+E14*'24-Allocators'!$C$44</f>
        <v>44602678.42369847</v>
      </c>
      <c r="J14" s="379">
        <f t="shared" si="0"/>
        <v>101</v>
      </c>
    </row>
    <row r="15" spans="1:10">
      <c r="A15" s="379">
        <f t="shared" si="1"/>
        <v>102</v>
      </c>
      <c r="B15" s="245" t="s">
        <v>473</v>
      </c>
      <c r="C15" s="248">
        <f>'1-BaseTRR'!$G$2</f>
        <v>2020</v>
      </c>
      <c r="D15" s="344">
        <v>564393893.96502006</v>
      </c>
      <c r="E15" s="344">
        <v>79475735.502495319</v>
      </c>
      <c r="F15" s="525">
        <f>+E15*'24-Allocators'!$C$43</f>
        <v>34444275.994553238</v>
      </c>
      <c r="G15" s="525">
        <f>+E15*'24-Allocators'!$C$44</f>
        <v>45031459.507942103</v>
      </c>
      <c r="J15" s="379">
        <f t="shared" si="0"/>
        <v>102</v>
      </c>
    </row>
    <row r="16" spans="1:10">
      <c r="A16" s="379">
        <f t="shared" si="1"/>
        <v>103</v>
      </c>
      <c r="B16" s="245" t="s">
        <v>474</v>
      </c>
      <c r="C16" s="248">
        <f>'1-BaseTRR'!$G$2</f>
        <v>2020</v>
      </c>
      <c r="D16" s="344">
        <v>566652817.39524794</v>
      </c>
      <c r="E16" s="344">
        <v>78401672.886777937</v>
      </c>
      <c r="F16" s="525">
        <f>+E16*'24-Allocators'!$C$43</f>
        <v>33978784.119111083</v>
      </c>
      <c r="G16" s="525">
        <f>+E16*'24-Allocators'!$C$44</f>
        <v>44422888.767666876</v>
      </c>
      <c r="J16" s="379">
        <f t="shared" si="0"/>
        <v>103</v>
      </c>
    </row>
    <row r="17" spans="1:10">
      <c r="A17" s="379">
        <f t="shared" si="1"/>
        <v>104</v>
      </c>
      <c r="B17" s="245" t="s">
        <v>475</v>
      </c>
      <c r="C17" s="248">
        <f>'1-BaseTRR'!$G$2</f>
        <v>2020</v>
      </c>
      <c r="D17" s="344">
        <v>566917220.48542905</v>
      </c>
      <c r="E17" s="344">
        <v>74897874.00287661</v>
      </c>
      <c r="F17" s="525">
        <f>+E17*'24-Allocators'!$C$43</f>
        <v>32460260.068676651</v>
      </c>
      <c r="G17" s="525">
        <f>+E17*'24-Allocators'!$C$44</f>
        <v>42437613.934199981</v>
      </c>
      <c r="J17" s="379">
        <f t="shared" si="0"/>
        <v>104</v>
      </c>
    </row>
    <row r="18" spans="1:10">
      <c r="A18" s="379">
        <f t="shared" si="1"/>
        <v>105</v>
      </c>
      <c r="B18" s="245" t="s">
        <v>437</v>
      </c>
      <c r="C18" s="248">
        <f>'1-BaseTRR'!$G$2</f>
        <v>2020</v>
      </c>
      <c r="D18" s="344">
        <v>555701459.17500103</v>
      </c>
      <c r="E18" s="344">
        <v>60467806.571851268</v>
      </c>
      <c r="F18" s="525">
        <f>+E18*'24-Allocators'!$C$43</f>
        <v>26206361.03808957</v>
      </c>
      <c r="G18" s="525">
        <f>+E18*'24-Allocators'!$C$44</f>
        <v>34261445.533761717</v>
      </c>
      <c r="J18" s="379">
        <f t="shared" si="0"/>
        <v>105</v>
      </c>
    </row>
    <row r="19" spans="1:10">
      <c r="A19" s="379">
        <f t="shared" si="1"/>
        <v>106</v>
      </c>
      <c r="B19" s="245" t="s">
        <v>592</v>
      </c>
      <c r="C19" s="248">
        <f>'1-BaseTRR'!$G$2</f>
        <v>2020</v>
      </c>
      <c r="D19" s="344">
        <v>564323192.72528601</v>
      </c>
      <c r="E19" s="344">
        <v>66926591.500433907</v>
      </c>
      <c r="F19" s="525">
        <f>+E19*'24-Allocators'!$C$43</f>
        <v>29005557.160817824</v>
      </c>
      <c r="G19" s="525">
        <f>+E19*'24-Allocators'!$C$44</f>
        <v>37921034.339616105</v>
      </c>
      <c r="J19" s="379">
        <f t="shared" si="0"/>
        <v>106</v>
      </c>
    </row>
    <row r="20" spans="1:10">
      <c r="A20" s="379">
        <f t="shared" si="1"/>
        <v>107</v>
      </c>
      <c r="B20" s="245" t="s">
        <v>477</v>
      </c>
      <c r="C20" s="248">
        <f>'1-BaseTRR'!$G$2</f>
        <v>2020</v>
      </c>
      <c r="D20" s="344">
        <v>561083149.3351109</v>
      </c>
      <c r="E20" s="344">
        <v>67783824.127780944</v>
      </c>
      <c r="F20" s="525">
        <f>+E20*'24-Allocators'!$C$43</f>
        <v>29377076.304631855</v>
      </c>
      <c r="G20" s="525">
        <f>+E20*'24-Allocators'!$C$44</f>
        <v>38406747.823149107</v>
      </c>
      <c r="J20" s="379">
        <f t="shared" si="0"/>
        <v>107</v>
      </c>
    </row>
    <row r="21" spans="1:10">
      <c r="A21" s="379">
        <f t="shared" si="1"/>
        <v>108</v>
      </c>
      <c r="B21" s="245" t="s">
        <v>478</v>
      </c>
      <c r="C21" s="248">
        <f>'1-BaseTRR'!$G$2</f>
        <v>2020</v>
      </c>
      <c r="D21" s="344">
        <v>555183701.17512095</v>
      </c>
      <c r="E21" s="344">
        <v>67503514.779955834</v>
      </c>
      <c r="F21" s="525">
        <f>+E21*'24-Allocators'!$C$43</f>
        <v>29255592.024187062</v>
      </c>
      <c r="G21" s="525">
        <f>+E21*'24-Allocators'!$C$44</f>
        <v>38247922.755768791</v>
      </c>
      <c r="J21" s="379">
        <f t="shared" si="0"/>
        <v>108</v>
      </c>
    </row>
    <row r="22" spans="1:10">
      <c r="A22" s="379">
        <f t="shared" si="1"/>
        <v>109</v>
      </c>
      <c r="B22" s="245" t="s">
        <v>480</v>
      </c>
      <c r="C22" s="248">
        <f>'1-BaseTRR'!$G$2</f>
        <v>2020</v>
      </c>
      <c r="D22" s="344">
        <v>551570085.23538303</v>
      </c>
      <c r="E22" s="344">
        <v>68500180.812939405</v>
      </c>
      <c r="F22" s="525">
        <f>+E22*'24-Allocators'!$C$43</f>
        <v>29687540.715160862</v>
      </c>
      <c r="G22" s="525">
        <f>+E22*'24-Allocators'!$C$44</f>
        <v>38812640.097778566</v>
      </c>
      <c r="J22" s="379">
        <f t="shared" si="0"/>
        <v>109</v>
      </c>
    </row>
    <row r="23" spans="1:10">
      <c r="A23" s="379">
        <f t="shared" si="1"/>
        <v>110</v>
      </c>
      <c r="B23" s="245" t="s">
        <v>481</v>
      </c>
      <c r="C23" s="248">
        <f>'1-BaseTRR'!$G$2</f>
        <v>2020</v>
      </c>
      <c r="D23" s="344">
        <v>558257277.19547093</v>
      </c>
      <c r="E23" s="344">
        <v>70785799.503186703</v>
      </c>
      <c r="F23" s="525">
        <f>+E23*'24-Allocators'!$C$43</f>
        <v>30678113.252645783</v>
      </c>
      <c r="G23" s="525">
        <f>+E23*'24-Allocators'!$C$44</f>
        <v>40107686.250540942</v>
      </c>
      <c r="J23" s="379">
        <f t="shared" si="0"/>
        <v>110</v>
      </c>
    </row>
    <row r="24" spans="1:10">
      <c r="A24" s="379">
        <f t="shared" si="1"/>
        <v>111</v>
      </c>
      <c r="B24" s="245" t="s">
        <v>482</v>
      </c>
      <c r="C24" s="248">
        <f>'1-BaseTRR'!$G$2</f>
        <v>2020</v>
      </c>
      <c r="D24" s="606">
        <v>573163479.69510508</v>
      </c>
      <c r="E24" s="606">
        <v>78844906.271885768</v>
      </c>
      <c r="F24" s="525">
        <f>+E24*'24-Allocators'!$C$43</f>
        <v>34170878.636388943</v>
      </c>
      <c r="G24" s="525">
        <f>+E24*'24-Allocators'!$C$44</f>
        <v>44674027.635496855</v>
      </c>
      <c r="J24" s="379">
        <f t="shared" si="0"/>
        <v>111</v>
      </c>
    </row>
    <row r="25" spans="1:10">
      <c r="A25" s="379">
        <f t="shared" si="1"/>
        <v>112</v>
      </c>
      <c r="B25" s="249" t="s">
        <v>470</v>
      </c>
      <c r="C25" s="250">
        <f>'1-BaseTRR'!$G$2</f>
        <v>2020</v>
      </c>
      <c r="D25" s="526">
        <v>533278843</v>
      </c>
      <c r="E25" s="526">
        <v>81295878.693463787</v>
      </c>
      <c r="F25" s="527">
        <f>+E25*'24-Allocators'!$C$43</f>
        <v>35233114.424583957</v>
      </c>
      <c r="G25" s="527">
        <f>+E25*'24-Allocators'!$C$44</f>
        <v>46062764.268879861</v>
      </c>
      <c r="J25" s="379">
        <f t="shared" si="0"/>
        <v>112</v>
      </c>
    </row>
    <row r="26" spans="1:10">
      <c r="A26" s="379">
        <f t="shared" si="1"/>
        <v>113</v>
      </c>
      <c r="B26" s="251" t="s">
        <v>763</v>
      </c>
      <c r="C26" s="251"/>
      <c r="D26" s="345">
        <f>SUM(D13:D25)/13</f>
        <v>558831469.0052141</v>
      </c>
      <c r="E26" s="583">
        <f t="shared" ref="E26:G26" si="2">SUM(E13:E25)/13</f>
        <v>73920152.935151443</v>
      </c>
      <c r="F26" s="583">
        <f t="shared" si="2"/>
        <v>32036522.00460605</v>
      </c>
      <c r="G26" s="583">
        <f t="shared" si="2"/>
        <v>41883630.930545419</v>
      </c>
      <c r="J26" s="379">
        <f t="shared" si="0"/>
        <v>113</v>
      </c>
    </row>
    <row r="27" spans="1:10">
      <c r="C27" s="17"/>
    </row>
    <row r="28" spans="1:10">
      <c r="C28" s="17"/>
    </row>
    <row r="29" spans="1:10">
      <c r="B29" s="136" t="s">
        <v>1144</v>
      </c>
      <c r="C29" s="219"/>
      <c r="D29" s="219"/>
      <c r="E29" s="219"/>
      <c r="F29" s="219"/>
      <c r="G29" s="219"/>
      <c r="H29" s="219"/>
      <c r="I29" s="219"/>
    </row>
    <row r="30" spans="1:10" ht="15" customHeight="1">
      <c r="B30" s="817" t="s">
        <v>1145</v>
      </c>
      <c r="C30" s="817"/>
      <c r="D30" s="817"/>
      <c r="E30" s="817"/>
      <c r="F30" s="817"/>
      <c r="G30" s="817"/>
      <c r="H30" s="817"/>
      <c r="I30" s="817"/>
      <c r="J30" s="252"/>
    </row>
    <row r="31" spans="1:10">
      <c r="B31" s="817"/>
      <c r="C31" s="817"/>
      <c r="D31" s="817"/>
      <c r="E31" s="817"/>
      <c r="F31" s="817"/>
      <c r="G31" s="817"/>
      <c r="H31" s="817"/>
      <c r="I31" s="817"/>
      <c r="J31" s="252"/>
    </row>
    <row r="32" spans="1:10">
      <c r="B32" s="252"/>
      <c r="C32" s="252"/>
      <c r="D32" s="252"/>
      <c r="E32" s="252"/>
      <c r="F32" s="252"/>
      <c r="G32" s="818"/>
      <c r="H32" s="818"/>
      <c r="I32" s="818"/>
    </row>
    <row r="33" spans="1:18">
      <c r="B33" s="147" t="s">
        <v>413</v>
      </c>
      <c r="C33" s="147" t="s">
        <v>414</v>
      </c>
      <c r="D33" s="147" t="s">
        <v>415</v>
      </c>
      <c r="E33" s="147" t="s">
        <v>416</v>
      </c>
      <c r="F33" s="147" t="s">
        <v>417</v>
      </c>
      <c r="G33" s="147" t="s">
        <v>418</v>
      </c>
      <c r="H33" s="147" t="s">
        <v>419</v>
      </c>
      <c r="I33" s="147" t="s">
        <v>420</v>
      </c>
      <c r="J33" s="147"/>
    </row>
    <row r="34" spans="1:18">
      <c r="B34" s="133" t="s">
        <v>1146</v>
      </c>
      <c r="C34" s="147"/>
      <c r="D34" s="253" t="s">
        <v>1147</v>
      </c>
      <c r="E34" s="133" t="s">
        <v>249</v>
      </c>
      <c r="F34" s="133" t="s">
        <v>1148</v>
      </c>
      <c r="G34" s="133" t="s">
        <v>285</v>
      </c>
      <c r="H34" s="133" t="s">
        <v>452</v>
      </c>
      <c r="I34" s="133" t="s">
        <v>453</v>
      </c>
    </row>
    <row r="35" spans="1:18" ht="15" customHeight="1">
      <c r="E35" s="254" t="s">
        <v>1149</v>
      </c>
      <c r="G35" s="819" t="s">
        <v>1150</v>
      </c>
      <c r="H35" s="819"/>
      <c r="I35" s="819"/>
    </row>
    <row r="36" spans="1:18" ht="27.75" customHeight="1">
      <c r="A36" s="246" t="s">
        <v>99</v>
      </c>
      <c r="B36" s="246" t="s">
        <v>426</v>
      </c>
      <c r="C36" s="246" t="s">
        <v>462</v>
      </c>
      <c r="D36" s="246" t="s">
        <v>1151</v>
      </c>
      <c r="E36" s="246" t="s">
        <v>1152</v>
      </c>
      <c r="F36" s="246" t="s">
        <v>1153</v>
      </c>
      <c r="G36" s="246" t="s">
        <v>1154</v>
      </c>
      <c r="H36" s="246" t="s">
        <v>1155</v>
      </c>
      <c r="I36" s="246" t="s">
        <v>1156</v>
      </c>
      <c r="J36" s="255" t="str">
        <f t="shared" ref="J36:J49" si="3">A36</f>
        <v>Line</v>
      </c>
    </row>
    <row r="37" spans="1:18">
      <c r="A37" s="379">
        <v>200</v>
      </c>
      <c r="B37" s="245" t="s">
        <v>470</v>
      </c>
      <c r="C37" s="248">
        <f>'1-BaseTRR'!$G$2-1</f>
        <v>2019</v>
      </c>
      <c r="D37" s="344">
        <v>410148516.49999994</v>
      </c>
      <c r="E37" s="344">
        <v>34219282.38000001</v>
      </c>
      <c r="F37" s="30">
        <f>+D37-E37</f>
        <v>375929234.11999995</v>
      </c>
      <c r="G37" s="603">
        <v>20245779.18</v>
      </c>
      <c r="H37" s="603">
        <v>194380031.34999996</v>
      </c>
      <c r="I37" s="603">
        <v>161303423.58999997</v>
      </c>
      <c r="J37" s="379">
        <f t="shared" si="3"/>
        <v>200</v>
      </c>
      <c r="L37" s="256"/>
      <c r="M37" s="256"/>
      <c r="N37" s="256"/>
      <c r="O37" s="256"/>
      <c r="P37" s="257"/>
      <c r="Q37" s="258"/>
      <c r="R37" s="258"/>
    </row>
    <row r="38" spans="1:18">
      <c r="A38" s="379">
        <f t="shared" ref="A38:A49" si="4">A37+1</f>
        <v>201</v>
      </c>
      <c r="B38" s="245" t="s">
        <v>472</v>
      </c>
      <c r="C38" s="248">
        <f>'1-BaseTRR'!$G$2</f>
        <v>2020</v>
      </c>
      <c r="D38" s="344">
        <v>404554091.59000003</v>
      </c>
      <c r="E38" s="344">
        <v>35917356.820000008</v>
      </c>
      <c r="F38" s="30">
        <f>+D38-E38</f>
        <v>368636734.77000004</v>
      </c>
      <c r="G38" s="603">
        <v>18040013.520000003</v>
      </c>
      <c r="H38" s="603">
        <v>177281323.5</v>
      </c>
      <c r="I38" s="603">
        <v>173315397.74999997</v>
      </c>
      <c r="J38" s="379">
        <f t="shared" si="3"/>
        <v>201</v>
      </c>
      <c r="L38" s="256"/>
      <c r="M38" s="256"/>
      <c r="N38" s="256"/>
      <c r="O38" s="256"/>
      <c r="P38" s="257"/>
      <c r="Q38" s="258"/>
      <c r="R38" s="258"/>
    </row>
    <row r="39" spans="1:18">
      <c r="A39" s="379">
        <f t="shared" si="4"/>
        <v>202</v>
      </c>
      <c r="B39" s="245" t="s">
        <v>473</v>
      </c>
      <c r="C39" s="248">
        <f>'1-BaseTRR'!$G$2</f>
        <v>2020</v>
      </c>
      <c r="D39" s="344">
        <v>402738065.81</v>
      </c>
      <c r="E39" s="344">
        <v>35591831.530000009</v>
      </c>
      <c r="F39" s="30">
        <f>+D39-E39</f>
        <v>367146234.27999997</v>
      </c>
      <c r="G39" s="603">
        <v>15876771</v>
      </c>
      <c r="H39" s="603">
        <v>160182615.65000001</v>
      </c>
      <c r="I39" s="603">
        <v>191086847.62999997</v>
      </c>
      <c r="J39" s="379">
        <f t="shared" si="3"/>
        <v>202</v>
      </c>
      <c r="L39" s="256"/>
      <c r="M39" s="256"/>
      <c r="N39" s="256"/>
      <c r="O39" s="256"/>
      <c r="P39" s="257"/>
      <c r="Q39" s="258"/>
      <c r="R39" s="258"/>
    </row>
    <row r="40" spans="1:18">
      <c r="A40" s="379">
        <f t="shared" si="4"/>
        <v>203</v>
      </c>
      <c r="B40" s="245" t="s">
        <v>474</v>
      </c>
      <c r="C40" s="248">
        <f>'1-BaseTRR'!$G$2</f>
        <v>2020</v>
      </c>
      <c r="D40" s="344">
        <v>382915474.99666667</v>
      </c>
      <c r="E40" s="344">
        <v>37146367.370000012</v>
      </c>
      <c r="F40" s="30">
        <f t="shared" ref="F40:F49" si="5">+D40-E40</f>
        <v>345769107.62666667</v>
      </c>
      <c r="G40" s="603">
        <v>14625791.780000001</v>
      </c>
      <c r="H40" s="603">
        <v>143083907.80000001</v>
      </c>
      <c r="I40" s="603">
        <v>188059408.04666665</v>
      </c>
      <c r="J40" s="379">
        <f t="shared" si="3"/>
        <v>203</v>
      </c>
      <c r="L40" s="256"/>
      <c r="M40" s="256"/>
      <c r="N40" s="256"/>
      <c r="O40" s="256"/>
      <c r="P40" s="257"/>
      <c r="Q40" s="258"/>
      <c r="R40" s="258"/>
    </row>
    <row r="41" spans="1:18">
      <c r="A41" s="379">
        <f t="shared" si="4"/>
        <v>204</v>
      </c>
      <c r="B41" s="245" t="s">
        <v>475</v>
      </c>
      <c r="C41" s="248">
        <f>'1-BaseTRR'!$G$2</f>
        <v>2020</v>
      </c>
      <c r="D41" s="344">
        <v>443158252.59000003</v>
      </c>
      <c r="E41" s="344">
        <v>36765777.360000014</v>
      </c>
      <c r="F41" s="30">
        <f t="shared" si="5"/>
        <v>406392475.23000002</v>
      </c>
      <c r="G41" s="603">
        <v>13836362.880000001</v>
      </c>
      <c r="H41" s="603">
        <v>126770554.41</v>
      </c>
      <c r="I41" s="603">
        <v>265785557.93999994</v>
      </c>
      <c r="J41" s="379">
        <f t="shared" si="3"/>
        <v>204</v>
      </c>
      <c r="L41" s="256"/>
      <c r="M41" s="256"/>
      <c r="N41" s="256"/>
      <c r="O41" s="256"/>
      <c r="P41" s="257"/>
      <c r="Q41" s="258"/>
      <c r="R41" s="258"/>
    </row>
    <row r="42" spans="1:18">
      <c r="A42" s="379">
        <f t="shared" si="4"/>
        <v>205</v>
      </c>
      <c r="B42" s="245" t="s">
        <v>437</v>
      </c>
      <c r="C42" s="248">
        <f>'1-BaseTRR'!$G$2</f>
        <v>2020</v>
      </c>
      <c r="D42" s="344">
        <v>388999155.31999999</v>
      </c>
      <c r="E42" s="344">
        <v>36385187.350000009</v>
      </c>
      <c r="F42" s="30">
        <f t="shared" si="5"/>
        <v>352613967.96999997</v>
      </c>
      <c r="G42" s="603">
        <v>16120411.25</v>
      </c>
      <c r="H42" s="603">
        <v>109600450.40000001</v>
      </c>
      <c r="I42" s="603">
        <v>226893106.31999993</v>
      </c>
      <c r="J42" s="379">
        <f t="shared" si="3"/>
        <v>205</v>
      </c>
      <c r="L42" s="256"/>
      <c r="M42" s="256"/>
      <c r="N42" s="256"/>
      <c r="O42" s="256"/>
      <c r="P42" s="257"/>
      <c r="Q42" s="258"/>
      <c r="R42" s="258"/>
    </row>
    <row r="43" spans="1:18">
      <c r="A43" s="379">
        <f t="shared" si="4"/>
        <v>206</v>
      </c>
      <c r="B43" s="245" t="s">
        <v>592</v>
      </c>
      <c r="C43" s="248">
        <f>'1-BaseTRR'!$G$2</f>
        <v>2020</v>
      </c>
      <c r="D43" s="344">
        <v>221835323.30999997</v>
      </c>
      <c r="E43" s="344">
        <v>37672146.390000008</v>
      </c>
      <c r="F43" s="30">
        <f t="shared" si="5"/>
        <v>184163176.91999996</v>
      </c>
      <c r="G43" s="603">
        <v>13804448.430000002</v>
      </c>
      <c r="H43" s="603">
        <v>11871705.050000001</v>
      </c>
      <c r="I43" s="603">
        <v>158487023.43999997</v>
      </c>
      <c r="J43" s="379">
        <f t="shared" si="3"/>
        <v>206</v>
      </c>
      <c r="L43" s="256"/>
      <c r="M43" s="256"/>
      <c r="N43" s="256"/>
      <c r="O43" s="256"/>
      <c r="P43" s="257"/>
      <c r="Q43" s="258"/>
      <c r="R43" s="258"/>
    </row>
    <row r="44" spans="1:18">
      <c r="A44" s="379">
        <f t="shared" si="4"/>
        <v>207</v>
      </c>
      <c r="B44" s="245" t="s">
        <v>477</v>
      </c>
      <c r="C44" s="248">
        <f>'1-BaseTRR'!$G$2</f>
        <v>2020</v>
      </c>
      <c r="D44" s="344">
        <v>223463367.20999998</v>
      </c>
      <c r="E44" s="344">
        <v>37291556.38000001</v>
      </c>
      <c r="F44" s="30">
        <f t="shared" si="5"/>
        <v>186171810.82999998</v>
      </c>
      <c r="G44" s="603">
        <v>11488485.609999999</v>
      </c>
      <c r="H44" s="603">
        <v>4935443.04</v>
      </c>
      <c r="I44" s="603">
        <v>169747882.17999998</v>
      </c>
      <c r="J44" s="379">
        <f t="shared" si="3"/>
        <v>207</v>
      </c>
      <c r="L44" s="256"/>
      <c r="M44" s="256"/>
      <c r="N44" s="256"/>
      <c r="O44" s="256"/>
      <c r="P44" s="257"/>
      <c r="Q44" s="258"/>
      <c r="R44" s="258"/>
    </row>
    <row r="45" spans="1:18">
      <c r="A45" s="379">
        <f t="shared" si="4"/>
        <v>208</v>
      </c>
      <c r="B45" s="245" t="s">
        <v>478</v>
      </c>
      <c r="C45" s="248">
        <f>'1-BaseTRR'!$G$2</f>
        <v>2020</v>
      </c>
      <c r="D45" s="344">
        <v>991833812.50999999</v>
      </c>
      <c r="E45" s="344">
        <v>38790789.56000001</v>
      </c>
      <c r="F45" s="30">
        <f t="shared" si="5"/>
        <v>953043022.94999993</v>
      </c>
      <c r="G45" s="603">
        <v>9120912.8399999999</v>
      </c>
      <c r="H45" s="603">
        <v>762570490.17999995</v>
      </c>
      <c r="I45" s="603">
        <v>181351619.92999995</v>
      </c>
      <c r="J45" s="379">
        <f t="shared" si="3"/>
        <v>208</v>
      </c>
      <c r="L45" s="256"/>
      <c r="M45" s="256"/>
      <c r="N45" s="256"/>
      <c r="O45" s="256"/>
      <c r="P45" s="257"/>
      <c r="Q45" s="258"/>
      <c r="R45" s="258"/>
    </row>
    <row r="46" spans="1:18">
      <c r="A46" s="379">
        <f t="shared" si="4"/>
        <v>209</v>
      </c>
      <c r="B46" s="245" t="s">
        <v>480</v>
      </c>
      <c r="C46" s="248">
        <f>'1-BaseTRR'!$G$2</f>
        <v>2020</v>
      </c>
      <c r="D46" s="344">
        <v>924950708.83000016</v>
      </c>
      <c r="E46" s="344">
        <v>50095444.000000007</v>
      </c>
      <c r="F46" s="30">
        <f t="shared" si="5"/>
        <v>874855264.83000016</v>
      </c>
      <c r="G46" s="603">
        <v>6856560.0199999996</v>
      </c>
      <c r="H46" s="603">
        <v>693816732.6500001</v>
      </c>
      <c r="I46" s="603">
        <v>174181972.16000006</v>
      </c>
      <c r="J46" s="379">
        <f t="shared" si="3"/>
        <v>209</v>
      </c>
      <c r="L46" s="256"/>
      <c r="M46" s="256"/>
      <c r="N46" s="256"/>
      <c r="O46" s="256"/>
      <c r="P46" s="257"/>
      <c r="Q46" s="258"/>
      <c r="R46" s="258"/>
    </row>
    <row r="47" spans="1:18">
      <c r="A47" s="379">
        <f t="shared" si="4"/>
        <v>210</v>
      </c>
      <c r="B47" s="245" t="s">
        <v>481</v>
      </c>
      <c r="C47" s="248">
        <f>'1-BaseTRR'!$G$2</f>
        <v>2020</v>
      </c>
      <c r="D47" s="344">
        <v>841734784.39999998</v>
      </c>
      <c r="E47" s="344">
        <v>49709704.770000003</v>
      </c>
      <c r="F47" s="30">
        <f t="shared" si="5"/>
        <v>792025079.63</v>
      </c>
      <c r="G47" s="603">
        <v>4540597.2</v>
      </c>
      <c r="H47" s="603">
        <v>619936776.12</v>
      </c>
      <c r="I47" s="603">
        <v>167547706.30999997</v>
      </c>
      <c r="J47" s="379">
        <f t="shared" si="3"/>
        <v>210</v>
      </c>
      <c r="L47" s="256"/>
      <c r="M47" s="256"/>
      <c r="N47" s="256"/>
      <c r="O47" s="256"/>
      <c r="P47" s="257"/>
      <c r="Q47" s="258"/>
      <c r="R47" s="258"/>
    </row>
    <row r="48" spans="1:18">
      <c r="A48" s="379">
        <f t="shared" si="4"/>
        <v>211</v>
      </c>
      <c r="B48" s="245" t="s">
        <v>482</v>
      </c>
      <c r="C48" s="248">
        <f>'1-BaseTRR'!$G$2</f>
        <v>2020</v>
      </c>
      <c r="D48" s="344">
        <v>778017676.99000001</v>
      </c>
      <c r="E48" s="344">
        <v>49339107.140000008</v>
      </c>
      <c r="F48" s="30">
        <f t="shared" si="5"/>
        <v>728678569.85000002</v>
      </c>
      <c r="G48" s="603">
        <v>2224634.38</v>
      </c>
      <c r="H48" s="603">
        <v>550830518.59000003</v>
      </c>
      <c r="I48" s="603">
        <v>175623416.87999997</v>
      </c>
      <c r="J48" s="379">
        <f t="shared" si="3"/>
        <v>211</v>
      </c>
      <c r="L48" s="256"/>
      <c r="M48" s="256"/>
      <c r="N48" s="256"/>
      <c r="O48" s="256"/>
      <c r="P48" s="257"/>
      <c r="Q48" s="258"/>
      <c r="R48" s="258"/>
    </row>
    <row r="49" spans="1:18">
      <c r="A49" s="379">
        <f t="shared" si="4"/>
        <v>212</v>
      </c>
      <c r="B49" s="244" t="s">
        <v>470</v>
      </c>
      <c r="C49" s="248">
        <f>'1-BaseTRR'!$G$2</f>
        <v>2020</v>
      </c>
      <c r="D49" s="344">
        <v>698753381.11000013</v>
      </c>
      <c r="E49" s="344">
        <v>50539331.940000005</v>
      </c>
      <c r="F49" s="30">
        <f t="shared" si="5"/>
        <v>648214049.17000008</v>
      </c>
      <c r="G49" s="603">
        <v>23113163.519999996</v>
      </c>
      <c r="H49" s="603">
        <v>482456962.94</v>
      </c>
      <c r="I49" s="603">
        <v>142643922.70999998</v>
      </c>
      <c r="J49" s="379">
        <f t="shared" si="3"/>
        <v>212</v>
      </c>
      <c r="L49" s="256"/>
      <c r="M49" s="256"/>
      <c r="N49" s="256"/>
      <c r="O49" s="256"/>
      <c r="P49" s="257"/>
      <c r="Q49" s="258"/>
      <c r="R49" s="258"/>
    </row>
    <row r="50" spans="1:18">
      <c r="A50" s="379"/>
      <c r="B50" s="244"/>
      <c r="C50" s="248"/>
      <c r="D50" s="20"/>
      <c r="E50" s="20"/>
      <c r="F50" s="20"/>
      <c r="G50" s="259"/>
      <c r="H50" s="259"/>
      <c r="I50" s="259"/>
      <c r="J50" s="379"/>
      <c r="L50" s="256"/>
      <c r="M50" s="256"/>
      <c r="N50" s="256"/>
      <c r="O50" s="256"/>
      <c r="P50" s="257"/>
      <c r="Q50" s="258"/>
      <c r="R50" s="258"/>
    </row>
    <row r="51" spans="1:18">
      <c r="B51" s="244"/>
      <c r="C51" s="248"/>
      <c r="D51" s="260"/>
      <c r="E51" s="20"/>
      <c r="F51" s="260"/>
      <c r="G51" s="269"/>
      <c r="H51" s="35"/>
      <c r="J51" s="379"/>
    </row>
    <row r="52" spans="1:18">
      <c r="A52" s="379"/>
      <c r="C52" s="248"/>
      <c r="D52" s="260"/>
      <c r="E52" s="20"/>
      <c r="F52" s="260"/>
      <c r="G52" s="8"/>
      <c r="H52" s="2" t="s">
        <v>1157</v>
      </c>
      <c r="I52" s="8"/>
      <c r="J52" s="379"/>
    </row>
    <row r="53" spans="1:18">
      <c r="A53" s="379"/>
      <c r="B53" s="251" t="s">
        <v>1158</v>
      </c>
      <c r="C53" s="248"/>
      <c r="D53" s="260"/>
      <c r="E53" s="20"/>
      <c r="F53" s="260"/>
      <c r="G53" s="549" t="s">
        <v>1159</v>
      </c>
      <c r="H53" s="549" t="s">
        <v>1160</v>
      </c>
      <c r="I53" s="236" t="s">
        <v>1161</v>
      </c>
      <c r="J53" s="379"/>
    </row>
    <row r="54" spans="1:18">
      <c r="A54" s="379">
        <f>A49+1</f>
        <v>213</v>
      </c>
      <c r="B54" s="244" t="s">
        <v>506</v>
      </c>
      <c r="C54" s="261" t="s">
        <v>1162</v>
      </c>
      <c r="D54" s="260"/>
      <c r="E54" s="20"/>
      <c r="F54" s="260"/>
      <c r="G54" s="547">
        <f>'24-Allocators'!C29</f>
        <v>0.16091607831287183</v>
      </c>
      <c r="H54" s="550">
        <f>'24-Allocators'!C56</f>
        <v>0.12157379376084765</v>
      </c>
      <c r="I54" s="548">
        <f>'24-Allocators'!C24</f>
        <v>9.5345604059498199E-2</v>
      </c>
      <c r="J54" s="379">
        <f>A54</f>
        <v>213</v>
      </c>
    </row>
    <row r="55" spans="1:18">
      <c r="B55" s="244"/>
      <c r="C55" s="248"/>
      <c r="D55" s="260"/>
      <c r="E55" s="20"/>
      <c r="F55" s="260"/>
      <c r="G55" s="269"/>
      <c r="J55" s="379"/>
    </row>
    <row r="56" spans="1:18" ht="29.25" customHeight="1">
      <c r="A56" s="379">
        <f>+A54+1</f>
        <v>214</v>
      </c>
      <c r="B56" s="251" t="s">
        <v>1163</v>
      </c>
      <c r="C56" s="5" t="str">
        <f>"(Sum Line "&amp;A37&amp;" to Line "&amp;A49&amp;") / 13"</f>
        <v>(Sum Line 200 to Line 212) / 13</v>
      </c>
      <c r="D56" s="528">
        <f t="shared" ref="D56:I56" si="6">AVERAGE(D37:D49)</f>
        <v>547161739.32051277</v>
      </c>
      <c r="E56" s="528">
        <f t="shared" si="6"/>
        <v>40727990.999230772</v>
      </c>
      <c r="F56" s="528">
        <f t="shared" si="6"/>
        <v>506433748.32128209</v>
      </c>
      <c r="G56" s="528">
        <f t="shared" si="6"/>
        <v>13068763.970000001</v>
      </c>
      <c r="H56" s="528">
        <f t="shared" si="6"/>
        <v>310593654.74461538</v>
      </c>
      <c r="I56" s="528">
        <f t="shared" si="6"/>
        <v>182771329.60666662</v>
      </c>
      <c r="J56" s="379">
        <f>A56</f>
        <v>214</v>
      </c>
      <c r="L56" s="20"/>
    </row>
    <row r="57" spans="1:18">
      <c r="A57" s="379">
        <f>A56+1</f>
        <v>215</v>
      </c>
      <c r="B57" s="244" t="s">
        <v>1164</v>
      </c>
      <c r="C57" s="371" t="str">
        <f>"Line "&amp;A54&amp;" * Line "&amp;A56&amp;""</f>
        <v>Line 213 * Line 214</v>
      </c>
      <c r="D57" s="529"/>
      <c r="E57" s="529"/>
      <c r="F57" s="529">
        <f>+G57+H57+I57</f>
        <v>57289466</v>
      </c>
      <c r="G57" s="528">
        <f>ROUND(G56*G54,0)</f>
        <v>2102974</v>
      </c>
      <c r="H57" s="528">
        <f>ROUND(H56*H54,0)</f>
        <v>37760049</v>
      </c>
      <c r="I57" s="528">
        <f>ROUND(I56*I54,0)</f>
        <v>17426443</v>
      </c>
      <c r="J57" s="379">
        <f>A57</f>
        <v>215</v>
      </c>
      <c r="L57" s="20"/>
    </row>
    <row r="58" spans="1:18">
      <c r="B58" s="244"/>
      <c r="C58" s="241"/>
      <c r="D58" s="260"/>
      <c r="E58" s="260"/>
      <c r="F58" s="260"/>
      <c r="G58" s="260"/>
      <c r="H58" s="260"/>
      <c r="I58" s="260"/>
      <c r="J58" s="379"/>
    </row>
    <row r="59" spans="1:18">
      <c r="A59" s="379">
        <f>A57+1</f>
        <v>216</v>
      </c>
      <c r="B59" s="251" t="s">
        <v>1165</v>
      </c>
      <c r="C59" s="241" t="str">
        <f>"Line "&amp;A49&amp;""</f>
        <v>Line 212</v>
      </c>
      <c r="D59" s="528">
        <f t="shared" ref="D59:I59" si="7">+D49</f>
        <v>698753381.11000013</v>
      </c>
      <c r="E59" s="528">
        <f t="shared" si="7"/>
        <v>50539331.940000005</v>
      </c>
      <c r="F59" s="528">
        <f t="shared" si="7"/>
        <v>648214049.17000008</v>
      </c>
      <c r="G59" s="528">
        <f t="shared" si="7"/>
        <v>23113163.519999996</v>
      </c>
      <c r="H59" s="528">
        <f t="shared" si="7"/>
        <v>482456962.94</v>
      </c>
      <c r="I59" s="528">
        <f t="shared" si="7"/>
        <v>142643922.70999998</v>
      </c>
      <c r="J59" s="379">
        <f>A59</f>
        <v>216</v>
      </c>
      <c r="L59" s="20"/>
    </row>
    <row r="60" spans="1:18">
      <c r="A60" s="379">
        <f>A59+1</f>
        <v>217</v>
      </c>
      <c r="B60" s="244" t="s">
        <v>1164</v>
      </c>
      <c r="C60" s="371" t="str">
        <f>"Line "&amp;A54&amp;" * Line "&amp;A59&amp;""</f>
        <v>Line 213 * Line 216</v>
      </c>
      <c r="D60" s="528"/>
      <c r="E60" s="528"/>
      <c r="F60" s="529">
        <f>+G60+H60+I60</f>
        <v>75973874</v>
      </c>
      <c r="G60" s="528">
        <f>ROUND(G59*G54,0)</f>
        <v>3719280</v>
      </c>
      <c r="H60" s="528">
        <f>ROUND(H59*H54,0)</f>
        <v>58654123</v>
      </c>
      <c r="I60" s="528">
        <f>ROUND(I59*I54,0)</f>
        <v>13600471</v>
      </c>
      <c r="J60" s="379">
        <f>A60</f>
        <v>217</v>
      </c>
      <c r="L60" s="20"/>
    </row>
    <row r="61" spans="1:18">
      <c r="A61" s="379"/>
      <c r="B61" s="251"/>
      <c r="C61" s="248"/>
      <c r="D61" s="260"/>
      <c r="E61" s="260"/>
      <c r="F61" s="260"/>
      <c r="G61" s="260"/>
      <c r="H61" s="260"/>
      <c r="I61" s="260"/>
      <c r="J61" s="379"/>
      <c r="L61" s="20"/>
    </row>
    <row r="62" spans="1:18">
      <c r="A62" s="379"/>
      <c r="B62" s="251" t="s">
        <v>304</v>
      </c>
      <c r="C62" s="248"/>
      <c r="D62" s="260"/>
      <c r="E62" s="260"/>
      <c r="F62" s="260"/>
      <c r="G62" s="260"/>
      <c r="H62" s="260"/>
      <c r="I62" s="260"/>
      <c r="J62" s="379"/>
      <c r="L62" s="20"/>
    </row>
    <row r="63" spans="1:18">
      <c r="A63" s="379"/>
      <c r="B63" s="244" t="s">
        <v>1166</v>
      </c>
      <c r="C63" s="248"/>
      <c r="D63" s="260"/>
      <c r="E63" s="260"/>
      <c r="F63" s="260"/>
      <c r="G63" s="260"/>
      <c r="H63" s="260"/>
      <c r="I63" s="260"/>
      <c r="J63" s="379"/>
      <c r="L63" s="20"/>
    </row>
    <row r="64" spans="1:18">
      <c r="A64" s="379"/>
      <c r="B64" s="244" t="s">
        <v>1167</v>
      </c>
      <c r="C64" s="248"/>
      <c r="D64" s="260"/>
      <c r="E64" s="260"/>
      <c r="F64" s="260"/>
      <c r="G64" s="260"/>
      <c r="H64" s="260"/>
      <c r="I64" s="260"/>
      <c r="J64" s="379"/>
      <c r="L64" s="20"/>
    </row>
    <row r="65" spans="1:12">
      <c r="A65" s="379"/>
      <c r="B65" s="244" t="s">
        <v>1168</v>
      </c>
      <c r="C65" s="248"/>
      <c r="D65" s="260"/>
      <c r="E65" s="260"/>
      <c r="F65" s="260"/>
      <c r="G65" s="260"/>
      <c r="H65" s="260"/>
      <c r="I65" s="260"/>
      <c r="J65" s="379"/>
      <c r="L65" s="20"/>
    </row>
    <row r="66" spans="1:12">
      <c r="A66" s="379"/>
      <c r="B66" s="244" t="s">
        <v>1169</v>
      </c>
      <c r="C66" s="248"/>
      <c r="D66" s="260"/>
      <c r="E66" s="260"/>
      <c r="F66" s="260"/>
      <c r="G66" s="260"/>
      <c r="H66" s="260"/>
      <c r="I66" s="260"/>
      <c r="J66" s="379"/>
      <c r="L66" s="20"/>
    </row>
    <row r="67" spans="1:12">
      <c r="A67" s="379"/>
      <c r="B67" s="244" t="s">
        <v>1170</v>
      </c>
      <c r="C67" s="248"/>
      <c r="D67" s="260"/>
      <c r="E67" s="260"/>
      <c r="F67" s="260"/>
      <c r="G67" s="260"/>
      <c r="H67" s="260"/>
      <c r="I67" s="260"/>
      <c r="J67" s="379"/>
      <c r="L67" s="20"/>
    </row>
    <row r="68" spans="1:12">
      <c r="A68" s="379"/>
      <c r="B68" s="244" t="s">
        <v>1171</v>
      </c>
      <c r="C68" s="248"/>
      <c r="D68" s="260"/>
      <c r="E68" s="260"/>
      <c r="F68" s="260"/>
      <c r="G68" s="260"/>
      <c r="H68" s="260"/>
      <c r="I68" s="260"/>
      <c r="J68" s="379"/>
      <c r="L68" s="20"/>
    </row>
    <row r="69" spans="1:12">
      <c r="B69" s="244" t="s">
        <v>1172</v>
      </c>
    </row>
    <row r="72" spans="1:12">
      <c r="H72" s="21"/>
    </row>
    <row r="74" spans="1:12">
      <c r="H74" s="262"/>
    </row>
  </sheetData>
  <mergeCells count="3">
    <mergeCell ref="B30:I31"/>
    <mergeCell ref="G32:I32"/>
    <mergeCell ref="G35:I35"/>
  </mergeCells>
  <printOptions horizontalCentered="1"/>
  <pageMargins left="1" right="1" top="1" bottom="1" header="0.5" footer="0.5"/>
  <pageSetup scale="6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abSelected="1" view="pageBreakPreview" topLeftCell="A164" zoomScale="70" zoomScaleNormal="80" zoomScaleSheetLayoutView="70" zoomScalePageLayoutView="55" workbookViewId="0">
      <selection activeCell="E21" sqref="E21"/>
    </sheetView>
  </sheetViews>
  <sheetFormatPr defaultColWidth="9.1796875" defaultRowHeight="14.5"/>
  <cols>
    <col min="1" max="1" width="6.7265625" bestFit="1" customWidth="1"/>
    <col min="2" max="2" width="12" customWidth="1"/>
    <col min="3" max="3" width="53.453125" customWidth="1"/>
    <col min="4" max="4" width="25.1796875" customWidth="1"/>
    <col min="5" max="5" width="28.26953125" customWidth="1"/>
    <col min="6" max="6" width="30.1796875" customWidth="1"/>
    <col min="7" max="7" width="25.26953125" customWidth="1"/>
    <col min="8" max="8" width="26" bestFit="1" customWidth="1"/>
    <col min="9" max="9" width="53.54296875" bestFit="1" customWidth="1"/>
    <col min="10" max="10" width="34.7265625" customWidth="1"/>
    <col min="11" max="11" width="19.26953125" bestFit="1" customWidth="1"/>
    <col min="12" max="12" width="15" customWidth="1"/>
    <col min="13" max="13" width="18.7265625" customWidth="1"/>
    <col min="14" max="16" width="9.1796875" customWidth="1"/>
    <col min="17" max="17" width="11.453125" bestFit="1" customWidth="1"/>
  </cols>
  <sheetData>
    <row r="1" spans="1:14">
      <c r="B1" s="12" t="s">
        <v>40</v>
      </c>
      <c r="I1" s="15"/>
      <c r="M1" s="15" t="str">
        <f>CONCATENATE("Prior Year: ",'1-BaseTRR'!$G$2)</f>
        <v>Prior Year: 2020</v>
      </c>
    </row>
    <row r="2" spans="1:14">
      <c r="B2" s="113" t="s">
        <v>130</v>
      </c>
      <c r="C2" s="263"/>
      <c r="I2" s="15"/>
      <c r="J2" s="15"/>
    </row>
    <row r="3" spans="1:14">
      <c r="B3" s="200"/>
      <c r="C3" s="170"/>
      <c r="D3" s="170"/>
    </row>
    <row r="4" spans="1:14">
      <c r="B4" s="173" t="s">
        <v>1173</v>
      </c>
      <c r="C4" s="174"/>
      <c r="D4" s="174"/>
      <c r="E4" s="219"/>
      <c r="F4" s="219"/>
      <c r="G4" s="219"/>
      <c r="H4" s="219"/>
      <c r="I4" s="219"/>
      <c r="J4" s="219"/>
      <c r="K4" s="219"/>
      <c r="L4" s="219"/>
      <c r="M4" s="219"/>
    </row>
    <row r="5" spans="1:14">
      <c r="B5" s="264" t="s">
        <v>1174</v>
      </c>
      <c r="C5" s="170"/>
      <c r="D5" s="170"/>
    </row>
    <row r="6" spans="1:14">
      <c r="B6" s="171"/>
      <c r="C6" s="147" t="s">
        <v>413</v>
      </c>
      <c r="D6" s="147" t="s">
        <v>414</v>
      </c>
      <c r="E6" s="147" t="s">
        <v>415</v>
      </c>
    </row>
    <row r="7" spans="1:14">
      <c r="C7" s="170"/>
    </row>
    <row r="8" spans="1:14">
      <c r="A8" s="144" t="s">
        <v>99</v>
      </c>
      <c r="B8" s="171"/>
      <c r="C8" s="16" t="s">
        <v>1175</v>
      </c>
      <c r="D8" s="144" t="s">
        <v>1176</v>
      </c>
      <c r="E8" s="13" t="s">
        <v>134</v>
      </c>
      <c r="N8" s="144" t="str">
        <f t="shared" ref="N8:N13" si="0">A8</f>
        <v>Line</v>
      </c>
    </row>
    <row r="9" spans="1:14">
      <c r="A9" s="379">
        <v>100</v>
      </c>
      <c r="B9" s="171"/>
      <c r="C9" s="17" t="s">
        <v>1177</v>
      </c>
      <c r="D9" s="457">
        <f>+D45</f>
        <v>329408532.32621866</v>
      </c>
      <c r="E9" s="18" t="str">
        <f>"Line "&amp;A45&amp;", Col. 2"</f>
        <v>Line 212, Col. 2</v>
      </c>
      <c r="N9" s="8">
        <f t="shared" si="0"/>
        <v>100</v>
      </c>
    </row>
    <row r="10" spans="1:14">
      <c r="A10" s="379">
        <f>A9+1</f>
        <v>101</v>
      </c>
      <c r="B10" s="171"/>
      <c r="C10" s="17" t="s">
        <v>1178</v>
      </c>
      <c r="D10" s="457">
        <f>+D64</f>
        <v>-1792625218.5561669</v>
      </c>
      <c r="E10" s="18" t="str">
        <f>"Line "&amp;A64&amp;", Col. 2"</f>
        <v>Line 309, Col. 2</v>
      </c>
      <c r="N10" s="8">
        <f t="shared" si="0"/>
        <v>101</v>
      </c>
    </row>
    <row r="11" spans="1:14">
      <c r="A11" s="379">
        <f>A10+1</f>
        <v>102</v>
      </c>
      <c r="B11" s="171"/>
      <c r="C11" s="17" t="s">
        <v>1179</v>
      </c>
      <c r="D11" s="457">
        <f>+D83</f>
        <v>0</v>
      </c>
      <c r="E11" s="18" t="str">
        <f>"Line "&amp;A83&amp;", Col. 2"</f>
        <v>Line 406, Col. 2</v>
      </c>
      <c r="I11" s="234"/>
      <c r="N11" s="8">
        <f t="shared" si="0"/>
        <v>102</v>
      </c>
    </row>
    <row r="12" spans="1:14">
      <c r="A12" s="379">
        <f>A11+1</f>
        <v>103</v>
      </c>
      <c r="B12" s="171"/>
      <c r="C12" s="17" t="s">
        <v>1180</v>
      </c>
      <c r="D12" s="457">
        <f>+D99</f>
        <v>-4455607.3773480337</v>
      </c>
      <c r="E12" s="18" t="str">
        <f>"Line "&amp;A99&amp;", Col. 2"</f>
        <v>Line 505, Col. 2</v>
      </c>
      <c r="I12" s="234"/>
      <c r="N12" s="8">
        <f t="shared" si="0"/>
        <v>103</v>
      </c>
    </row>
    <row r="13" spans="1:14">
      <c r="A13" s="379">
        <f>A12+1</f>
        <v>104</v>
      </c>
      <c r="B13" s="171"/>
      <c r="C13" s="17" t="s">
        <v>1181</v>
      </c>
      <c r="D13" s="458">
        <f>SUM(D9:D12)</f>
        <v>-1467672293.6072962</v>
      </c>
      <c r="E13" s="265" t="str">
        <f>"Sum of Lines "&amp;A9&amp;" to "&amp;A12&amp;""</f>
        <v>Sum of Lines 100 to 103</v>
      </c>
      <c r="N13" s="8">
        <f t="shared" si="0"/>
        <v>104</v>
      </c>
    </row>
    <row r="14" spans="1:14">
      <c r="A14" s="379"/>
      <c r="B14" s="171"/>
      <c r="G14" s="266"/>
      <c r="H14" s="269"/>
      <c r="I14" s="234"/>
      <c r="N14" s="8"/>
    </row>
    <row r="15" spans="1:14">
      <c r="A15" s="379"/>
      <c r="B15" s="264" t="s">
        <v>1182</v>
      </c>
      <c r="G15" s="234"/>
      <c r="H15" s="267"/>
      <c r="I15" s="234"/>
      <c r="N15" s="8"/>
    </row>
    <row r="16" spans="1:14">
      <c r="A16" s="379"/>
      <c r="B16" s="171"/>
      <c r="D16" s="144" t="s">
        <v>1183</v>
      </c>
      <c r="E16" s="13" t="s">
        <v>134</v>
      </c>
      <c r="G16" s="268"/>
      <c r="H16" s="234"/>
      <c r="I16" s="234"/>
      <c r="N16" s="8"/>
    </row>
    <row r="17" spans="1:14" ht="15" thickBot="1">
      <c r="A17" s="379">
        <f>A13+1</f>
        <v>105</v>
      </c>
      <c r="B17" s="171"/>
      <c r="C17" s="17" t="s">
        <v>1181</v>
      </c>
      <c r="D17" s="737">
        <v>-1417555889.6573553</v>
      </c>
      <c r="E17" s="269" t="s">
        <v>1184</v>
      </c>
      <c r="G17" s="234"/>
      <c r="H17" s="234"/>
      <c r="I17" s="234"/>
      <c r="N17" s="8">
        <f>A17</f>
        <v>105</v>
      </c>
    </row>
    <row r="18" spans="1:14" ht="15" thickTop="1">
      <c r="A18" s="379"/>
      <c r="B18" s="171"/>
      <c r="F18" s="234"/>
      <c r="G18" s="234"/>
      <c r="H18" s="234"/>
      <c r="I18" s="234"/>
      <c r="N18" s="8"/>
    </row>
    <row r="19" spans="1:14">
      <c r="A19" s="379"/>
      <c r="B19" s="264" t="s">
        <v>1185</v>
      </c>
      <c r="F19" s="234"/>
      <c r="G19" s="234"/>
      <c r="H19" s="234"/>
      <c r="I19" s="234"/>
      <c r="N19" s="8"/>
    </row>
    <row r="20" spans="1:14">
      <c r="A20" s="379"/>
      <c r="B20" s="170"/>
      <c r="D20" s="144" t="s">
        <v>1186</v>
      </c>
      <c r="E20" s="13" t="s">
        <v>134</v>
      </c>
      <c r="G20" s="268"/>
      <c r="N20" s="8"/>
    </row>
    <row r="21" spans="1:14">
      <c r="A21" s="379">
        <f>A17+1</f>
        <v>106</v>
      </c>
      <c r="B21" s="170"/>
      <c r="C21" s="187" t="s">
        <v>1187</v>
      </c>
      <c r="D21" s="473">
        <f>J124</f>
        <v>-1440771913.3136179</v>
      </c>
      <c r="E21" s="18" t="str">
        <f>"Line "&amp;A124&amp;", Col. 8"</f>
        <v>Line 614, Col. 8</v>
      </c>
      <c r="G21" s="234"/>
      <c r="N21" s="8">
        <f>A21</f>
        <v>106</v>
      </c>
    </row>
    <row r="22" spans="1:14" ht="15" thickBot="1">
      <c r="A22" s="379">
        <f>+A21+1</f>
        <v>107</v>
      </c>
      <c r="B22" s="170"/>
      <c r="C22" s="187" t="s">
        <v>1188</v>
      </c>
      <c r="D22" s="737">
        <v>0</v>
      </c>
      <c r="E22" s="18" t="s">
        <v>1189</v>
      </c>
      <c r="G22" s="234"/>
      <c r="N22" s="8">
        <f t="shared" ref="N22:N23" si="1">A22</f>
        <v>107</v>
      </c>
    </row>
    <row r="23" spans="1:14" ht="15.5" thickTop="1" thickBot="1">
      <c r="A23" s="379">
        <f>+A22+1</f>
        <v>108</v>
      </c>
      <c r="B23" s="170"/>
      <c r="C23" s="187" t="s">
        <v>1190</v>
      </c>
      <c r="D23" s="719">
        <f>SUM(D21:D22)</f>
        <v>-1440771913.3136179</v>
      </c>
      <c r="E23" s="18" t="s">
        <v>1191</v>
      </c>
      <c r="G23" s="234"/>
      <c r="N23" s="8">
        <f t="shared" si="1"/>
        <v>108</v>
      </c>
    </row>
    <row r="24" spans="1:14" ht="15" thickTop="1">
      <c r="A24" s="379"/>
      <c r="B24" s="170"/>
      <c r="C24" s="187"/>
      <c r="D24" s="473"/>
      <c r="E24" s="18"/>
      <c r="G24" s="234"/>
      <c r="N24" s="8"/>
    </row>
    <row r="25" spans="1:14">
      <c r="A25" s="379"/>
      <c r="B25" s="170"/>
      <c r="C25" s="187"/>
      <c r="D25" s="473"/>
      <c r="E25" s="18"/>
      <c r="G25" s="234"/>
      <c r="N25" s="8"/>
    </row>
    <row r="26" spans="1:14">
      <c r="A26" s="379"/>
      <c r="B26" s="170"/>
      <c r="C26" s="270"/>
      <c r="D26" s="271"/>
      <c r="N26" s="8"/>
    </row>
    <row r="27" spans="1:14">
      <c r="A27" s="379"/>
      <c r="B27" s="173" t="s">
        <v>1192</v>
      </c>
      <c r="C27" s="272"/>
      <c r="D27" s="273"/>
      <c r="E27" s="219"/>
      <c r="F27" s="219"/>
      <c r="G27" s="219"/>
      <c r="H27" s="219"/>
      <c r="I27" s="219"/>
      <c r="J27" s="219"/>
      <c r="K27" s="219"/>
      <c r="L27" s="219"/>
      <c r="M27" s="219"/>
      <c r="N27" s="35"/>
    </row>
    <row r="28" spans="1:14">
      <c r="A28" s="379"/>
      <c r="B28" s="171"/>
      <c r="C28" s="147" t="s">
        <v>413</v>
      </c>
      <c r="D28" s="147" t="s">
        <v>414</v>
      </c>
      <c r="E28" s="147" t="s">
        <v>415</v>
      </c>
      <c r="F28" s="147" t="s">
        <v>416</v>
      </c>
      <c r="G28" s="147" t="s">
        <v>417</v>
      </c>
      <c r="H28" s="147" t="s">
        <v>418</v>
      </c>
      <c r="I28" s="147" t="s">
        <v>419</v>
      </c>
      <c r="N28" s="35"/>
    </row>
    <row r="29" spans="1:14">
      <c r="A29" s="371"/>
      <c r="B29" s="177"/>
      <c r="C29" s="177"/>
      <c r="D29" s="177" t="s">
        <v>1193</v>
      </c>
      <c r="E29" s="177" t="s">
        <v>1194</v>
      </c>
      <c r="F29" s="177"/>
      <c r="G29" s="177" t="s">
        <v>948</v>
      </c>
      <c r="H29" s="177" t="s">
        <v>1195</v>
      </c>
      <c r="I29" s="274"/>
      <c r="N29" s="35"/>
    </row>
    <row r="30" spans="1:14">
      <c r="A30" s="144" t="s">
        <v>99</v>
      </c>
      <c r="B30" s="275" t="s">
        <v>1196</v>
      </c>
      <c r="C30" s="275" t="s">
        <v>1197</v>
      </c>
      <c r="D30" s="275" t="s">
        <v>1198</v>
      </c>
      <c r="E30" s="275" t="s">
        <v>1199</v>
      </c>
      <c r="F30" s="275" t="s">
        <v>1200</v>
      </c>
      <c r="G30" s="275" t="s">
        <v>1201</v>
      </c>
      <c r="H30" s="275" t="s">
        <v>1202</v>
      </c>
      <c r="I30" s="275" t="s">
        <v>6</v>
      </c>
      <c r="J30" s="177" t="s">
        <v>655</v>
      </c>
      <c r="N30" s="144" t="str">
        <f>A30</f>
        <v>Line</v>
      </c>
    </row>
    <row r="31" spans="1:14">
      <c r="A31" s="379"/>
      <c r="B31" s="170" t="s">
        <v>1203</v>
      </c>
      <c r="C31" s="170"/>
      <c r="D31" s="170"/>
      <c r="N31" s="8"/>
    </row>
    <row r="32" spans="1:14">
      <c r="A32" s="379">
        <v>200</v>
      </c>
      <c r="B32" s="276">
        <v>190</v>
      </c>
      <c r="C32" s="263" t="s">
        <v>1204</v>
      </c>
      <c r="D32" s="683">
        <f t="shared" ref="D32:D41" si="2">SUM(E32:H32)</f>
        <v>-180585700</v>
      </c>
      <c r="E32" s="459">
        <v>-180585700</v>
      </c>
      <c r="F32" s="344"/>
      <c r="G32" s="460"/>
      <c r="H32" s="460"/>
      <c r="I32" s="277" t="s">
        <v>1205</v>
      </c>
      <c r="J32" s="269" t="s">
        <v>1206</v>
      </c>
      <c r="N32" s="8">
        <f t="shared" ref="N32:N41" si="3">A32</f>
        <v>200</v>
      </c>
    </row>
    <row r="33" spans="1:14">
      <c r="A33" s="379">
        <f t="shared" ref="A33:A41" si="4">A32+1</f>
        <v>201</v>
      </c>
      <c r="B33" s="276">
        <v>190</v>
      </c>
      <c r="C33" s="263" t="s">
        <v>1207</v>
      </c>
      <c r="D33" s="683">
        <f t="shared" si="2"/>
        <v>75225473</v>
      </c>
      <c r="E33" s="459">
        <v>75225473</v>
      </c>
      <c r="F33" s="344"/>
      <c r="G33" s="460"/>
      <c r="H33" s="460"/>
      <c r="I33" s="277" t="s">
        <v>1205</v>
      </c>
      <c r="J33" s="269" t="s">
        <v>1208</v>
      </c>
      <c r="N33" s="8">
        <f t="shared" si="3"/>
        <v>201</v>
      </c>
    </row>
    <row r="34" spans="1:14">
      <c r="A34" s="379">
        <f t="shared" si="4"/>
        <v>202</v>
      </c>
      <c r="B34" s="276">
        <v>190</v>
      </c>
      <c r="C34" s="263" t="s">
        <v>1209</v>
      </c>
      <c r="D34" s="683">
        <f t="shared" si="2"/>
        <v>40653885</v>
      </c>
      <c r="E34" s="459">
        <v>11978813</v>
      </c>
      <c r="F34" s="344"/>
      <c r="G34" s="460"/>
      <c r="H34" s="460">
        <v>28675072</v>
      </c>
      <c r="I34" s="277" t="s">
        <v>1210</v>
      </c>
      <c r="J34" s="269" t="s">
        <v>1211</v>
      </c>
      <c r="N34" s="8">
        <f t="shared" si="3"/>
        <v>202</v>
      </c>
    </row>
    <row r="35" spans="1:14">
      <c r="A35" s="379">
        <f t="shared" si="4"/>
        <v>203</v>
      </c>
      <c r="B35" s="276">
        <v>190</v>
      </c>
      <c r="C35" s="263" t="s">
        <v>1212</v>
      </c>
      <c r="D35" s="683">
        <f t="shared" si="2"/>
        <v>53107541</v>
      </c>
      <c r="E35" s="459">
        <v>53107541</v>
      </c>
      <c r="F35" s="460"/>
      <c r="G35" s="460"/>
      <c r="H35" s="460"/>
      <c r="I35" s="277" t="s">
        <v>1205</v>
      </c>
      <c r="J35" s="269" t="s">
        <v>1213</v>
      </c>
      <c r="N35" s="8">
        <f t="shared" si="3"/>
        <v>203</v>
      </c>
    </row>
    <row r="36" spans="1:14">
      <c r="A36" s="379">
        <f t="shared" si="4"/>
        <v>204</v>
      </c>
      <c r="B36" s="276">
        <v>190</v>
      </c>
      <c r="C36" s="263" t="s">
        <v>1214</v>
      </c>
      <c r="D36" s="683">
        <f t="shared" si="2"/>
        <v>427765221</v>
      </c>
      <c r="E36" s="459">
        <v>427765221</v>
      </c>
      <c r="F36" s="344"/>
      <c r="G36" s="460"/>
      <c r="H36" s="460"/>
      <c r="I36" s="277" t="s">
        <v>1205</v>
      </c>
      <c r="J36" s="269" t="s">
        <v>1215</v>
      </c>
      <c r="N36" s="8">
        <f t="shared" si="3"/>
        <v>204</v>
      </c>
    </row>
    <row r="37" spans="1:14" ht="15.75" customHeight="1">
      <c r="A37" s="379">
        <f t="shared" si="4"/>
        <v>205</v>
      </c>
      <c r="B37" s="276">
        <v>190</v>
      </c>
      <c r="C37" s="263" t="s">
        <v>1216</v>
      </c>
      <c r="D37" s="683">
        <f t="shared" si="2"/>
        <v>-392592821.927163</v>
      </c>
      <c r="E37" s="459">
        <v>-416498332</v>
      </c>
      <c r="F37" s="344"/>
      <c r="G37" s="460">
        <v>23905510.072837006</v>
      </c>
      <c r="H37" s="460"/>
      <c r="I37" s="277" t="s">
        <v>1210</v>
      </c>
      <c r="J37" s="269" t="s">
        <v>1217</v>
      </c>
      <c r="N37" s="8">
        <f t="shared" si="3"/>
        <v>205</v>
      </c>
    </row>
    <row r="38" spans="1:14">
      <c r="A38" s="379">
        <f t="shared" si="4"/>
        <v>206</v>
      </c>
      <c r="B38" s="276">
        <v>190</v>
      </c>
      <c r="C38" s="263" t="s">
        <v>1218</v>
      </c>
      <c r="D38" s="683">
        <f t="shared" si="2"/>
        <v>7947876392.5186119</v>
      </c>
      <c r="E38" s="459">
        <v>7618124081</v>
      </c>
      <c r="F38" s="344">
        <v>329752311.51861203</v>
      </c>
      <c r="G38" s="460"/>
      <c r="H38" s="460"/>
      <c r="I38" s="277" t="s">
        <v>1219</v>
      </c>
      <c r="J38" s="269" t="s">
        <v>1220</v>
      </c>
      <c r="N38" s="8">
        <f t="shared" si="3"/>
        <v>206</v>
      </c>
    </row>
    <row r="39" spans="1:14">
      <c r="A39" s="379">
        <f t="shared" si="4"/>
        <v>207</v>
      </c>
      <c r="B39" s="276">
        <v>190</v>
      </c>
      <c r="C39" s="263" t="s">
        <v>1221</v>
      </c>
      <c r="D39" s="683">
        <f t="shared" si="2"/>
        <v>0</v>
      </c>
      <c r="E39" s="459"/>
      <c r="F39" s="344"/>
      <c r="G39" s="460"/>
      <c r="H39" s="460"/>
      <c r="I39" s="277" t="s">
        <v>1205</v>
      </c>
      <c r="J39" s="269" t="s">
        <v>1222</v>
      </c>
      <c r="N39" s="8">
        <f t="shared" si="3"/>
        <v>207</v>
      </c>
    </row>
    <row r="40" spans="1:14">
      <c r="A40" s="379">
        <f t="shared" si="4"/>
        <v>208</v>
      </c>
      <c r="B40" s="276">
        <v>190</v>
      </c>
      <c r="C40" s="263" t="s">
        <v>1223</v>
      </c>
      <c r="D40" s="683">
        <f t="shared" si="2"/>
        <v>-58971108</v>
      </c>
      <c r="E40" s="459">
        <v>-15311758</v>
      </c>
      <c r="F40" s="344"/>
      <c r="G40" s="460">
        <v>-43659350</v>
      </c>
      <c r="H40" s="460"/>
      <c r="I40" s="277" t="s">
        <v>1210</v>
      </c>
      <c r="J40" s="269" t="s">
        <v>1224</v>
      </c>
      <c r="N40" s="8">
        <f t="shared" si="3"/>
        <v>208</v>
      </c>
    </row>
    <row r="41" spans="1:14">
      <c r="A41" s="379">
        <f t="shared" si="4"/>
        <v>209</v>
      </c>
      <c r="B41" s="276">
        <v>190</v>
      </c>
      <c r="C41" s="263" t="s">
        <v>423</v>
      </c>
      <c r="D41" s="683">
        <f t="shared" si="2"/>
        <v>1406507760</v>
      </c>
      <c r="E41" s="459">
        <v>1406507760</v>
      </c>
      <c r="F41" s="344"/>
      <c r="G41" s="460"/>
      <c r="H41" s="460"/>
      <c r="I41" s="277" t="s">
        <v>1205</v>
      </c>
      <c r="J41" s="269" t="s">
        <v>1225</v>
      </c>
      <c r="N41" s="8">
        <f t="shared" si="3"/>
        <v>209</v>
      </c>
    </row>
    <row r="42" spans="1:14">
      <c r="A42" s="379"/>
      <c r="B42" s="278"/>
      <c r="C42" s="170"/>
      <c r="D42" s="178"/>
      <c r="E42" s="20"/>
      <c r="F42" s="20"/>
      <c r="G42" s="20"/>
      <c r="H42" s="20"/>
      <c r="I42" s="13"/>
      <c r="N42" s="8"/>
    </row>
    <row r="43" spans="1:14">
      <c r="A43" s="379">
        <f>+A41+1</f>
        <v>210</v>
      </c>
      <c r="B43" s="170"/>
      <c r="C43" s="170" t="s">
        <v>1226</v>
      </c>
      <c r="D43" s="461">
        <f>SUM(D32:D41)</f>
        <v>9318986642.5914497</v>
      </c>
      <c r="E43" s="461">
        <f>SUM(E32:E41)</f>
        <v>8980313099</v>
      </c>
      <c r="F43" s="462">
        <f>SUM(F32:F41)</f>
        <v>329752311.51861203</v>
      </c>
      <c r="G43" s="462">
        <f>SUM(G32:G41)</f>
        <v>-19753839.927162994</v>
      </c>
      <c r="H43" s="462">
        <f>SUM(H32:H41)</f>
        <v>28675072</v>
      </c>
      <c r="I43" s="269" t="str">
        <f>"Sum of Above Lines beginning on Line "&amp;A32&amp;""</f>
        <v>Sum of Above Lines beginning on Line 200</v>
      </c>
      <c r="N43" s="8">
        <f>A43</f>
        <v>210</v>
      </c>
    </row>
    <row r="44" spans="1:14">
      <c r="A44" s="379">
        <f>A43+1</f>
        <v>211</v>
      </c>
      <c r="B44" s="170"/>
      <c r="C44" s="170" t="s">
        <v>1227</v>
      </c>
      <c r="D44" s="280"/>
      <c r="E44" s="280"/>
      <c r="F44" s="280"/>
      <c r="G44" s="301">
        <f>'24-Allocators'!C33</f>
        <v>0.21556613519261669</v>
      </c>
      <c r="H44" s="301">
        <f>'24-Allocators'!C23</f>
        <v>0.13651159222612441</v>
      </c>
      <c r="I44" s="281" t="s">
        <v>1228</v>
      </c>
      <c r="N44" s="8">
        <f>A44</f>
        <v>211</v>
      </c>
    </row>
    <row r="45" spans="1:14">
      <c r="A45" s="379">
        <f>+A44+1</f>
        <v>212</v>
      </c>
      <c r="B45" s="170"/>
      <c r="C45" s="171" t="s">
        <v>1229</v>
      </c>
      <c r="D45" s="584">
        <f>SUM(F45:H45)</f>
        <v>329408532.32621866</v>
      </c>
      <c r="E45" s="462"/>
      <c r="F45" s="463">
        <f>+F43</f>
        <v>329752311.51861203</v>
      </c>
      <c r="G45" s="463">
        <f>+G43*G44</f>
        <v>-4258258.9283121275</v>
      </c>
      <c r="H45" s="463">
        <f>+H43*H44</f>
        <v>3914479.735918758</v>
      </c>
      <c r="I45" s="487" t="str">
        <f>CONCATENATE("Line ",A43," * ","Line ",A44," for Cols 5 and 6")</f>
        <v>Line 210 * Line 211 for Cols 5 and 6</v>
      </c>
      <c r="N45" s="8">
        <f>A45</f>
        <v>212</v>
      </c>
    </row>
    <row r="46" spans="1:14">
      <c r="A46" s="379"/>
      <c r="B46" s="170"/>
      <c r="C46" s="283" t="s">
        <v>1230</v>
      </c>
      <c r="D46" s="280"/>
      <c r="E46" s="280"/>
      <c r="F46" s="280"/>
      <c r="G46" s="280"/>
      <c r="H46" s="280"/>
      <c r="I46" s="487"/>
      <c r="N46" s="8"/>
    </row>
    <row r="47" spans="1:14">
      <c r="A47" s="379"/>
      <c r="B47" s="170"/>
      <c r="C47" s="170"/>
      <c r="D47" s="279"/>
      <c r="E47" s="280"/>
      <c r="F47" s="280"/>
      <c r="G47" s="280"/>
      <c r="H47" s="280"/>
      <c r="I47" s="487"/>
      <c r="N47" s="8"/>
    </row>
    <row r="48" spans="1:14">
      <c r="A48" s="379">
        <f>+A45+1</f>
        <v>213</v>
      </c>
      <c r="B48" s="170"/>
      <c r="C48" s="170" t="s">
        <v>1231</v>
      </c>
      <c r="D48" s="464">
        <v>9318986643</v>
      </c>
      <c r="E48" s="284" t="str">
        <f>CONCATENATE("Must match amount on Line ",A43," ",D28)</f>
        <v>Must match amount on Line 210 Col 2</v>
      </c>
      <c r="G48" s="280"/>
      <c r="H48" s="280"/>
      <c r="J48" s="487" t="s">
        <v>1232</v>
      </c>
      <c r="N48" s="8">
        <f>A48</f>
        <v>213</v>
      </c>
    </row>
    <row r="49" spans="1:14">
      <c r="A49" s="379"/>
      <c r="B49" s="170"/>
      <c r="C49" s="170"/>
      <c r="D49" s="285"/>
      <c r="E49" s="285"/>
      <c r="F49" s="285"/>
      <c r="G49" s="285"/>
      <c r="H49" s="285"/>
      <c r="I49" s="229"/>
      <c r="N49" s="8"/>
    </row>
    <row r="50" spans="1:14">
      <c r="A50" s="371"/>
      <c r="B50" s="173" t="s">
        <v>1233</v>
      </c>
      <c r="C50" s="286"/>
      <c r="D50" s="287"/>
      <c r="E50" s="219"/>
      <c r="F50" s="219"/>
      <c r="G50" s="219"/>
      <c r="H50" s="219"/>
      <c r="I50" s="219"/>
      <c r="J50" s="219"/>
      <c r="K50" s="219"/>
      <c r="L50" s="219"/>
      <c r="M50" s="219"/>
      <c r="N50" s="8"/>
    </row>
    <row r="51" spans="1:14">
      <c r="A51" s="371"/>
      <c r="C51" s="147" t="s">
        <v>413</v>
      </c>
      <c r="D51" s="147" t="s">
        <v>414</v>
      </c>
      <c r="E51" s="147" t="s">
        <v>415</v>
      </c>
      <c r="F51" s="147" t="s">
        <v>416</v>
      </c>
      <c r="G51" s="147" t="s">
        <v>417</v>
      </c>
      <c r="H51" s="147" t="s">
        <v>418</v>
      </c>
      <c r="I51" s="147" t="s">
        <v>419</v>
      </c>
      <c r="N51" s="8"/>
    </row>
    <row r="52" spans="1:14">
      <c r="A52" s="371"/>
      <c r="B52" s="177"/>
      <c r="C52" s="177"/>
      <c r="D52" s="177" t="s">
        <v>1193</v>
      </c>
      <c r="E52" s="177" t="s">
        <v>1194</v>
      </c>
      <c r="F52" s="177"/>
      <c r="G52" s="177" t="s">
        <v>1234</v>
      </c>
      <c r="H52" s="177" t="s">
        <v>1235</v>
      </c>
      <c r="I52" s="274"/>
      <c r="N52" s="8"/>
    </row>
    <row r="53" spans="1:14">
      <c r="A53" s="144" t="s">
        <v>99</v>
      </c>
      <c r="B53" s="275" t="s">
        <v>1236</v>
      </c>
      <c r="C53" s="275" t="s">
        <v>1197</v>
      </c>
      <c r="D53" s="275" t="s">
        <v>1198</v>
      </c>
      <c r="E53" s="275" t="s">
        <v>1199</v>
      </c>
      <c r="F53" s="275" t="s">
        <v>1200</v>
      </c>
      <c r="G53" s="275" t="s">
        <v>1201</v>
      </c>
      <c r="H53" s="275" t="s">
        <v>1202</v>
      </c>
      <c r="I53" s="275" t="s">
        <v>6</v>
      </c>
      <c r="N53" s="144" t="str">
        <f t="shared" ref="N53:N60" si="5">A53</f>
        <v>Line</v>
      </c>
    </row>
    <row r="54" spans="1:14">
      <c r="A54" s="379">
        <v>300</v>
      </c>
      <c r="B54" s="288">
        <v>282</v>
      </c>
      <c r="C54" s="87" t="s">
        <v>1237</v>
      </c>
      <c r="D54" s="684">
        <f t="shared" ref="D54:D60" si="6">SUM(E54:H54)</f>
        <v>-1802838467</v>
      </c>
      <c r="E54" s="460"/>
      <c r="F54" s="460">
        <v>-1802838467</v>
      </c>
      <c r="G54" s="460"/>
      <c r="H54" s="460"/>
      <c r="I54" s="277" t="s">
        <v>1219</v>
      </c>
      <c r="J54" s="269" t="s">
        <v>1238</v>
      </c>
      <c r="N54" s="8">
        <f t="shared" si="5"/>
        <v>300</v>
      </c>
    </row>
    <row r="55" spans="1:14">
      <c r="A55" s="379">
        <f t="shared" ref="A55:A60" si="7">A54+1</f>
        <v>301</v>
      </c>
      <c r="B55" s="288">
        <v>282</v>
      </c>
      <c r="C55" s="87" t="s">
        <v>1239</v>
      </c>
      <c r="D55" s="684">
        <f t="shared" si="6"/>
        <v>-6678827561</v>
      </c>
      <c r="E55" s="460">
        <v>-6678827561</v>
      </c>
      <c r="F55" s="460"/>
      <c r="G55" s="460"/>
      <c r="H55" s="460"/>
      <c r="I55" s="277" t="s">
        <v>1240</v>
      </c>
      <c r="J55" s="269"/>
      <c r="N55" s="8">
        <f t="shared" si="5"/>
        <v>301</v>
      </c>
    </row>
    <row r="56" spans="1:14">
      <c r="A56" s="379">
        <f t="shared" si="7"/>
        <v>302</v>
      </c>
      <c r="B56" s="288">
        <v>282</v>
      </c>
      <c r="C56" s="87" t="s">
        <v>1241</v>
      </c>
      <c r="D56" s="684">
        <f t="shared" si="6"/>
        <v>-498926436</v>
      </c>
      <c r="E56" s="460"/>
      <c r="F56" s="460"/>
      <c r="G56" s="460">
        <v>-498926436</v>
      </c>
      <c r="H56" s="460"/>
      <c r="I56" s="277" t="s">
        <v>1242</v>
      </c>
      <c r="J56" s="269" t="s">
        <v>1243</v>
      </c>
      <c r="N56" s="8">
        <f t="shared" si="5"/>
        <v>302</v>
      </c>
    </row>
    <row r="57" spans="1:14">
      <c r="A57" s="379">
        <f t="shared" si="7"/>
        <v>303</v>
      </c>
      <c r="B57" s="288" t="s">
        <v>126</v>
      </c>
      <c r="C57" s="87"/>
      <c r="D57" s="684">
        <f t="shared" si="6"/>
        <v>0</v>
      </c>
      <c r="E57" s="460"/>
      <c r="F57" s="460"/>
      <c r="G57" s="460"/>
      <c r="H57" s="460"/>
      <c r="I57" s="277"/>
      <c r="J57" s="269"/>
      <c r="N57" s="8">
        <f t="shared" si="5"/>
        <v>303</v>
      </c>
    </row>
    <row r="58" spans="1:14">
      <c r="A58" s="379">
        <f t="shared" si="7"/>
        <v>304</v>
      </c>
      <c r="B58" s="288" t="s">
        <v>126</v>
      </c>
      <c r="C58" s="87"/>
      <c r="D58" s="684">
        <f t="shared" si="6"/>
        <v>0</v>
      </c>
      <c r="E58" s="460"/>
      <c r="F58" s="460"/>
      <c r="G58" s="460"/>
      <c r="H58" s="460"/>
      <c r="I58" s="277"/>
      <c r="J58" s="269"/>
      <c r="N58" s="8">
        <f t="shared" si="5"/>
        <v>304</v>
      </c>
    </row>
    <row r="59" spans="1:14">
      <c r="A59" s="379">
        <f t="shared" si="7"/>
        <v>305</v>
      </c>
      <c r="B59" s="288" t="s">
        <v>126</v>
      </c>
      <c r="C59" s="87"/>
      <c r="D59" s="684">
        <f t="shared" si="6"/>
        <v>0</v>
      </c>
      <c r="E59" s="460"/>
      <c r="F59" s="460"/>
      <c r="G59" s="460"/>
      <c r="H59" s="460"/>
      <c r="I59" s="277"/>
      <c r="J59" s="269"/>
      <c r="N59" s="8">
        <f t="shared" si="5"/>
        <v>305</v>
      </c>
    </row>
    <row r="60" spans="1:14">
      <c r="A60" s="379">
        <f t="shared" si="7"/>
        <v>306</v>
      </c>
      <c r="B60" s="276" t="s">
        <v>126</v>
      </c>
      <c r="C60" s="263"/>
      <c r="D60" s="684">
        <f t="shared" si="6"/>
        <v>0</v>
      </c>
      <c r="E60" s="344"/>
      <c r="F60" s="344"/>
      <c r="G60" s="344"/>
      <c r="H60" s="344"/>
      <c r="I60" s="49"/>
      <c r="N60" s="8">
        <f t="shared" si="5"/>
        <v>306</v>
      </c>
    </row>
    <row r="61" spans="1:14">
      <c r="A61" s="379"/>
      <c r="B61" s="133"/>
      <c r="C61" s="17"/>
      <c r="D61" s="279"/>
      <c r="E61" s="20"/>
      <c r="F61" s="20"/>
      <c r="G61" s="20"/>
      <c r="H61" s="20"/>
      <c r="N61" s="8"/>
    </row>
    <row r="62" spans="1:14">
      <c r="A62" s="379">
        <f>+A60+1</f>
        <v>307</v>
      </c>
      <c r="B62" s="371"/>
      <c r="C62" s="17" t="s">
        <v>1244</v>
      </c>
      <c r="D62" s="462">
        <f>SUM(D54:D60)</f>
        <v>-8980592464</v>
      </c>
      <c r="E62" s="462">
        <f>SUM(E54:E60)</f>
        <v>-6678827561</v>
      </c>
      <c r="F62" s="462">
        <f>SUM(F54:F60)</f>
        <v>-1802838467</v>
      </c>
      <c r="G62" s="462">
        <f>SUM(G54:G60)</f>
        <v>-498926436</v>
      </c>
      <c r="H62" s="462">
        <f>SUM(H54:H60)</f>
        <v>0</v>
      </c>
      <c r="I62" s="269" t="str">
        <f>"Sum of Above Lines beginning on Line "&amp;A54&amp;""</f>
        <v>Sum of Above Lines beginning on Line 300</v>
      </c>
      <c r="N62" s="8">
        <f>A62</f>
        <v>307</v>
      </c>
    </row>
    <row r="63" spans="1:14">
      <c r="A63" s="379">
        <f>+A62+1</f>
        <v>308</v>
      </c>
      <c r="B63" s="170"/>
      <c r="C63" s="170" t="s">
        <v>1227</v>
      </c>
      <c r="D63" s="280"/>
      <c r="E63" s="280"/>
      <c r="F63" s="222">
        <f>+'24-Allocators'!C37</f>
        <v>0.94980219495639873</v>
      </c>
      <c r="G63" s="301">
        <f>'24-Allocators'!$C$29</f>
        <v>0.16091607831287183</v>
      </c>
      <c r="H63" s="301">
        <f>'24-Allocators'!$C$24</f>
        <v>9.5345604059498199E-2</v>
      </c>
      <c r="I63" s="281" t="s">
        <v>1245</v>
      </c>
      <c r="N63" s="8">
        <f>A63</f>
        <v>308</v>
      </c>
    </row>
    <row r="64" spans="1:14">
      <c r="A64" s="379">
        <f>+A63+1</f>
        <v>309</v>
      </c>
      <c r="B64" s="170"/>
      <c r="C64" s="171" t="s">
        <v>1246</v>
      </c>
      <c r="D64" s="584">
        <f>SUM(F64:H64)</f>
        <v>-1792625218.5561669</v>
      </c>
      <c r="E64" s="466"/>
      <c r="F64" s="474">
        <f>+F62*F63</f>
        <v>-1712339933.108429</v>
      </c>
      <c r="G64" s="463">
        <f>+G62*G63</f>
        <v>-80285285.447738037</v>
      </c>
      <c r="H64" s="463">
        <f>+H62*H63</f>
        <v>0</v>
      </c>
      <c r="I64" s="487" t="str">
        <f>CONCATENATE("Line ",A62," * ","Line ",A63," for Cols 4 to 6")</f>
        <v>Line 307 * Line 308 for Cols 4 to 6</v>
      </c>
      <c r="N64" s="8">
        <f>A64</f>
        <v>309</v>
      </c>
    </row>
    <row r="65" spans="1:14">
      <c r="A65" s="379"/>
      <c r="B65" s="170"/>
      <c r="C65" s="283" t="s">
        <v>1230</v>
      </c>
      <c r="E65" s="280"/>
      <c r="F65" s="280"/>
      <c r="G65" s="280"/>
      <c r="H65" s="280"/>
      <c r="I65" s="487"/>
      <c r="N65" s="8"/>
    </row>
    <row r="66" spans="1:14">
      <c r="A66" s="379"/>
      <c r="B66" s="170"/>
      <c r="D66" s="283"/>
      <c r="E66" s="280"/>
      <c r="F66" s="280"/>
      <c r="G66" s="280"/>
      <c r="H66" s="280"/>
      <c r="I66" s="487"/>
      <c r="N66" s="8"/>
    </row>
    <row r="67" spans="1:14">
      <c r="A67" s="379">
        <f>+A64+1</f>
        <v>310</v>
      </c>
      <c r="B67" s="371"/>
      <c r="C67" s="170" t="s">
        <v>1247</v>
      </c>
      <c r="D67" s="685">
        <v>-8980592464</v>
      </c>
      <c r="E67" s="284"/>
      <c r="F67" s="280"/>
      <c r="G67" s="280"/>
      <c r="H67" s="280"/>
      <c r="J67" s="269" t="s">
        <v>1248</v>
      </c>
      <c r="N67" s="8">
        <f>A67</f>
        <v>310</v>
      </c>
    </row>
    <row r="68" spans="1:14">
      <c r="A68" s="379">
        <f>A67+1</f>
        <v>311</v>
      </c>
      <c r="B68" s="371"/>
      <c r="C68" s="170" t="s">
        <v>1249</v>
      </c>
      <c r="D68" s="461"/>
      <c r="E68" s="284"/>
      <c r="F68" s="280"/>
      <c r="G68" s="280"/>
      <c r="H68" s="280"/>
      <c r="J68" s="269"/>
      <c r="N68" s="8">
        <f>A68</f>
        <v>311</v>
      </c>
    </row>
    <row r="69" spans="1:14" ht="15" thickBot="1">
      <c r="A69" s="379">
        <f>A68+1</f>
        <v>312</v>
      </c>
      <c r="B69" s="371"/>
      <c r="C69" s="170" t="s">
        <v>1247</v>
      </c>
      <c r="D69" s="467">
        <f>SUM(D67:D68)</f>
        <v>-8980592464</v>
      </c>
      <c r="E69" s="284" t="str">
        <f>CONCATENATE("Must match amount on Line ",A62," ",D51)</f>
        <v>Must match amount on Line 307 Col 2</v>
      </c>
      <c r="F69" s="280"/>
      <c r="G69" s="280"/>
      <c r="H69" s="280"/>
      <c r="I69" s="229"/>
      <c r="N69" s="8">
        <f>A69</f>
        <v>312</v>
      </c>
    </row>
    <row r="70" spans="1:14" ht="15" thickTop="1">
      <c r="A70" s="379"/>
      <c r="B70" s="371"/>
      <c r="C70" s="17"/>
      <c r="D70" s="279"/>
      <c r="E70" s="284"/>
      <c r="F70" s="280"/>
      <c r="G70" s="280"/>
      <c r="H70" s="280"/>
      <c r="I70" s="229"/>
      <c r="N70" s="8"/>
    </row>
    <row r="71" spans="1:14">
      <c r="A71" s="371"/>
      <c r="B71" s="173" t="s">
        <v>1250</v>
      </c>
      <c r="C71" s="174"/>
      <c r="D71" s="289"/>
      <c r="E71" s="54"/>
      <c r="F71" s="54"/>
      <c r="G71" s="54"/>
      <c r="H71" s="54"/>
      <c r="I71" s="219"/>
      <c r="J71" s="219"/>
      <c r="K71" s="219"/>
      <c r="L71" s="219"/>
      <c r="M71" s="219"/>
      <c r="N71" s="8"/>
    </row>
    <row r="72" spans="1:14">
      <c r="A72" s="371"/>
      <c r="B72" s="171"/>
      <c r="C72" s="147" t="s">
        <v>413</v>
      </c>
      <c r="D72" s="147" t="s">
        <v>414</v>
      </c>
      <c r="E72" s="147" t="s">
        <v>415</v>
      </c>
      <c r="F72" s="147" t="s">
        <v>416</v>
      </c>
      <c r="G72" s="147" t="s">
        <v>417</v>
      </c>
      <c r="H72" s="147" t="s">
        <v>418</v>
      </c>
      <c r="I72" s="147" t="s">
        <v>419</v>
      </c>
      <c r="N72" s="8"/>
    </row>
    <row r="73" spans="1:14">
      <c r="A73" s="371"/>
      <c r="B73" s="177"/>
      <c r="C73" s="177"/>
      <c r="D73" s="177" t="s">
        <v>1193</v>
      </c>
      <c r="E73" s="177" t="s">
        <v>1194</v>
      </c>
      <c r="F73" s="290"/>
      <c r="G73" s="177" t="s">
        <v>1234</v>
      </c>
      <c r="H73" s="177" t="s">
        <v>1235</v>
      </c>
      <c r="I73" s="274"/>
      <c r="N73" s="8"/>
    </row>
    <row r="74" spans="1:14">
      <c r="A74" s="144" t="s">
        <v>99</v>
      </c>
      <c r="B74" s="275" t="s">
        <v>1251</v>
      </c>
      <c r="C74" s="275" t="s">
        <v>1197</v>
      </c>
      <c r="D74" s="275" t="s">
        <v>1198</v>
      </c>
      <c r="E74" s="275" t="s">
        <v>1199</v>
      </c>
      <c r="F74" s="291" t="s">
        <v>1200</v>
      </c>
      <c r="G74" s="291" t="s">
        <v>1201</v>
      </c>
      <c r="H74" s="291" t="s">
        <v>1202</v>
      </c>
      <c r="I74" s="275" t="s">
        <v>6</v>
      </c>
      <c r="N74" s="144" t="str">
        <f>A74</f>
        <v>Line</v>
      </c>
    </row>
    <row r="75" spans="1:14">
      <c r="A75" s="379"/>
      <c r="B75" s="170" t="s">
        <v>1203</v>
      </c>
      <c r="D75" s="20"/>
      <c r="E75" s="20"/>
      <c r="F75" s="20"/>
      <c r="G75" s="20"/>
      <c r="H75" s="20"/>
      <c r="N75" s="8"/>
    </row>
    <row r="76" spans="1:14">
      <c r="A76" s="379">
        <v>400</v>
      </c>
      <c r="B76" s="288">
        <v>283</v>
      </c>
      <c r="C76" s="87" t="s">
        <v>1252</v>
      </c>
      <c r="D76" s="684">
        <f>SUM(E76:H76)</f>
        <v>-43070867</v>
      </c>
      <c r="E76" s="510">
        <f>-28584685+-14486182</f>
        <v>-43070867</v>
      </c>
      <c r="F76" s="510"/>
      <c r="G76" s="510"/>
      <c r="H76" s="510"/>
      <c r="I76" s="277" t="s">
        <v>1205</v>
      </c>
      <c r="J76" s="269" t="s">
        <v>1253</v>
      </c>
      <c r="N76" s="8">
        <f>A76</f>
        <v>400</v>
      </c>
    </row>
    <row r="77" spans="1:14">
      <c r="A77" s="379">
        <f>A76+1</f>
        <v>401</v>
      </c>
      <c r="B77" s="288">
        <v>283</v>
      </c>
      <c r="C77" s="87" t="s">
        <v>1254</v>
      </c>
      <c r="D77" s="684">
        <f>SUM(E77:H77)</f>
        <v>-1496203634</v>
      </c>
      <c r="E77" s="510">
        <f>-1239105750+-257097884</f>
        <v>-1496203634</v>
      </c>
      <c r="F77" s="510"/>
      <c r="G77" s="510"/>
      <c r="H77" s="510"/>
      <c r="I77" s="277" t="s">
        <v>1255</v>
      </c>
      <c r="J77" s="269" t="s">
        <v>1256</v>
      </c>
      <c r="N77" s="8">
        <f>A77</f>
        <v>401</v>
      </c>
    </row>
    <row r="78" spans="1:14">
      <c r="A78" s="379">
        <f>A77+1</f>
        <v>402</v>
      </c>
      <c r="B78" s="288">
        <v>283</v>
      </c>
      <c r="C78" s="87" t="s">
        <v>423</v>
      </c>
      <c r="D78" s="684">
        <f>SUM(E78:H78)</f>
        <v>-483441533</v>
      </c>
      <c r="E78" s="510">
        <f>-499332261+-5624545+21515273</f>
        <v>-483441533</v>
      </c>
      <c r="F78" s="510"/>
      <c r="G78" s="510"/>
      <c r="H78" s="510"/>
      <c r="I78" s="277" t="s">
        <v>1205</v>
      </c>
      <c r="J78" s="269" t="s">
        <v>1257</v>
      </c>
      <c r="N78" s="8">
        <f>A78</f>
        <v>402</v>
      </c>
    </row>
    <row r="79" spans="1:14">
      <c r="A79" s="379">
        <f>A78+1</f>
        <v>403</v>
      </c>
      <c r="B79" s="288"/>
      <c r="C79" s="87"/>
      <c r="D79" s="684"/>
      <c r="E79" s="510"/>
      <c r="F79" s="510"/>
      <c r="G79" s="510"/>
      <c r="H79" s="510"/>
      <c r="I79" s="277"/>
      <c r="J79" s="269"/>
      <c r="N79" s="8">
        <f>A79</f>
        <v>403</v>
      </c>
    </row>
    <row r="80" spans="1:14">
      <c r="A80" s="379"/>
      <c r="B80" s="112"/>
      <c r="C80" s="17"/>
      <c r="D80" s="159"/>
      <c r="E80" s="20"/>
      <c r="F80" s="20"/>
      <c r="G80" s="20"/>
      <c r="H80" s="20"/>
      <c r="N80" s="8"/>
    </row>
    <row r="81" spans="1:14">
      <c r="A81" s="379">
        <f>A79+1</f>
        <v>404</v>
      </c>
      <c r="B81" s="17"/>
      <c r="C81" s="17" t="s">
        <v>1258</v>
      </c>
      <c r="D81" s="462">
        <f>SUM(D76:D79)</f>
        <v>-2022716034</v>
      </c>
      <c r="E81" s="462">
        <f>SUM(E76:E79)</f>
        <v>-2022716034</v>
      </c>
      <c r="F81" s="462">
        <f>SUM(F76:F79)</f>
        <v>0</v>
      </c>
      <c r="G81" s="462">
        <f>SUM(G76:G79)</f>
        <v>0</v>
      </c>
      <c r="H81" s="462">
        <f>SUM(H76:H79)</f>
        <v>0</v>
      </c>
      <c r="I81" s="269" t="str">
        <f>"Sum of Above Lines beginning on Line "&amp;A76&amp;""</f>
        <v>Sum of Above Lines beginning on Line 400</v>
      </c>
      <c r="N81" s="8">
        <f>A81</f>
        <v>404</v>
      </c>
    </row>
    <row r="82" spans="1:14">
      <c r="A82" s="379">
        <f>A81+1</f>
        <v>405</v>
      </c>
      <c r="B82" s="170"/>
      <c r="C82" s="170" t="s">
        <v>1227</v>
      </c>
      <c r="D82" s="292"/>
      <c r="E82" s="292"/>
      <c r="F82" s="280"/>
      <c r="G82" s="301">
        <f>'24-Allocators'!$C$29</f>
        <v>0.16091607831287183</v>
      </c>
      <c r="H82" s="301">
        <f>'24-Allocators'!$C$24</f>
        <v>9.5345604059498199E-2</v>
      </c>
      <c r="I82" s="281" t="s">
        <v>1259</v>
      </c>
      <c r="N82" s="8">
        <f>A82</f>
        <v>405</v>
      </c>
    </row>
    <row r="83" spans="1:14">
      <c r="A83" s="379">
        <f>+A82+1</f>
        <v>406</v>
      </c>
      <c r="B83" s="170"/>
      <c r="C83" s="171" t="s">
        <v>1260</v>
      </c>
      <c r="D83" s="585">
        <f>SUM(F83:H83)</f>
        <v>0</v>
      </c>
      <c r="E83" s="280"/>
      <c r="F83" s="282">
        <f>+F81</f>
        <v>0</v>
      </c>
      <c r="G83" s="282">
        <f>+G81*G82</f>
        <v>0</v>
      </c>
      <c r="H83" s="293">
        <f>+H81*H82</f>
        <v>0</v>
      </c>
      <c r="I83" s="487" t="str">
        <f>CONCATENATE("Line ",A81," * ","Line ",A82," for Cols 5 and 6")</f>
        <v>Line 404 * Line 405 for Cols 5 and 6</v>
      </c>
      <c r="N83" s="8">
        <f>A83</f>
        <v>406</v>
      </c>
    </row>
    <row r="84" spans="1:14">
      <c r="A84" s="379"/>
      <c r="C84" s="283" t="s">
        <v>1230</v>
      </c>
      <c r="D84" s="159"/>
      <c r="E84" s="159"/>
      <c r="F84" s="159"/>
      <c r="G84" s="159"/>
      <c r="H84" s="159"/>
      <c r="I84" s="487"/>
      <c r="J84" s="20"/>
      <c r="N84" s="8"/>
    </row>
    <row r="85" spans="1:14">
      <c r="A85" s="379"/>
      <c r="C85" s="17"/>
      <c r="D85" s="159"/>
      <c r="E85" s="159"/>
      <c r="F85" s="159"/>
      <c r="G85" s="159"/>
      <c r="H85" s="159"/>
      <c r="I85" s="487"/>
      <c r="N85" s="8"/>
    </row>
    <row r="86" spans="1:14">
      <c r="A86" s="379">
        <f>A83+1</f>
        <v>407</v>
      </c>
      <c r="C86" s="170" t="s">
        <v>1261</v>
      </c>
      <c r="D86" s="685">
        <v>-2022716034</v>
      </c>
      <c r="E86" s="284" t="str">
        <f>CONCATENATE("Must match amount on Line ",A81," ",D72)</f>
        <v>Must match amount on Line 404 Col 2</v>
      </c>
      <c r="F86" s="280"/>
      <c r="G86" s="280"/>
      <c r="H86" s="280"/>
      <c r="J86" s="269" t="s">
        <v>1262</v>
      </c>
      <c r="N86" s="8">
        <f>A86</f>
        <v>407</v>
      </c>
    </row>
    <row r="87" spans="1:14">
      <c r="A87" s="379"/>
      <c r="C87" s="170"/>
      <c r="D87" s="284"/>
      <c r="E87" s="284"/>
      <c r="F87" s="280"/>
      <c r="G87" s="280"/>
      <c r="H87" s="280"/>
      <c r="I87" s="269"/>
      <c r="N87" s="8"/>
    </row>
    <row r="88" spans="1:14">
      <c r="A88" s="371"/>
      <c r="B88" s="173" t="s">
        <v>1263</v>
      </c>
      <c r="C88" s="174"/>
      <c r="D88" s="289"/>
      <c r="E88" s="54"/>
      <c r="F88" s="54"/>
      <c r="G88" s="54"/>
      <c r="H88" s="54"/>
      <c r="I88" s="219"/>
      <c r="J88" s="219"/>
      <c r="K88" s="219"/>
      <c r="L88" s="219"/>
      <c r="M88" s="219"/>
      <c r="N88" s="8"/>
    </row>
    <row r="89" spans="1:14">
      <c r="A89" s="371"/>
      <c r="B89" s="171"/>
      <c r="C89" s="147" t="s">
        <v>413</v>
      </c>
      <c r="D89" s="147" t="s">
        <v>414</v>
      </c>
      <c r="E89" s="147" t="s">
        <v>415</v>
      </c>
      <c r="F89" s="147" t="s">
        <v>416</v>
      </c>
      <c r="G89" s="147" t="s">
        <v>417</v>
      </c>
      <c r="H89" s="147" t="s">
        <v>418</v>
      </c>
      <c r="I89" s="147" t="s">
        <v>419</v>
      </c>
      <c r="N89" s="8"/>
    </row>
    <row r="90" spans="1:14">
      <c r="A90" s="371"/>
      <c r="B90" s="177"/>
      <c r="C90" s="177"/>
      <c r="D90" s="177" t="s">
        <v>1193</v>
      </c>
      <c r="E90" s="177" t="s">
        <v>1194</v>
      </c>
      <c r="F90" s="290"/>
      <c r="G90" s="177" t="s">
        <v>1234</v>
      </c>
      <c r="H90" s="177" t="s">
        <v>1235</v>
      </c>
      <c r="I90" s="274"/>
      <c r="N90" s="8"/>
    </row>
    <row r="91" spans="1:14">
      <c r="A91" s="144" t="s">
        <v>99</v>
      </c>
      <c r="B91" s="275" t="s">
        <v>1264</v>
      </c>
      <c r="C91" s="275" t="s">
        <v>1197</v>
      </c>
      <c r="D91" s="275" t="s">
        <v>1198</v>
      </c>
      <c r="E91" s="275" t="s">
        <v>1199</v>
      </c>
      <c r="F91" s="291" t="s">
        <v>1200</v>
      </c>
      <c r="G91" s="291" t="s">
        <v>1201</v>
      </c>
      <c r="H91" s="291" t="s">
        <v>1202</v>
      </c>
      <c r="I91" s="275" t="s">
        <v>6</v>
      </c>
      <c r="N91" s="144" t="str">
        <f>A91</f>
        <v>Line</v>
      </c>
    </row>
    <row r="92" spans="1:14">
      <c r="A92" s="379"/>
      <c r="B92" s="170" t="s">
        <v>1203</v>
      </c>
      <c r="D92" s="20"/>
      <c r="E92" s="20"/>
      <c r="F92" s="20"/>
      <c r="G92" s="20"/>
      <c r="H92" s="20"/>
      <c r="N92" s="8"/>
    </row>
    <row r="93" spans="1:14">
      <c r="A93" s="379">
        <v>500</v>
      </c>
      <c r="B93" s="288">
        <v>255</v>
      </c>
      <c r="C93" s="87" t="s">
        <v>1265</v>
      </c>
      <c r="D93" s="684">
        <f>SUM(E93:H93)</f>
        <v>-91683096</v>
      </c>
      <c r="E93" s="510">
        <v>-88723969</v>
      </c>
      <c r="F93" s="510">
        <v>-2959127</v>
      </c>
      <c r="G93" s="510"/>
      <c r="H93" s="510"/>
      <c r="I93" s="277" t="s">
        <v>1219</v>
      </c>
      <c r="J93" s="269" t="s">
        <v>1266</v>
      </c>
      <c r="N93" s="8">
        <f>A93</f>
        <v>500</v>
      </c>
    </row>
    <row r="94" spans="1:14">
      <c r="A94" s="379">
        <f>A93+1</f>
        <v>501</v>
      </c>
      <c r="B94" s="288">
        <v>255</v>
      </c>
      <c r="C94" s="87" t="s">
        <v>1267</v>
      </c>
      <c r="D94" s="684">
        <f>SUM(E94:H94)</f>
        <v>-10222857</v>
      </c>
      <c r="E94" s="510"/>
      <c r="F94" s="510"/>
      <c r="G94" s="510">
        <v>-10222857</v>
      </c>
      <c r="H94" s="510"/>
      <c r="I94" s="277" t="s">
        <v>1242</v>
      </c>
      <c r="J94" s="269" t="s">
        <v>1268</v>
      </c>
      <c r="N94" s="8">
        <f>A94</f>
        <v>501</v>
      </c>
    </row>
    <row r="95" spans="1:14">
      <c r="A95" s="379">
        <f>+A94+1</f>
        <v>502</v>
      </c>
      <c r="B95" s="288">
        <v>255</v>
      </c>
      <c r="C95" s="87" t="s">
        <v>1269</v>
      </c>
      <c r="D95" s="684">
        <f>SUM(E95:H95)</f>
        <v>6012663</v>
      </c>
      <c r="E95" s="510">
        <v>6012663</v>
      </c>
      <c r="F95" s="510"/>
      <c r="G95" s="510"/>
      <c r="H95" s="510"/>
      <c r="I95" s="277" t="s">
        <v>1205</v>
      </c>
      <c r="N95" s="8">
        <f>A95</f>
        <v>502</v>
      </c>
    </row>
    <row r="96" spans="1:14">
      <c r="A96" s="379"/>
      <c r="B96" s="112"/>
      <c r="C96" s="17"/>
      <c r="D96" s="159"/>
      <c r="E96" s="20"/>
      <c r="F96" s="20"/>
      <c r="G96" s="20"/>
      <c r="H96" s="20"/>
      <c r="N96" s="8"/>
    </row>
    <row r="97" spans="1:14">
      <c r="A97" s="379">
        <f>A95+1</f>
        <v>503</v>
      </c>
      <c r="B97" s="17"/>
      <c r="C97" s="17" t="s">
        <v>1270</v>
      </c>
      <c r="E97" s="462">
        <f>SUM(E93:E95)</f>
        <v>-82711306</v>
      </c>
      <c r="F97" s="462">
        <f>SUM(F93:F95)</f>
        <v>-2959127</v>
      </c>
      <c r="G97" s="462">
        <f>SUM(G93:G95)</f>
        <v>-10222857</v>
      </c>
      <c r="H97" s="462">
        <f>SUM(H93:H95)</f>
        <v>0</v>
      </c>
      <c r="I97" s="269" t="str">
        <f>"Sum of Above Lines beginning on Line "&amp;A93&amp;""</f>
        <v>Sum of Above Lines beginning on Line 500</v>
      </c>
      <c r="N97" s="8">
        <f>A97</f>
        <v>503</v>
      </c>
    </row>
    <row r="98" spans="1:14">
      <c r="A98" s="379">
        <f>A97+1</f>
        <v>504</v>
      </c>
      <c r="B98" s="170"/>
      <c r="C98" s="170" t="s">
        <v>1227</v>
      </c>
      <c r="D98" s="462">
        <f>SUM(D93:D95)</f>
        <v>-95893290</v>
      </c>
      <c r="E98" s="292"/>
      <c r="F98" s="738">
        <f>+'24-Allocators'!C37</f>
        <v>0.94980219495639873</v>
      </c>
      <c r="G98" s="301">
        <f>'24-Allocators'!$C$29</f>
        <v>0.16091607831287183</v>
      </c>
      <c r="H98" s="301">
        <f>'24-Allocators'!$C$24</f>
        <v>9.5345604059498199E-2</v>
      </c>
      <c r="I98" s="281" t="s">
        <v>1245</v>
      </c>
      <c r="N98" s="8">
        <f>A98</f>
        <v>504</v>
      </c>
    </row>
    <row r="99" spans="1:14">
      <c r="A99" s="379">
        <f>+A98+1</f>
        <v>505</v>
      </c>
      <c r="B99" s="170"/>
      <c r="C99" s="171" t="s">
        <v>1271</v>
      </c>
      <c r="D99" s="586">
        <f>SUM(F99:H99)</f>
        <v>-4455607.3773480337</v>
      </c>
      <c r="E99" s="462"/>
      <c r="F99" s="463">
        <f>F97*F98</f>
        <v>-2810585.3197547435</v>
      </c>
      <c r="G99" s="463">
        <f>+G97*G98</f>
        <v>-1645022.05759329</v>
      </c>
      <c r="H99" s="474">
        <f>+H97*H98</f>
        <v>0</v>
      </c>
      <c r="I99" s="487" t="str">
        <f>CONCATENATE("Line ",A97," * ","Line ",A98," for Cols 4 to 6")</f>
        <v>Line 503 * Line 504 for Cols 4 to 6</v>
      </c>
      <c r="N99" s="8">
        <f>A99</f>
        <v>505</v>
      </c>
    </row>
    <row r="100" spans="1:14">
      <c r="A100" s="379"/>
      <c r="C100" s="283" t="s">
        <v>1230</v>
      </c>
      <c r="D100" s="159"/>
      <c r="E100" s="159"/>
      <c r="F100" s="159"/>
      <c r="G100" s="159"/>
      <c r="H100" s="159"/>
      <c r="I100" s="487"/>
      <c r="J100" s="20"/>
      <c r="N100" s="8"/>
    </row>
    <row r="101" spans="1:14">
      <c r="A101" s="379"/>
      <c r="C101" s="17"/>
      <c r="D101" s="159"/>
      <c r="E101" s="159"/>
      <c r="F101" s="159"/>
      <c r="G101" s="159"/>
      <c r="H101" s="159"/>
      <c r="I101" s="487"/>
      <c r="N101" s="8"/>
    </row>
    <row r="102" spans="1:14">
      <c r="A102" s="379">
        <f>A99+1</f>
        <v>506</v>
      </c>
      <c r="C102" s="170" t="s">
        <v>1272</v>
      </c>
      <c r="D102" s="685">
        <f>-78271842-17621448</f>
        <v>-95893290</v>
      </c>
      <c r="E102" s="284" t="str">
        <f>CONCATENATE("Must match amount on Line ",A97," ",D89)</f>
        <v>Must match amount on Line 503 Col 2</v>
      </c>
      <c r="F102" s="280"/>
      <c r="G102" s="280"/>
      <c r="H102" s="280"/>
      <c r="J102" s="269" t="s">
        <v>1273</v>
      </c>
      <c r="N102" s="8">
        <f>A102</f>
        <v>506</v>
      </c>
    </row>
    <row r="103" spans="1:14">
      <c r="A103" s="379"/>
      <c r="C103" s="170"/>
      <c r="D103" s="284"/>
      <c r="E103" s="284"/>
      <c r="F103" s="280"/>
      <c r="G103" s="280"/>
      <c r="H103" s="280"/>
      <c r="I103" s="269"/>
      <c r="N103" s="8"/>
    </row>
    <row r="104" spans="1:14">
      <c r="A104" s="379"/>
      <c r="B104" s="136" t="s">
        <v>1274</v>
      </c>
      <c r="C104" s="174"/>
      <c r="D104" s="294"/>
      <c r="E104" s="294"/>
      <c r="F104" s="289"/>
      <c r="G104" s="289"/>
      <c r="H104" s="289"/>
      <c r="I104" s="295"/>
      <c r="J104" s="138"/>
      <c r="K104" s="219"/>
      <c r="L104" s="219"/>
      <c r="M104" s="219"/>
      <c r="N104" s="8"/>
    </row>
    <row r="105" spans="1:14">
      <c r="A105" s="379"/>
      <c r="B105" s="17"/>
      <c r="C105" s="147" t="s">
        <v>413</v>
      </c>
      <c r="D105" s="147" t="s">
        <v>414</v>
      </c>
      <c r="E105" s="147" t="s">
        <v>415</v>
      </c>
      <c r="F105" s="147" t="s">
        <v>416</v>
      </c>
      <c r="G105" s="147" t="s">
        <v>417</v>
      </c>
      <c r="H105" s="147" t="s">
        <v>418</v>
      </c>
      <c r="I105" s="147" t="s">
        <v>419</v>
      </c>
      <c r="J105" s="147" t="s">
        <v>420</v>
      </c>
      <c r="N105" s="8"/>
    </row>
    <row r="106" spans="1:14">
      <c r="A106" s="379"/>
      <c r="B106" s="17"/>
      <c r="C106" s="170"/>
      <c r="D106" s="296" t="s">
        <v>1275</v>
      </c>
      <c r="E106" s="296" t="s">
        <v>1276</v>
      </c>
      <c r="F106" s="280"/>
      <c r="G106" s="280"/>
      <c r="H106" s="296" t="s">
        <v>1277</v>
      </c>
      <c r="I106" s="297" t="s">
        <v>1278</v>
      </c>
      <c r="J106" s="296" t="s">
        <v>1279</v>
      </c>
      <c r="N106" s="8"/>
    </row>
    <row r="107" spans="1:14">
      <c r="A107" s="379"/>
      <c r="B107" s="17"/>
      <c r="C107" s="170"/>
      <c r="D107" s="284"/>
      <c r="E107" s="284"/>
      <c r="F107" s="280"/>
      <c r="G107" s="280"/>
      <c r="H107" s="280"/>
      <c r="I107" s="18"/>
      <c r="J107" s="17"/>
      <c r="N107" s="8"/>
    </row>
    <row r="108" spans="1:14">
      <c r="A108" s="379"/>
      <c r="B108" s="17"/>
      <c r="C108" s="176"/>
      <c r="D108" s="296" t="s">
        <v>1280</v>
      </c>
      <c r="E108" s="296" t="s">
        <v>1281</v>
      </c>
      <c r="F108" s="296"/>
      <c r="G108" s="296" t="s">
        <v>1282</v>
      </c>
      <c r="H108" s="296" t="s">
        <v>1283</v>
      </c>
      <c r="I108" s="379" t="s">
        <v>1284</v>
      </c>
      <c r="J108" s="379" t="s">
        <v>1285</v>
      </c>
      <c r="N108" s="8"/>
    </row>
    <row r="109" spans="1:14">
      <c r="A109" s="144" t="s">
        <v>99</v>
      </c>
      <c r="B109" s="144" t="s">
        <v>462</v>
      </c>
      <c r="C109" s="176" t="s">
        <v>1286</v>
      </c>
      <c r="D109" s="298" t="s">
        <v>1287</v>
      </c>
      <c r="E109" s="298" t="s">
        <v>1288</v>
      </c>
      <c r="F109" s="298" t="s">
        <v>1289</v>
      </c>
      <c r="G109" s="298" t="s">
        <v>1290</v>
      </c>
      <c r="H109" s="298" t="s">
        <v>1291</v>
      </c>
      <c r="I109" s="144" t="s">
        <v>1292</v>
      </c>
      <c r="J109" s="144" t="s">
        <v>1293</v>
      </c>
      <c r="N109" s="144" t="str">
        <f t="shared" ref="N109:N124" si="8">A109</f>
        <v>Line</v>
      </c>
    </row>
    <row r="110" spans="1:14">
      <c r="A110" s="379">
        <v>600</v>
      </c>
      <c r="B110" s="17"/>
      <c r="C110" s="299" t="s">
        <v>1294</v>
      </c>
      <c r="D110" s="468"/>
      <c r="E110" s="201">
        <f>D17</f>
        <v>-1417555889.6573553</v>
      </c>
      <c r="F110" s="280"/>
      <c r="G110" s="304">
        <f>+G111+F111-G122</f>
        <v>365</v>
      </c>
      <c r="H110" s="301">
        <f>1</f>
        <v>1</v>
      </c>
      <c r="I110" s="302"/>
      <c r="J110" s="470">
        <f>+E110</f>
        <v>-1417555889.6573553</v>
      </c>
      <c r="N110" s="8">
        <f t="shared" si="8"/>
        <v>600</v>
      </c>
    </row>
    <row r="111" spans="1:14">
      <c r="A111" s="379">
        <f t="shared" ref="A111:A124" si="9">A110+1</f>
        <v>601</v>
      </c>
      <c r="B111" s="371">
        <f>'1-BaseTRR'!$G$2</f>
        <v>2020</v>
      </c>
      <c r="C111" s="299" t="s">
        <v>472</v>
      </c>
      <c r="D111" s="201">
        <f t="shared" ref="D111:D122" si="10">($D$13-$D$17)/12</f>
        <v>-4176366.9958284101</v>
      </c>
      <c r="E111" s="201">
        <f t="shared" ref="E111:E122" si="11">E110+D111</f>
        <v>-1421732256.6531837</v>
      </c>
      <c r="F111" s="304">
        <v>31</v>
      </c>
      <c r="G111" s="304">
        <f t="shared" ref="G111:G120" si="12">+G112+F112</f>
        <v>335</v>
      </c>
      <c r="H111" s="301">
        <f>G111/G110</f>
        <v>0.9178082191780822</v>
      </c>
      <c r="I111" s="469">
        <f t="shared" ref="I111:I122" si="13">D111*H111</f>
        <v>-3833103.9550753902</v>
      </c>
      <c r="J111" s="234">
        <f t="shared" ref="J111:J122" si="14">J110+I111</f>
        <v>-1421388993.6124308</v>
      </c>
      <c r="N111" s="8">
        <f t="shared" si="8"/>
        <v>601</v>
      </c>
    </row>
    <row r="112" spans="1:14">
      <c r="A112" s="379">
        <f t="shared" si="9"/>
        <v>602</v>
      </c>
      <c r="B112" s="371">
        <f>'1-BaseTRR'!$G$2</f>
        <v>2020</v>
      </c>
      <c r="C112" s="299" t="s">
        <v>473</v>
      </c>
      <c r="D112" s="201">
        <f t="shared" si="10"/>
        <v>-4176366.9958284101</v>
      </c>
      <c r="E112" s="201">
        <f t="shared" si="11"/>
        <v>-1425908623.6490121</v>
      </c>
      <c r="F112" s="305">
        <v>28</v>
      </c>
      <c r="G112" s="304">
        <f t="shared" si="12"/>
        <v>307</v>
      </c>
      <c r="H112" s="301">
        <f>G112/G110</f>
        <v>0.84109589041095889</v>
      </c>
      <c r="I112" s="469">
        <f t="shared" si="13"/>
        <v>-3512725.1170392381</v>
      </c>
      <c r="J112" s="234">
        <f t="shared" si="14"/>
        <v>-1424901718.72947</v>
      </c>
      <c r="N112" s="8">
        <f t="shared" si="8"/>
        <v>602</v>
      </c>
    </row>
    <row r="113" spans="1:14">
      <c r="A113" s="379">
        <f t="shared" si="9"/>
        <v>603</v>
      </c>
      <c r="B113" s="371">
        <f>'1-BaseTRR'!$G$2</f>
        <v>2020</v>
      </c>
      <c r="C113" s="299" t="s">
        <v>474</v>
      </c>
      <c r="D113" s="201">
        <f t="shared" si="10"/>
        <v>-4176366.9958284101</v>
      </c>
      <c r="E113" s="201">
        <f t="shared" si="11"/>
        <v>-1430084990.6448405</v>
      </c>
      <c r="F113" s="304">
        <v>31</v>
      </c>
      <c r="G113" s="304">
        <f t="shared" si="12"/>
        <v>276</v>
      </c>
      <c r="H113" s="301">
        <f>G113/G110</f>
        <v>0.75616438356164384</v>
      </c>
      <c r="I113" s="469">
        <f t="shared" si="13"/>
        <v>-3158019.9749277839</v>
      </c>
      <c r="J113" s="234">
        <f t="shared" si="14"/>
        <v>-1428059738.7043979</v>
      </c>
      <c r="N113" s="8">
        <f t="shared" si="8"/>
        <v>603</v>
      </c>
    </row>
    <row r="114" spans="1:14">
      <c r="A114" s="379">
        <f t="shared" si="9"/>
        <v>604</v>
      </c>
      <c r="B114" s="371">
        <f>'1-BaseTRR'!$G$2</f>
        <v>2020</v>
      </c>
      <c r="C114" s="299" t="s">
        <v>475</v>
      </c>
      <c r="D114" s="201">
        <f t="shared" si="10"/>
        <v>-4176366.9958284101</v>
      </c>
      <c r="E114" s="201">
        <f t="shared" si="11"/>
        <v>-1434261357.6406689</v>
      </c>
      <c r="F114" s="304">
        <v>30</v>
      </c>
      <c r="G114" s="304">
        <f t="shared" si="12"/>
        <v>246</v>
      </c>
      <c r="H114" s="301">
        <f>G114/G110</f>
        <v>0.67397260273972603</v>
      </c>
      <c r="I114" s="469">
        <f t="shared" si="13"/>
        <v>-2814756.934174764</v>
      </c>
      <c r="J114" s="234">
        <f t="shared" si="14"/>
        <v>-1430874495.6385727</v>
      </c>
      <c r="N114" s="8">
        <f t="shared" si="8"/>
        <v>604</v>
      </c>
    </row>
    <row r="115" spans="1:14">
      <c r="A115" s="379">
        <f t="shared" si="9"/>
        <v>605</v>
      </c>
      <c r="B115" s="371">
        <f>'1-BaseTRR'!$G$2</f>
        <v>2020</v>
      </c>
      <c r="C115" s="299" t="s">
        <v>437</v>
      </c>
      <c r="D115" s="201">
        <f t="shared" si="10"/>
        <v>-4176366.9958284101</v>
      </c>
      <c r="E115" s="201">
        <f t="shared" si="11"/>
        <v>-1438437724.6364973</v>
      </c>
      <c r="F115" s="304">
        <v>31</v>
      </c>
      <c r="G115" s="304">
        <f t="shared" si="12"/>
        <v>215</v>
      </c>
      <c r="H115" s="301">
        <f>G115/G110</f>
        <v>0.58904109589041098</v>
      </c>
      <c r="I115" s="469">
        <f t="shared" si="13"/>
        <v>-2460051.7920633103</v>
      </c>
      <c r="J115" s="234">
        <f t="shared" si="14"/>
        <v>-1433334547.4306359</v>
      </c>
      <c r="N115" s="8">
        <f t="shared" si="8"/>
        <v>605</v>
      </c>
    </row>
    <row r="116" spans="1:14">
      <c r="A116" s="379">
        <f t="shared" si="9"/>
        <v>606</v>
      </c>
      <c r="B116" s="371">
        <f>'1-BaseTRR'!$G$2</f>
        <v>2020</v>
      </c>
      <c r="C116" s="299" t="s">
        <v>592</v>
      </c>
      <c r="D116" s="201">
        <f t="shared" si="10"/>
        <v>-4176366.9958284101</v>
      </c>
      <c r="E116" s="201">
        <f t="shared" si="11"/>
        <v>-1442614091.6323256</v>
      </c>
      <c r="F116" s="304">
        <v>30</v>
      </c>
      <c r="G116" s="304">
        <f t="shared" si="12"/>
        <v>185</v>
      </c>
      <c r="H116" s="301">
        <f>G116/G110</f>
        <v>0.50684931506849318</v>
      </c>
      <c r="I116" s="469">
        <f t="shared" si="13"/>
        <v>-2116788.7513102903</v>
      </c>
      <c r="J116" s="234">
        <f t="shared" si="14"/>
        <v>-1435451336.1819463</v>
      </c>
      <c r="N116" s="8">
        <f t="shared" si="8"/>
        <v>606</v>
      </c>
    </row>
    <row r="117" spans="1:14">
      <c r="A117" s="379">
        <f t="shared" si="9"/>
        <v>607</v>
      </c>
      <c r="B117" s="371">
        <f>'1-BaseTRR'!$G$2</f>
        <v>2020</v>
      </c>
      <c r="C117" s="299" t="s">
        <v>477</v>
      </c>
      <c r="D117" s="201">
        <f t="shared" si="10"/>
        <v>-4176366.9958284101</v>
      </c>
      <c r="E117" s="201">
        <f t="shared" si="11"/>
        <v>-1446790458.628154</v>
      </c>
      <c r="F117" s="304">
        <v>31</v>
      </c>
      <c r="G117" s="304">
        <f t="shared" si="12"/>
        <v>154</v>
      </c>
      <c r="H117" s="301">
        <f>G117/G110</f>
        <v>0.42191780821917807</v>
      </c>
      <c r="I117" s="469">
        <f t="shared" si="13"/>
        <v>-1762083.6091988359</v>
      </c>
      <c r="J117" s="234">
        <f t="shared" si="14"/>
        <v>-1437213419.7911451</v>
      </c>
      <c r="N117" s="8">
        <f t="shared" si="8"/>
        <v>607</v>
      </c>
    </row>
    <row r="118" spans="1:14">
      <c r="A118" s="379">
        <f t="shared" si="9"/>
        <v>608</v>
      </c>
      <c r="B118" s="371">
        <f>'1-BaseTRR'!$G$2</f>
        <v>2020</v>
      </c>
      <c r="C118" s="299" t="s">
        <v>478</v>
      </c>
      <c r="D118" s="201">
        <f t="shared" si="10"/>
        <v>-4176366.9958284101</v>
      </c>
      <c r="E118" s="201">
        <f t="shared" si="11"/>
        <v>-1450966825.6239824</v>
      </c>
      <c r="F118" s="304">
        <v>31</v>
      </c>
      <c r="G118" s="304">
        <f t="shared" si="12"/>
        <v>123</v>
      </c>
      <c r="H118" s="301">
        <f>G118/G110</f>
        <v>0.33698630136986302</v>
      </c>
      <c r="I118" s="469">
        <f t="shared" si="13"/>
        <v>-1407378.467087382</v>
      </c>
      <c r="J118" s="234">
        <f t="shared" si="14"/>
        <v>-1438620798.2582324</v>
      </c>
      <c r="N118" s="8">
        <f t="shared" si="8"/>
        <v>608</v>
      </c>
    </row>
    <row r="119" spans="1:14">
      <c r="A119" s="379">
        <f t="shared" si="9"/>
        <v>609</v>
      </c>
      <c r="B119" s="371">
        <f>'1-BaseTRR'!$G$2</f>
        <v>2020</v>
      </c>
      <c r="C119" s="299" t="s">
        <v>480</v>
      </c>
      <c r="D119" s="201">
        <f t="shared" si="10"/>
        <v>-4176366.9958284101</v>
      </c>
      <c r="E119" s="201">
        <f t="shared" si="11"/>
        <v>-1455143192.6198108</v>
      </c>
      <c r="F119" s="304">
        <v>30</v>
      </c>
      <c r="G119" s="304">
        <f t="shared" si="12"/>
        <v>93</v>
      </c>
      <c r="H119" s="301">
        <f>G119/G110</f>
        <v>0.25479452054794521</v>
      </c>
      <c r="I119" s="469">
        <f t="shared" si="13"/>
        <v>-1064115.426334362</v>
      </c>
      <c r="J119" s="234">
        <f t="shared" si="14"/>
        <v>-1439684913.6845667</v>
      </c>
      <c r="N119" s="8">
        <f t="shared" si="8"/>
        <v>609</v>
      </c>
    </row>
    <row r="120" spans="1:14">
      <c r="A120" s="379">
        <f t="shared" si="9"/>
        <v>610</v>
      </c>
      <c r="B120" s="371">
        <f>'1-BaseTRR'!$G$2</f>
        <v>2020</v>
      </c>
      <c r="C120" s="299" t="s">
        <v>481</v>
      </c>
      <c r="D120" s="201">
        <f t="shared" si="10"/>
        <v>-4176366.9958284101</v>
      </c>
      <c r="E120" s="201">
        <f t="shared" si="11"/>
        <v>-1459319559.6156392</v>
      </c>
      <c r="F120" s="304">
        <v>31</v>
      </c>
      <c r="G120" s="304">
        <f t="shared" si="12"/>
        <v>62</v>
      </c>
      <c r="H120" s="301">
        <f>G120/G110</f>
        <v>0.16986301369863013</v>
      </c>
      <c r="I120" s="469">
        <f t="shared" si="13"/>
        <v>-709410.28422290797</v>
      </c>
      <c r="J120" s="234">
        <f t="shared" si="14"/>
        <v>-1440394323.9687896</v>
      </c>
      <c r="N120" s="8">
        <f t="shared" si="8"/>
        <v>610</v>
      </c>
    </row>
    <row r="121" spans="1:14">
      <c r="A121" s="379">
        <f t="shared" si="9"/>
        <v>611</v>
      </c>
      <c r="B121" s="371">
        <f>'1-BaseTRR'!$G$2</f>
        <v>2020</v>
      </c>
      <c r="C121" s="299" t="s">
        <v>482</v>
      </c>
      <c r="D121" s="201">
        <f t="shared" si="10"/>
        <v>-4176366.9958284101</v>
      </c>
      <c r="E121" s="201">
        <f t="shared" si="11"/>
        <v>-1463495926.6114676</v>
      </c>
      <c r="F121" s="304">
        <v>30</v>
      </c>
      <c r="G121" s="304">
        <f>+G122+F122</f>
        <v>32</v>
      </c>
      <c r="H121" s="301">
        <f>G121/G110</f>
        <v>8.7671232876712329E-2</v>
      </c>
      <c r="I121" s="469">
        <f t="shared" si="13"/>
        <v>-366147.243469888</v>
      </c>
      <c r="J121" s="234">
        <f t="shared" si="14"/>
        <v>-1440760471.2122595</v>
      </c>
      <c r="N121" s="8">
        <f t="shared" si="8"/>
        <v>611</v>
      </c>
    </row>
    <row r="122" spans="1:14">
      <c r="A122" s="379">
        <f t="shared" si="9"/>
        <v>612</v>
      </c>
      <c r="B122" s="371">
        <f>'1-BaseTRR'!$G$2</f>
        <v>2020</v>
      </c>
      <c r="C122" s="299" t="s">
        <v>470</v>
      </c>
      <c r="D122" s="201">
        <f t="shared" si="10"/>
        <v>-4176366.9958284101</v>
      </c>
      <c r="E122" s="201">
        <f t="shared" si="11"/>
        <v>-1467672293.607296</v>
      </c>
      <c r="F122" s="304">
        <v>31</v>
      </c>
      <c r="G122" s="305">
        <v>1</v>
      </c>
      <c r="H122" s="301">
        <f>G122/G110</f>
        <v>2.7397260273972603E-3</v>
      </c>
      <c r="I122" s="469">
        <f t="shared" si="13"/>
        <v>-11442.101358434</v>
      </c>
      <c r="J122" s="471">
        <f t="shared" si="14"/>
        <v>-1440771913.3136179</v>
      </c>
      <c r="N122" s="8">
        <f t="shared" si="8"/>
        <v>612</v>
      </c>
    </row>
    <row r="123" spans="1:14">
      <c r="A123" s="379">
        <f t="shared" si="9"/>
        <v>613</v>
      </c>
      <c r="B123" s="17"/>
      <c r="C123" s="299" t="s">
        <v>490</v>
      </c>
      <c r="D123" s="201"/>
      <c r="E123" s="201">
        <f>D13</f>
        <v>-1467672293.6072962</v>
      </c>
      <c r="F123" s="280"/>
      <c r="G123" s="280"/>
      <c r="H123" s="280"/>
      <c r="I123" s="18"/>
      <c r="J123" s="472"/>
      <c r="N123" s="8">
        <f t="shared" si="8"/>
        <v>613</v>
      </c>
    </row>
    <row r="124" spans="1:14">
      <c r="A124" s="379">
        <f t="shared" si="9"/>
        <v>614</v>
      </c>
      <c r="B124" s="17"/>
      <c r="C124" s="170"/>
      <c r="D124" s="284"/>
      <c r="E124" s="284"/>
      <c r="F124" s="280"/>
      <c r="G124" s="280"/>
      <c r="H124" s="280"/>
      <c r="I124" s="306" t="s">
        <v>1295</v>
      </c>
      <c r="J124" s="587">
        <f>+J122</f>
        <v>-1440771913.3136179</v>
      </c>
      <c r="N124" s="8">
        <f t="shared" si="8"/>
        <v>614</v>
      </c>
    </row>
    <row r="125" spans="1:14">
      <c r="A125" s="35"/>
      <c r="C125" s="17"/>
      <c r="K125" s="8"/>
    </row>
    <row r="126" spans="1:14">
      <c r="A126" s="35"/>
      <c r="B126" s="136" t="s">
        <v>1296</v>
      </c>
      <c r="C126" s="138"/>
      <c r="D126" s="219"/>
      <c r="E126" s="219"/>
      <c r="F126" s="219"/>
      <c r="G126" s="219"/>
      <c r="H126" s="219"/>
      <c r="I126" s="219"/>
      <c r="J126" s="219"/>
      <c r="K126" s="219"/>
      <c r="L126" s="219"/>
      <c r="M126" s="219"/>
      <c r="N126" s="8"/>
    </row>
    <row r="127" spans="1:14">
      <c r="A127" s="35"/>
      <c r="C127" s="16" t="s">
        <v>1297</v>
      </c>
      <c r="E127" s="12"/>
      <c r="F127" s="2" t="s">
        <v>1298</v>
      </c>
      <c r="G127" s="2" t="s">
        <v>1299</v>
      </c>
      <c r="H127" s="12"/>
      <c r="N127" s="8"/>
    </row>
    <row r="128" spans="1:14">
      <c r="A128" s="35"/>
      <c r="D128" s="177" t="s">
        <v>883</v>
      </c>
      <c r="E128" s="12"/>
      <c r="F128" s="554">
        <f>+C168</f>
        <v>0.05</v>
      </c>
      <c r="G128" s="554">
        <f>+C169</f>
        <v>9.5000000000000001E-2</v>
      </c>
      <c r="H128" s="554">
        <f>+'1-BaseTRR'!E117</f>
        <v>0.27983599999999997</v>
      </c>
      <c r="I128" s="8" t="s">
        <v>1300</v>
      </c>
      <c r="K128" s="355" t="s">
        <v>1283</v>
      </c>
      <c r="L128" s="8" t="s">
        <v>458</v>
      </c>
      <c r="M128" s="8" t="s">
        <v>461</v>
      </c>
      <c r="N128" s="35"/>
    </row>
    <row r="129" spans="1:14">
      <c r="A129" s="35"/>
      <c r="D129" s="176" t="s">
        <v>888</v>
      </c>
      <c r="E129" s="13" t="s">
        <v>1301</v>
      </c>
      <c r="F129" s="13" t="s">
        <v>1302</v>
      </c>
      <c r="G129" s="13" t="s">
        <v>1302</v>
      </c>
      <c r="H129" s="13" t="s">
        <v>1303</v>
      </c>
      <c r="I129" s="162" t="s">
        <v>1304</v>
      </c>
      <c r="J129" s="13" t="s">
        <v>1305</v>
      </c>
      <c r="K129" s="555" t="s">
        <v>1291</v>
      </c>
      <c r="L129" s="176" t="s">
        <v>834</v>
      </c>
      <c r="M129" s="13" t="s">
        <v>834</v>
      </c>
      <c r="N129" s="35"/>
    </row>
    <row r="130" spans="1:14">
      <c r="A130" s="35"/>
      <c r="C130" s="147" t="s">
        <v>413</v>
      </c>
      <c r="D130" s="147" t="s">
        <v>414</v>
      </c>
      <c r="E130" s="147" t="s">
        <v>415</v>
      </c>
      <c r="F130" s="147" t="s">
        <v>416</v>
      </c>
      <c r="G130" s="147" t="s">
        <v>417</v>
      </c>
      <c r="H130" s="147" t="s">
        <v>418</v>
      </c>
      <c r="I130" s="147" t="s">
        <v>419</v>
      </c>
      <c r="J130" s="147" t="s">
        <v>420</v>
      </c>
      <c r="K130" s="147" t="s">
        <v>451</v>
      </c>
      <c r="L130" s="147" t="s">
        <v>586</v>
      </c>
      <c r="M130" s="147" t="s">
        <v>587</v>
      </c>
      <c r="N130" s="35"/>
    </row>
    <row r="131" spans="1:14" ht="29">
      <c r="A131" s="144" t="s">
        <v>99</v>
      </c>
      <c r="B131" s="144" t="s">
        <v>462</v>
      </c>
      <c r="C131" s="11" t="s">
        <v>893</v>
      </c>
      <c r="D131" s="612" t="s">
        <v>1306</v>
      </c>
      <c r="E131" s="612" t="s">
        <v>1307</v>
      </c>
      <c r="F131" s="612" t="s">
        <v>1308</v>
      </c>
      <c r="G131" s="58"/>
      <c r="H131" s="612" t="s">
        <v>1309</v>
      </c>
      <c r="I131" s="35" t="s">
        <v>1310</v>
      </c>
      <c r="J131" s="35" t="s">
        <v>1311</v>
      </c>
      <c r="K131" s="612" t="s">
        <v>1312</v>
      </c>
      <c r="L131" s="35" t="s">
        <v>1313</v>
      </c>
      <c r="M131" s="613" t="s">
        <v>1314</v>
      </c>
      <c r="N131" s="35"/>
    </row>
    <row r="132" spans="1:14">
      <c r="A132" s="379">
        <v>700</v>
      </c>
      <c r="B132" s="371">
        <f>'1-BaseTRR'!$G$1-1</f>
        <v>2021</v>
      </c>
      <c r="C132" s="299" t="s">
        <v>472</v>
      </c>
      <c r="D132" s="178">
        <f>+'9-PlantAdditions'!D15</f>
        <v>106414729.20968273</v>
      </c>
      <c r="E132" s="36">
        <f>+D132*'12-DepRates'!$N$21/12*12</f>
        <v>3045503.9281363641</v>
      </c>
      <c r="F132" s="36">
        <f>+D132*$F$128</f>
        <v>5320736.4604841368</v>
      </c>
      <c r="G132" s="36"/>
      <c r="H132" s="36">
        <f>+(E132-F132)*$H$128</f>
        <v>-636691.97092207125</v>
      </c>
      <c r="I132" s="30">
        <f>-'1-BaseTRR'!$E$106/12</f>
        <v>809526.42917069374</v>
      </c>
      <c r="J132" s="30">
        <f>+H132+I132</f>
        <v>172834.45824862248</v>
      </c>
      <c r="K132" s="351">
        <f t="shared" ref="K132:K143" si="15">+H111</f>
        <v>0.9178082191780822</v>
      </c>
      <c r="L132" s="36">
        <f t="shared" ref="L132:L143" si="16">+J132*K132</f>
        <v>158628.88633777681</v>
      </c>
      <c r="M132" s="157">
        <f>+L132</f>
        <v>158628.88633777681</v>
      </c>
      <c r="N132" s="8">
        <f t="shared" ref="N132:N144" si="17">+A132</f>
        <v>700</v>
      </c>
    </row>
    <row r="133" spans="1:14">
      <c r="A133" s="379">
        <f t="shared" ref="A133:A161" si="18">A132+1</f>
        <v>701</v>
      </c>
      <c r="B133" s="371">
        <f>+B132</f>
        <v>2021</v>
      </c>
      <c r="C133" s="299" t="s">
        <v>473</v>
      </c>
      <c r="D133" s="178">
        <f>+'9-PlantAdditions'!D16</f>
        <v>52768696.651372954</v>
      </c>
      <c r="E133" s="36">
        <f>+D133*'12-DepRates'!$N$21/12*11</f>
        <v>1384347.8368448976</v>
      </c>
      <c r="F133" s="36">
        <f t="shared" ref="F133:F143" si="19">+D133*$F$128</f>
        <v>2638434.8325686478</v>
      </c>
      <c r="G133" s="36"/>
      <c r="H133" s="36">
        <f t="shared" ref="H133:H143" si="20">+(E133-F133)*$H$128</f>
        <v>-350938.68853535131</v>
      </c>
      <c r="I133" s="30">
        <f>-'1-BaseTRR'!$E$106/12</f>
        <v>809526.42917069374</v>
      </c>
      <c r="J133" s="30">
        <f t="shared" ref="J133:J143" si="21">+H133+I133</f>
        <v>458587.74063534243</v>
      </c>
      <c r="K133" s="351">
        <f t="shared" si="15"/>
        <v>0.84109589041095889</v>
      </c>
      <c r="L133" s="36">
        <f t="shared" si="16"/>
        <v>385716.26404123323</v>
      </c>
      <c r="M133" s="157">
        <f t="shared" ref="M133:M143" si="22">+L133+M132</f>
        <v>544345.15037901001</v>
      </c>
      <c r="N133" s="8">
        <f t="shared" si="17"/>
        <v>701</v>
      </c>
    </row>
    <row r="134" spans="1:14">
      <c r="A134" s="379">
        <f t="shared" si="18"/>
        <v>702</v>
      </c>
      <c r="B134" s="371">
        <f t="shared" ref="B134:B143" si="23">+B133</f>
        <v>2021</v>
      </c>
      <c r="C134" s="299" t="s">
        <v>474</v>
      </c>
      <c r="D134" s="178">
        <f>+'9-PlantAdditions'!D17</f>
        <v>142369497.29589459</v>
      </c>
      <c r="E134" s="36">
        <f>+D134*'12-DepRates'!$N$21/12*10</f>
        <v>3395417.0511419056</v>
      </c>
      <c r="F134" s="36">
        <f t="shared" si="19"/>
        <v>7118474.8647947302</v>
      </c>
      <c r="G134" s="36"/>
      <c r="H134" s="36">
        <f t="shared" si="20"/>
        <v>-1041845.6063413518</v>
      </c>
      <c r="I134" s="30">
        <f>-'1-BaseTRR'!$E$106/12</f>
        <v>809526.42917069374</v>
      </c>
      <c r="J134" s="30">
        <f t="shared" si="21"/>
        <v>-232319.17717065802</v>
      </c>
      <c r="K134" s="351">
        <f t="shared" si="15"/>
        <v>0.75616438356164384</v>
      </c>
      <c r="L134" s="36">
        <f t="shared" si="16"/>
        <v>-175671.48739479895</v>
      </c>
      <c r="M134" s="157">
        <f t="shared" si="22"/>
        <v>368673.66298421106</v>
      </c>
      <c r="N134" s="8">
        <f t="shared" si="17"/>
        <v>702</v>
      </c>
    </row>
    <row r="135" spans="1:14">
      <c r="A135" s="379">
        <f t="shared" si="18"/>
        <v>703</v>
      </c>
      <c r="B135" s="371">
        <f t="shared" si="23"/>
        <v>2021</v>
      </c>
      <c r="C135" s="299" t="s">
        <v>475</v>
      </c>
      <c r="D135" s="178">
        <f>+'9-PlantAdditions'!D18</f>
        <v>86603425.88883172</v>
      </c>
      <c r="E135" s="36">
        <f>+D135*'12-DepRates'!$N$21/12*9</f>
        <v>1858890.2755284978</v>
      </c>
      <c r="F135" s="36">
        <f t="shared" si="19"/>
        <v>4330171.2944415864</v>
      </c>
      <c r="G135" s="36"/>
      <c r="H135" s="36">
        <f t="shared" si="20"/>
        <v>-691553.39520856296</v>
      </c>
      <c r="I135" s="30">
        <f>-'1-BaseTRR'!$E$106/12</f>
        <v>809526.42917069374</v>
      </c>
      <c r="J135" s="30">
        <f t="shared" si="21"/>
        <v>117973.03396213078</v>
      </c>
      <c r="K135" s="351">
        <f t="shared" si="15"/>
        <v>0.67397260273972603</v>
      </c>
      <c r="L135" s="36">
        <f t="shared" si="16"/>
        <v>79510.592752559372</v>
      </c>
      <c r="M135" s="157">
        <f t="shared" si="22"/>
        <v>448184.25573677046</v>
      </c>
      <c r="N135" s="8">
        <f t="shared" si="17"/>
        <v>703</v>
      </c>
    </row>
    <row r="136" spans="1:14">
      <c r="A136" s="379">
        <f t="shared" si="18"/>
        <v>704</v>
      </c>
      <c r="B136" s="371">
        <f t="shared" si="23"/>
        <v>2021</v>
      </c>
      <c r="C136" s="299" t="s">
        <v>437</v>
      </c>
      <c r="D136" s="178">
        <f>+'9-PlantAdditions'!D19</f>
        <v>165361998.62283668</v>
      </c>
      <c r="E136" s="36">
        <f>+D136*'12-DepRates'!$N$21/12*8</f>
        <v>3155018.2329741209</v>
      </c>
      <c r="F136" s="36">
        <f t="shared" si="19"/>
        <v>8268099.9311418347</v>
      </c>
      <c r="G136" s="36"/>
      <c r="H136" s="36">
        <f t="shared" si="20"/>
        <v>-1430824.3300884601</v>
      </c>
      <c r="I136" s="30">
        <f>-'1-BaseTRR'!$E$106/12</f>
        <v>809526.42917069374</v>
      </c>
      <c r="J136" s="30">
        <f t="shared" si="21"/>
        <v>-621297.90091776638</v>
      </c>
      <c r="K136" s="351">
        <f t="shared" si="15"/>
        <v>0.58904109589041098</v>
      </c>
      <c r="L136" s="36">
        <f t="shared" si="16"/>
        <v>-365969.9964310131</v>
      </c>
      <c r="M136" s="157">
        <f t="shared" si="22"/>
        <v>82214.259305757354</v>
      </c>
      <c r="N136" s="8">
        <f t="shared" si="17"/>
        <v>704</v>
      </c>
    </row>
    <row r="137" spans="1:14">
      <c r="A137" s="379">
        <f t="shared" si="18"/>
        <v>705</v>
      </c>
      <c r="B137" s="371">
        <f t="shared" si="23"/>
        <v>2021</v>
      </c>
      <c r="C137" s="299" t="s">
        <v>592</v>
      </c>
      <c r="D137" s="178">
        <f>+'9-PlantAdditions'!D20</f>
        <v>128707865.77295555</v>
      </c>
      <c r="E137" s="36">
        <f>+D137*'12-DepRates'!$N$21/12*7</f>
        <v>2148717.4096520832</v>
      </c>
      <c r="F137" s="36">
        <f t="shared" si="19"/>
        <v>6435393.2886477783</v>
      </c>
      <c r="G137" s="36"/>
      <c r="H137" s="36">
        <f t="shared" si="20"/>
        <v>-1199566.2312746393</v>
      </c>
      <c r="I137" s="30">
        <f>-'1-BaseTRR'!$E$106/12</f>
        <v>809526.42917069374</v>
      </c>
      <c r="J137" s="30">
        <f t="shared" si="21"/>
        <v>-390039.80210394552</v>
      </c>
      <c r="K137" s="351">
        <f t="shared" si="15"/>
        <v>0.50684931506849318</v>
      </c>
      <c r="L137" s="36">
        <f t="shared" si="16"/>
        <v>-197691.4065458354</v>
      </c>
      <c r="M137" s="157">
        <f t="shared" si="22"/>
        <v>-115477.14724007805</v>
      </c>
      <c r="N137" s="8">
        <f t="shared" si="17"/>
        <v>705</v>
      </c>
    </row>
    <row r="138" spans="1:14">
      <c r="A138" s="379">
        <f t="shared" si="18"/>
        <v>706</v>
      </c>
      <c r="B138" s="371">
        <f t="shared" si="23"/>
        <v>2021</v>
      </c>
      <c r="C138" s="299" t="s">
        <v>477</v>
      </c>
      <c r="D138" s="178">
        <f>+'9-PlantAdditions'!D21</f>
        <v>38143981.194996178</v>
      </c>
      <c r="E138" s="36">
        <f>+D138*'12-DepRates'!$N$21/12*6</f>
        <v>545825.0254775366</v>
      </c>
      <c r="F138" s="36">
        <f t="shared" si="19"/>
        <v>1907199.0597498091</v>
      </c>
      <c r="G138" s="36"/>
      <c r="H138" s="36">
        <f t="shared" si="20"/>
        <v>-380961.46425461565</v>
      </c>
      <c r="I138" s="30">
        <f>-'1-BaseTRR'!$E$106/12</f>
        <v>809526.42917069374</v>
      </c>
      <c r="J138" s="30">
        <f t="shared" si="21"/>
        <v>428564.96491607808</v>
      </c>
      <c r="K138" s="351">
        <f t="shared" si="15"/>
        <v>0.42191780821917807</v>
      </c>
      <c r="L138" s="36">
        <f t="shared" si="16"/>
        <v>180819.19067692061</v>
      </c>
      <c r="M138" s="157">
        <f t="shared" si="22"/>
        <v>65342.043436842563</v>
      </c>
      <c r="N138" s="8">
        <f t="shared" si="17"/>
        <v>706</v>
      </c>
    </row>
    <row r="139" spans="1:14">
      <c r="A139" s="379">
        <f t="shared" si="18"/>
        <v>707</v>
      </c>
      <c r="B139" s="371">
        <f t="shared" si="23"/>
        <v>2021</v>
      </c>
      <c r="C139" s="299" t="s">
        <v>478</v>
      </c>
      <c r="D139" s="178">
        <f>+'9-PlantAdditions'!D22</f>
        <v>61963224.358409137</v>
      </c>
      <c r="E139" s="36">
        <f>+D139*'12-DepRates'!$N$21/12*5</f>
        <v>738890.67716874194</v>
      </c>
      <c r="F139" s="36">
        <f t="shared" si="19"/>
        <v>3098161.217920457</v>
      </c>
      <c r="G139" s="36"/>
      <c r="H139" s="36">
        <f t="shared" si="20"/>
        <v>-660208.83104179695</v>
      </c>
      <c r="I139" s="30">
        <f>-'1-BaseTRR'!$E$106/12</f>
        <v>809526.42917069374</v>
      </c>
      <c r="J139" s="30">
        <f t="shared" si="21"/>
        <v>149317.59812889679</v>
      </c>
      <c r="K139" s="351">
        <f t="shared" si="15"/>
        <v>0.33698630136986302</v>
      </c>
      <c r="L139" s="36">
        <f t="shared" si="16"/>
        <v>50317.985122888509</v>
      </c>
      <c r="M139" s="157">
        <f t="shared" si="22"/>
        <v>115660.02855973107</v>
      </c>
      <c r="N139" s="8">
        <f t="shared" si="17"/>
        <v>707</v>
      </c>
    </row>
    <row r="140" spans="1:14">
      <c r="A140" s="379">
        <f t="shared" si="18"/>
        <v>708</v>
      </c>
      <c r="B140" s="371">
        <f t="shared" si="23"/>
        <v>2021</v>
      </c>
      <c r="C140" s="299" t="s">
        <v>480</v>
      </c>
      <c r="D140" s="178">
        <f>+'9-PlantAdditions'!D23</f>
        <v>71396561.649470255</v>
      </c>
      <c r="E140" s="36">
        <f>+D140*'12-DepRates'!$N$21/12*4</f>
        <v>681104.04945429589</v>
      </c>
      <c r="F140" s="36">
        <f t="shared" si="19"/>
        <v>3569828.0824735127</v>
      </c>
      <c r="G140" s="36"/>
      <c r="H140" s="36">
        <f t="shared" si="20"/>
        <v>-808368.97850396542</v>
      </c>
      <c r="I140" s="30">
        <f>-'1-BaseTRR'!$E$106/12</f>
        <v>809526.42917069374</v>
      </c>
      <c r="J140" s="30">
        <f t="shared" si="21"/>
        <v>1157.4506667283131</v>
      </c>
      <c r="K140" s="351">
        <f t="shared" si="15"/>
        <v>0.25479452054794521</v>
      </c>
      <c r="L140" s="36">
        <f t="shared" si="16"/>
        <v>294.91208768694003</v>
      </c>
      <c r="M140" s="157">
        <f t="shared" si="22"/>
        <v>115954.94064741801</v>
      </c>
      <c r="N140" s="8">
        <f t="shared" si="17"/>
        <v>708</v>
      </c>
    </row>
    <row r="141" spans="1:14">
      <c r="A141" s="379">
        <f t="shared" si="18"/>
        <v>709</v>
      </c>
      <c r="B141" s="371">
        <f t="shared" si="23"/>
        <v>2021</v>
      </c>
      <c r="C141" s="299" t="s">
        <v>481</v>
      </c>
      <c r="D141" s="178">
        <f>+'9-PlantAdditions'!D24</f>
        <v>81075307.506354347</v>
      </c>
      <c r="E141" s="36">
        <f>+D141*'12-DepRates'!$N$21/12*3</f>
        <v>580077.5168044098</v>
      </c>
      <c r="F141" s="36">
        <f t="shared" si="19"/>
        <v>4053765.3753177174</v>
      </c>
      <c r="G141" s="36"/>
      <c r="H141" s="36">
        <f t="shared" si="20"/>
        <v>-972062.91557492991</v>
      </c>
      <c r="I141" s="30">
        <f>-'1-BaseTRR'!$E$106/12</f>
        <v>809526.42917069374</v>
      </c>
      <c r="J141" s="30">
        <f t="shared" si="21"/>
        <v>-162536.48640423617</v>
      </c>
      <c r="K141" s="351">
        <f t="shared" si="15"/>
        <v>0.16986301369863013</v>
      </c>
      <c r="L141" s="36">
        <f t="shared" si="16"/>
        <v>-27608.937416609981</v>
      </c>
      <c r="M141" s="157">
        <f t="shared" si="22"/>
        <v>88346.003230808041</v>
      </c>
      <c r="N141" s="8">
        <f t="shared" si="17"/>
        <v>709</v>
      </c>
    </row>
    <row r="142" spans="1:14">
      <c r="A142" s="379">
        <f t="shared" si="18"/>
        <v>710</v>
      </c>
      <c r="B142" s="371">
        <f t="shared" si="23"/>
        <v>2021</v>
      </c>
      <c r="C142" s="299" t="s">
        <v>482</v>
      </c>
      <c r="D142" s="178">
        <f>+'9-PlantAdditions'!D25</f>
        <v>86863921.050554097</v>
      </c>
      <c r="E142" s="36">
        <f>+D142*'12-DepRates'!$N$21/12*2</f>
        <v>414329.25488401041</v>
      </c>
      <c r="F142" s="36">
        <f t="shared" si="19"/>
        <v>4343196.0525277052</v>
      </c>
      <c r="G142" s="36"/>
      <c r="H142" s="36">
        <f t="shared" si="20"/>
        <v>-1099438.3691854209</v>
      </c>
      <c r="I142" s="30">
        <f>-'1-BaseTRR'!$E$106/12</f>
        <v>809526.42917069374</v>
      </c>
      <c r="J142" s="30">
        <f t="shared" si="21"/>
        <v>-289911.94001472718</v>
      </c>
      <c r="K142" s="351">
        <f t="shared" si="15"/>
        <v>8.7671232876712329E-2</v>
      </c>
      <c r="L142" s="36">
        <f t="shared" si="16"/>
        <v>-25416.937206770603</v>
      </c>
      <c r="M142" s="157">
        <f t="shared" si="22"/>
        <v>62929.066024037442</v>
      </c>
      <c r="N142" s="8">
        <f t="shared" si="17"/>
        <v>710</v>
      </c>
    </row>
    <row r="143" spans="1:14">
      <c r="A143" s="379">
        <f t="shared" si="18"/>
        <v>711</v>
      </c>
      <c r="B143" s="371">
        <f t="shared" si="23"/>
        <v>2021</v>
      </c>
      <c r="C143" s="299" t="s">
        <v>470</v>
      </c>
      <c r="D143" s="556">
        <f>+'9-PlantAdditions'!D26</f>
        <v>170968498.4633773</v>
      </c>
      <c r="E143" s="557">
        <f>+D143*'12-DepRates'!$N$21/12*1</f>
        <v>407748.40532320947</v>
      </c>
      <c r="F143" s="557">
        <f t="shared" si="19"/>
        <v>8548424.923168866</v>
      </c>
      <c r="G143" s="557"/>
      <c r="H143" s="557">
        <f t="shared" si="20"/>
        <v>-2278054.3540478568</v>
      </c>
      <c r="I143" s="558">
        <f>-'1-BaseTRR'!$E$106/12</f>
        <v>809526.42917069374</v>
      </c>
      <c r="J143" s="558">
        <f t="shared" si="21"/>
        <v>-1468527.924877163</v>
      </c>
      <c r="K143" s="351">
        <f t="shared" si="15"/>
        <v>2.7397260273972603E-3</v>
      </c>
      <c r="L143" s="36">
        <f t="shared" si="16"/>
        <v>-4023.3641777456523</v>
      </c>
      <c r="M143" s="157">
        <f t="shared" si="22"/>
        <v>58905.701846291791</v>
      </c>
      <c r="N143" s="8">
        <f t="shared" si="17"/>
        <v>711</v>
      </c>
    </row>
    <row r="144" spans="1:14">
      <c r="A144" s="379">
        <f t="shared" si="18"/>
        <v>712</v>
      </c>
      <c r="C144" s="299" t="s">
        <v>1315</v>
      </c>
      <c r="D144" s="565">
        <f>SUM(D132:D143)</f>
        <v>1192637707.6647356</v>
      </c>
      <c r="E144" s="566">
        <f>SUM(E132:E143)</f>
        <v>18355869.663390074</v>
      </c>
      <c r="F144" s="566">
        <f>SUM(F132:F143)</f>
        <v>59631885.383236781</v>
      </c>
      <c r="G144" s="566"/>
      <c r="H144" s="566">
        <f>SUM(H132:H143)</f>
        <v>-11550515.134979023</v>
      </c>
      <c r="I144" s="345">
        <f>SUM(I132:I143)</f>
        <v>9714317.1500483267</v>
      </c>
      <c r="J144" s="345">
        <f>SUM(J132:J143)</f>
        <v>-1836197.9849306974</v>
      </c>
      <c r="K144" s="559"/>
      <c r="N144" s="8">
        <f t="shared" si="17"/>
        <v>712</v>
      </c>
    </row>
    <row r="145" spans="1:16">
      <c r="A145" s="379"/>
      <c r="C145" s="299"/>
      <c r="D145" s="178"/>
      <c r="E145" s="157"/>
      <c r="F145" s="157"/>
      <c r="G145" s="157"/>
      <c r="H145" s="157"/>
      <c r="J145" s="30"/>
      <c r="K145" s="559"/>
      <c r="N145" s="12"/>
    </row>
    <row r="146" spans="1:16">
      <c r="A146" s="379">
        <f>A144+1</f>
        <v>713</v>
      </c>
      <c r="C146" s="299" t="s">
        <v>492</v>
      </c>
      <c r="D146" s="178"/>
      <c r="H146" s="157">
        <f>+H144</f>
        <v>-11550515.134979023</v>
      </c>
      <c r="I146" s="12"/>
      <c r="J146" s="157">
        <f>+J144</f>
        <v>-1836197.9849306974</v>
      </c>
      <c r="K146" s="58">
        <f>+H110</f>
        <v>1</v>
      </c>
      <c r="L146" s="36">
        <f>+J146*K146</f>
        <v>-1836197.9849306974</v>
      </c>
      <c r="M146" s="157">
        <f t="shared" ref="M146" si="24">+L146+M145</f>
        <v>-1836197.9849306974</v>
      </c>
      <c r="N146" s="8">
        <f>+A146</f>
        <v>713</v>
      </c>
    </row>
    <row r="147" spans="1:16" ht="29">
      <c r="A147" s="379"/>
      <c r="C147" s="299"/>
      <c r="D147" s="176" t="s">
        <v>888</v>
      </c>
      <c r="E147" s="162" t="s">
        <v>1316</v>
      </c>
      <c r="F147" s="162" t="s">
        <v>1317</v>
      </c>
      <c r="G147" s="162" t="s">
        <v>1318</v>
      </c>
      <c r="H147" s="13" t="s">
        <v>1303</v>
      </c>
      <c r="I147" s="162" t="s">
        <v>1304</v>
      </c>
      <c r="J147" s="560" t="s">
        <v>1305</v>
      </c>
      <c r="K147" s="561" t="s">
        <v>1319</v>
      </c>
      <c r="L147" s="562" t="s">
        <v>1320</v>
      </c>
      <c r="M147" s="162" t="s">
        <v>1321</v>
      </c>
      <c r="N147" s="8"/>
    </row>
    <row r="148" spans="1:16" ht="102.75" customHeight="1">
      <c r="A148" s="144" t="s">
        <v>99</v>
      </c>
      <c r="B148" s="144"/>
      <c r="C148" s="11" t="s">
        <v>1322</v>
      </c>
      <c r="D148" s="612" t="s">
        <v>1323</v>
      </c>
      <c r="E148" s="612" t="s">
        <v>1324</v>
      </c>
      <c r="F148" s="612" t="s">
        <v>1308</v>
      </c>
      <c r="G148" s="612" t="s">
        <v>1325</v>
      </c>
      <c r="H148" s="612" t="s">
        <v>1326</v>
      </c>
      <c r="I148" s="35" t="s">
        <v>1310</v>
      </c>
      <c r="J148" s="35" t="s">
        <v>1311</v>
      </c>
      <c r="K148" s="612" t="s">
        <v>1312</v>
      </c>
      <c r="L148" s="35" t="s">
        <v>1313</v>
      </c>
      <c r="M148" s="613" t="s">
        <v>1314</v>
      </c>
      <c r="N148" s="12"/>
    </row>
    <row r="149" spans="1:16">
      <c r="A149" s="379">
        <f>A146+1</f>
        <v>714</v>
      </c>
      <c r="B149" s="371">
        <f>'1-BaseTRR'!$G$1</f>
        <v>2022</v>
      </c>
      <c r="C149" s="299" t="s">
        <v>472</v>
      </c>
      <c r="D149" s="178">
        <f>+'9-PlantAdditions'!D27</f>
        <v>126961631.42759804</v>
      </c>
      <c r="E149" s="36">
        <f>+(($D$144/12)*'12-DepRates'!$N$21)+((D149*'12-DepRates'!$N$21)/12*12)</f>
        <v>6477900.703373706</v>
      </c>
      <c r="F149" s="36">
        <f>+D149*$F$128</f>
        <v>6348081.5713799028</v>
      </c>
      <c r="G149" s="36">
        <f>+$D$144*$G$128/12</f>
        <v>9441715.1856791563</v>
      </c>
      <c r="H149" s="36">
        <f t="shared" ref="H149:H160" si="25">+(E149-F149-G149)*$H$128</f>
        <v>-2605803.7440790939</v>
      </c>
      <c r="I149" s="30">
        <f>-'1-BaseTRR'!$E$106/12</f>
        <v>809526.42917069374</v>
      </c>
      <c r="J149" s="30">
        <f>+H149+I149</f>
        <v>-1796277.3149084002</v>
      </c>
      <c r="K149" s="28">
        <f t="shared" ref="K149:K160" si="26">+K132</f>
        <v>0.9178082191780822</v>
      </c>
      <c r="L149" s="36">
        <f t="shared" ref="L149:L160" si="27">+J149*K149</f>
        <v>-1648638.083546066</v>
      </c>
      <c r="M149" s="157">
        <f>+L149+M146</f>
        <v>-3484836.0684767636</v>
      </c>
      <c r="N149" s="8">
        <f t="shared" ref="N149:N161" si="28">+A149</f>
        <v>714</v>
      </c>
      <c r="P149" s="35"/>
    </row>
    <row r="150" spans="1:16">
      <c r="A150" s="379">
        <f t="shared" si="18"/>
        <v>715</v>
      </c>
      <c r="B150" s="371">
        <f>'1-BaseTRR'!$G$1</f>
        <v>2022</v>
      </c>
      <c r="C150" s="299" t="s">
        <v>473</v>
      </c>
      <c r="D150" s="178">
        <f>+'9-PlantAdditions'!D28</f>
        <v>109478797.30373433</v>
      </c>
      <c r="E150" s="36">
        <f>+(($D$144/12)*'12-DepRates'!$N$21)+((D150*'12-DepRates'!$N$21)/12*11)</f>
        <v>5716456.4665594352</v>
      </c>
      <c r="F150" s="36">
        <f t="shared" ref="F150:F160" si="29">+D150*$F$128</f>
        <v>5473939.8651867174</v>
      </c>
      <c r="G150" s="36">
        <f t="shared" ref="G150:G160" si="30">+$D$144*$G$128/12</f>
        <v>9441715.1856791563</v>
      </c>
      <c r="H150" s="36">
        <f t="shared" si="25"/>
        <v>-2574266.9350379761</v>
      </c>
      <c r="I150" s="30">
        <f>-'1-BaseTRR'!$E$106/12</f>
        <v>809526.42917069374</v>
      </c>
      <c r="J150" s="30">
        <f t="shared" ref="J150:J160" si="31">+H150+I150</f>
        <v>-1764740.5058672824</v>
      </c>
      <c r="K150" s="28">
        <f t="shared" si="26"/>
        <v>0.84109589041095889</v>
      </c>
      <c r="L150" s="36">
        <f t="shared" si="27"/>
        <v>-1484315.9871267278</v>
      </c>
      <c r="M150" s="157">
        <f t="shared" ref="M150:M160" si="32">+L150+M149</f>
        <v>-4969152.0556034911</v>
      </c>
      <c r="N150" s="8">
        <f t="shared" si="28"/>
        <v>715</v>
      </c>
      <c r="P150" s="35"/>
    </row>
    <row r="151" spans="1:16">
      <c r="A151" s="379">
        <f t="shared" si="18"/>
        <v>716</v>
      </c>
      <c r="B151" s="371">
        <f>'1-BaseTRR'!$G$1</f>
        <v>2022</v>
      </c>
      <c r="C151" s="299" t="s">
        <v>474</v>
      </c>
      <c r="D151" s="178">
        <f>+'9-PlantAdditions'!D29</f>
        <v>168713187.09376565</v>
      </c>
      <c r="E151" s="36">
        <f>+(($D$144/12)*'12-DepRates'!$N$21)+((D151*'12-DepRates'!$N$21)/12*10)</f>
        <v>6868057.3551679347</v>
      </c>
      <c r="F151" s="36">
        <f t="shared" si="29"/>
        <v>8435659.3546882831</v>
      </c>
      <c r="G151" s="36">
        <f t="shared" si="30"/>
        <v>9441715.1856791563</v>
      </c>
      <c r="H151" s="36">
        <f t="shared" si="25"/>
        <v>-3080803.2838374884</v>
      </c>
      <c r="I151" s="30">
        <f>-'1-BaseTRR'!$E$106/12</f>
        <v>809526.42917069374</v>
      </c>
      <c r="J151" s="30">
        <f t="shared" si="31"/>
        <v>-2271276.8546667947</v>
      </c>
      <c r="K151" s="28">
        <f t="shared" si="26"/>
        <v>0.75616438356164384</v>
      </c>
      <c r="L151" s="36">
        <f t="shared" si="27"/>
        <v>-1717458.662706946</v>
      </c>
      <c r="M151" s="157">
        <f t="shared" si="32"/>
        <v>-6686610.7183104372</v>
      </c>
      <c r="N151" s="8">
        <f t="shared" si="28"/>
        <v>716</v>
      </c>
    </row>
    <row r="152" spans="1:16">
      <c r="A152" s="379">
        <f t="shared" si="18"/>
        <v>717</v>
      </c>
      <c r="B152" s="371">
        <f>'1-BaseTRR'!$G$1</f>
        <v>2022</v>
      </c>
      <c r="C152" s="299" t="s">
        <v>475</v>
      </c>
      <c r="D152" s="178">
        <f>+'9-PlantAdditions'!D30</f>
        <v>111396904.04742429</v>
      </c>
      <c r="E152" s="36">
        <f>+(($D$144/12)*'12-DepRates'!$N$21)+((D152*'12-DepRates'!$N$21)/12*9)</f>
        <v>5235428.2883865759</v>
      </c>
      <c r="F152" s="36">
        <f t="shared" si="29"/>
        <v>5569845.2023712145</v>
      </c>
      <c r="G152" s="36">
        <f t="shared" si="30"/>
        <v>9441715.1856791563</v>
      </c>
      <c r="H152" s="36">
        <f t="shared" si="25"/>
        <v>-2735713.7022415171</v>
      </c>
      <c r="I152" s="30">
        <f>-'1-BaseTRR'!$E$106/12</f>
        <v>809526.42917069374</v>
      </c>
      <c r="J152" s="30">
        <f t="shared" si="31"/>
        <v>-1926187.2730708234</v>
      </c>
      <c r="K152" s="28">
        <f t="shared" si="26"/>
        <v>0.67397260273972603</v>
      </c>
      <c r="L152" s="36">
        <f t="shared" si="27"/>
        <v>-1298197.4497956783</v>
      </c>
      <c r="M152" s="157">
        <f t="shared" si="32"/>
        <v>-7984808.1681061154</v>
      </c>
      <c r="N152" s="8">
        <f t="shared" si="28"/>
        <v>717</v>
      </c>
    </row>
    <row r="153" spans="1:16">
      <c r="A153" s="379">
        <f t="shared" si="18"/>
        <v>718</v>
      </c>
      <c r="B153" s="371">
        <f>'1-BaseTRR'!$G$1</f>
        <v>2022</v>
      </c>
      <c r="C153" s="299" t="s">
        <v>437</v>
      </c>
      <c r="D153" s="178">
        <f>+'9-PlantAdditions'!D31</f>
        <v>156147952.88689169</v>
      </c>
      <c r="E153" s="36">
        <f>+(($D$144/12)*'12-DepRates'!$N$21)+((D153*'12-DepRates'!$N$21)/12*8)</f>
        <v>5823580.1486834083</v>
      </c>
      <c r="F153" s="36">
        <f t="shared" si="29"/>
        <v>7807397.644344585</v>
      </c>
      <c r="G153" s="36">
        <f t="shared" si="30"/>
        <v>9441715.1856791563</v>
      </c>
      <c r="H153" s="36">
        <f t="shared" si="25"/>
        <v>-3197275.3634155532</v>
      </c>
      <c r="I153" s="30">
        <f>-'1-BaseTRR'!$E$106/12</f>
        <v>809526.42917069374</v>
      </c>
      <c r="J153" s="30">
        <f t="shared" si="31"/>
        <v>-2387748.9342448595</v>
      </c>
      <c r="K153" s="28">
        <f t="shared" si="26"/>
        <v>0.58904109589041098</v>
      </c>
      <c r="L153" s="36">
        <f t="shared" si="27"/>
        <v>-1406482.2489387528</v>
      </c>
      <c r="M153" s="157">
        <f t="shared" si="32"/>
        <v>-9391290.4170448687</v>
      </c>
      <c r="N153" s="8">
        <f t="shared" si="28"/>
        <v>718</v>
      </c>
    </row>
    <row r="154" spans="1:16">
      <c r="A154" s="379">
        <f t="shared" si="18"/>
        <v>719</v>
      </c>
      <c r="B154" s="371">
        <f>'1-BaseTRR'!$G$1</f>
        <v>2022</v>
      </c>
      <c r="C154" s="299" t="s">
        <v>592</v>
      </c>
      <c r="D154" s="178">
        <f>+'9-PlantAdditions'!D32</f>
        <v>91280753.275437996</v>
      </c>
      <c r="E154" s="36">
        <f>+(($D$144/12)*'12-DepRates'!$N$21)+((D154*'12-DepRates'!$N$21)/12*7)</f>
        <v>4368250.2989398912</v>
      </c>
      <c r="F154" s="36">
        <f t="shared" si="29"/>
        <v>4564037.6637719003</v>
      </c>
      <c r="G154" s="36">
        <f t="shared" si="30"/>
        <v>9441715.1856791563</v>
      </c>
      <c r="H154" s="36">
        <f t="shared" si="25"/>
        <v>-2696920.1637248425</v>
      </c>
      <c r="I154" s="30">
        <f>-'1-BaseTRR'!$E$106/12</f>
        <v>809526.42917069374</v>
      </c>
      <c r="J154" s="30">
        <f t="shared" si="31"/>
        <v>-1887393.7345541487</v>
      </c>
      <c r="K154" s="28">
        <f t="shared" si="26"/>
        <v>0.50684931506849318</v>
      </c>
      <c r="L154" s="36">
        <f t="shared" si="27"/>
        <v>-956624.22162333573</v>
      </c>
      <c r="M154" s="157">
        <f t="shared" si="32"/>
        <v>-10347914.638668204</v>
      </c>
      <c r="N154" s="8">
        <f t="shared" si="28"/>
        <v>719</v>
      </c>
    </row>
    <row r="155" spans="1:16">
      <c r="A155" s="379">
        <f t="shared" si="18"/>
        <v>720</v>
      </c>
      <c r="B155" s="371">
        <f>'1-BaseTRR'!$G$1</f>
        <v>2022</v>
      </c>
      <c r="C155" s="299" t="s">
        <v>477</v>
      </c>
      <c r="D155" s="178">
        <f>+'9-PlantAdditions'!D33</f>
        <v>78359929.245238662</v>
      </c>
      <c r="E155" s="36">
        <f>+(($D$144/12)*'12-DepRates'!$N$21)+((D155*'12-DepRates'!$N$21)/12*6)</f>
        <v>3965660.029001019</v>
      </c>
      <c r="F155" s="36">
        <f t="shared" si="29"/>
        <v>3917996.4622619334</v>
      </c>
      <c r="G155" s="36">
        <f t="shared" si="30"/>
        <v>9441715.1856791563</v>
      </c>
      <c r="H155" s="36">
        <f t="shared" si="25"/>
        <v>-2628793.8288377132</v>
      </c>
      <c r="I155" s="30">
        <f>-'1-BaseTRR'!$E$106/12</f>
        <v>809526.42917069374</v>
      </c>
      <c r="J155" s="30">
        <f t="shared" si="31"/>
        <v>-1819267.3996670195</v>
      </c>
      <c r="K155" s="28">
        <f t="shared" si="26"/>
        <v>0.42191780821917807</v>
      </c>
      <c r="L155" s="36">
        <f t="shared" si="27"/>
        <v>-767581.31383211236</v>
      </c>
      <c r="M155" s="157">
        <f t="shared" si="32"/>
        <v>-11115495.952500315</v>
      </c>
      <c r="N155" s="8">
        <f t="shared" si="28"/>
        <v>720</v>
      </c>
    </row>
    <row r="156" spans="1:16">
      <c r="A156" s="379">
        <f t="shared" si="18"/>
        <v>721</v>
      </c>
      <c r="B156" s="371">
        <f>'1-BaseTRR'!$G$1</f>
        <v>2022</v>
      </c>
      <c r="C156" s="299" t="s">
        <v>478</v>
      </c>
      <c r="D156" s="178">
        <f>+'9-PlantAdditions'!D34</f>
        <v>120392585.66077438</v>
      </c>
      <c r="E156" s="36">
        <f>+(($D$144/12)*'12-DepRates'!$N$21)+((D156*'12-DepRates'!$N$21)/12*5)</f>
        <v>4280002.1880344376</v>
      </c>
      <c r="F156" s="36">
        <f t="shared" si="29"/>
        <v>6019629.2830387196</v>
      </c>
      <c r="G156" s="36">
        <f t="shared" si="30"/>
        <v>9441715.1856791563</v>
      </c>
      <c r="H156" s="36">
        <f t="shared" si="25"/>
        <v>-3128942.0984573304</v>
      </c>
      <c r="I156" s="30">
        <f>-'1-BaseTRR'!$E$106/12</f>
        <v>809526.42917069374</v>
      </c>
      <c r="J156" s="30">
        <f t="shared" si="31"/>
        <v>-2319415.6692866366</v>
      </c>
      <c r="K156" s="28">
        <f t="shared" si="26"/>
        <v>0.33698630136986302</v>
      </c>
      <c r="L156" s="36">
        <f t="shared" si="27"/>
        <v>-781611.3077322091</v>
      </c>
      <c r="M156" s="157">
        <f t="shared" si="32"/>
        <v>-11897107.260232525</v>
      </c>
      <c r="N156" s="8">
        <f t="shared" si="28"/>
        <v>721</v>
      </c>
    </row>
    <row r="157" spans="1:16">
      <c r="A157" s="379">
        <f t="shared" si="18"/>
        <v>722</v>
      </c>
      <c r="B157" s="371">
        <f>'1-BaseTRR'!$G$1</f>
        <v>2022</v>
      </c>
      <c r="C157" s="299" t="s">
        <v>480</v>
      </c>
      <c r="D157" s="178">
        <f>+'9-PlantAdditions'!D35</f>
        <v>165736425.10814631</v>
      </c>
      <c r="E157" s="36">
        <f>+(($D$144/12)*'12-DepRates'!$N$21)+((D157*'12-DepRates'!$N$21)/12*4)</f>
        <v>4425442.010640109</v>
      </c>
      <c r="F157" s="36">
        <f t="shared" si="29"/>
        <v>8286821.2554073157</v>
      </c>
      <c r="G157" s="36">
        <f t="shared" si="30"/>
        <v>9441715.1856791563</v>
      </c>
      <c r="H157" s="36">
        <f t="shared" si="25"/>
        <v>-3722684.7330383882</v>
      </c>
      <c r="I157" s="30">
        <f>-'1-BaseTRR'!$E$106/12</f>
        <v>809526.42917069374</v>
      </c>
      <c r="J157" s="30">
        <f t="shared" si="31"/>
        <v>-2913158.3038676945</v>
      </c>
      <c r="K157" s="28">
        <f t="shared" si="26"/>
        <v>0.25479452054794521</v>
      </c>
      <c r="L157" s="36">
        <f t="shared" si="27"/>
        <v>-742256.77331423445</v>
      </c>
      <c r="M157" s="157">
        <f t="shared" si="32"/>
        <v>-12639364.033546759</v>
      </c>
      <c r="N157" s="8">
        <f t="shared" si="28"/>
        <v>722</v>
      </c>
    </row>
    <row r="158" spans="1:16">
      <c r="A158" s="379">
        <f t="shared" si="18"/>
        <v>723</v>
      </c>
      <c r="B158" s="371">
        <f>'1-BaseTRR'!$G$1</f>
        <v>2022</v>
      </c>
      <c r="C158" s="299" t="s">
        <v>481</v>
      </c>
      <c r="D158" s="178">
        <f>+'9-PlantAdditions'!D36</f>
        <v>124240807.8295722</v>
      </c>
      <c r="E158" s="36">
        <f>+(($D$144/12)*'12-DepRates'!$N$21)+((D158*'12-DepRates'!$N$21)/12*3)</f>
        <v>3733278.9547255272</v>
      </c>
      <c r="F158" s="36">
        <f t="shared" si="29"/>
        <v>6212040.3914786102</v>
      </c>
      <c r="G158" s="36">
        <f t="shared" si="30"/>
        <v>9441715.1856791563</v>
      </c>
      <c r="H158" s="36">
        <f t="shared" si="25"/>
        <v>-3335778.4961149478</v>
      </c>
      <c r="I158" s="30">
        <f>-'1-BaseTRR'!$E$106/12</f>
        <v>809526.42917069374</v>
      </c>
      <c r="J158" s="30">
        <f t="shared" si="31"/>
        <v>-2526252.0669442541</v>
      </c>
      <c r="K158" s="28">
        <f t="shared" si="26"/>
        <v>0.16986301369863013</v>
      </c>
      <c r="L158" s="36">
        <f t="shared" si="27"/>
        <v>-429116.78945354454</v>
      </c>
      <c r="M158" s="157">
        <f t="shared" si="32"/>
        <v>-13068480.823000303</v>
      </c>
      <c r="N158" s="8">
        <f t="shared" si="28"/>
        <v>723</v>
      </c>
    </row>
    <row r="159" spans="1:16">
      <c r="A159" s="379">
        <f t="shared" si="18"/>
        <v>724</v>
      </c>
      <c r="B159" s="371">
        <f>'1-BaseTRR'!$G$1</f>
        <v>2022</v>
      </c>
      <c r="C159" s="299" t="s">
        <v>482</v>
      </c>
      <c r="D159" s="178">
        <f>+'9-PlantAdditions'!D37</f>
        <v>139484577.23498195</v>
      </c>
      <c r="E159" s="36">
        <f>+(($D$144/12)*'12-DepRates'!$N$21)+((D159*'12-DepRates'!$N$21)/12*2)</f>
        <v>3509683.6943131364</v>
      </c>
      <c r="F159" s="36">
        <f t="shared" si="29"/>
        <v>6974228.8617490977</v>
      </c>
      <c r="G159" s="36">
        <f t="shared" si="30"/>
        <v>9441715.1856791563</v>
      </c>
      <c r="H159" s="36">
        <f t="shared" si="25"/>
        <v>-3611636.2721743216</v>
      </c>
      <c r="I159" s="30">
        <f>-'1-BaseTRR'!$E$106/12</f>
        <v>809526.42917069374</v>
      </c>
      <c r="J159" s="30">
        <f t="shared" si="31"/>
        <v>-2802109.8430036278</v>
      </c>
      <c r="K159" s="28">
        <f t="shared" si="26"/>
        <v>8.7671232876712329E-2</v>
      </c>
      <c r="L159" s="36">
        <f t="shared" si="27"/>
        <v>-245664.42459209889</v>
      </c>
      <c r="M159" s="157">
        <f t="shared" si="32"/>
        <v>-13314145.247592401</v>
      </c>
      <c r="N159" s="8">
        <f t="shared" si="28"/>
        <v>724</v>
      </c>
    </row>
    <row r="160" spans="1:16">
      <c r="A160" s="379">
        <f t="shared" si="18"/>
        <v>725</v>
      </c>
      <c r="B160" s="371">
        <f>'1-BaseTRR'!$G$1</f>
        <v>2022</v>
      </c>
      <c r="C160" s="299" t="s">
        <v>470</v>
      </c>
      <c r="D160" s="556">
        <f>+'9-PlantAdditions'!D38</f>
        <v>283082048.0336504</v>
      </c>
      <c r="E160" s="557">
        <f>+(($D$144/12)*'12-DepRates'!$N$21)+((D160*'12-DepRates'!$N$21)/12*1)</f>
        <v>3519492.669691232</v>
      </c>
      <c r="F160" s="557">
        <f t="shared" si="29"/>
        <v>14154102.40168252</v>
      </c>
      <c r="G160" s="557">
        <f t="shared" si="30"/>
        <v>9441715.1856791563</v>
      </c>
      <c r="H160" s="557">
        <f t="shared" si="25"/>
        <v>-5618078.4596612258</v>
      </c>
      <c r="I160" s="558">
        <f>-'1-BaseTRR'!$E$106/12</f>
        <v>809526.42917069374</v>
      </c>
      <c r="J160" s="558">
        <f t="shared" si="31"/>
        <v>-4808552.0304905325</v>
      </c>
      <c r="K160" s="28">
        <f t="shared" si="26"/>
        <v>2.7397260273972603E-3</v>
      </c>
      <c r="L160" s="36">
        <f t="shared" si="27"/>
        <v>-13174.115152028857</v>
      </c>
      <c r="M160" s="157">
        <f t="shared" si="32"/>
        <v>-13327319.36274443</v>
      </c>
      <c r="N160" s="8">
        <f t="shared" si="28"/>
        <v>725</v>
      </c>
    </row>
    <row r="161" spans="1:14">
      <c r="A161" s="379">
        <f t="shared" si="18"/>
        <v>726</v>
      </c>
      <c r="C161" s="299" t="s">
        <v>1315</v>
      </c>
      <c r="D161" s="220">
        <f t="shared" ref="D161:J161" si="33">SUM(D149:D160)</f>
        <v>1675275599.1472158</v>
      </c>
      <c r="E161" s="566">
        <f t="shared" si="33"/>
        <v>57923232.807516411</v>
      </c>
      <c r="F161" s="566">
        <f t="shared" si="33"/>
        <v>83763779.957360804</v>
      </c>
      <c r="G161" s="566">
        <f t="shared" si="33"/>
        <v>113300582.22814985</v>
      </c>
      <c r="H161" s="566">
        <f t="shared" si="33"/>
        <v>-38936697.080620393</v>
      </c>
      <c r="I161" s="345">
        <f t="shared" si="33"/>
        <v>9714317.1500483267</v>
      </c>
      <c r="J161" s="345">
        <f t="shared" si="33"/>
        <v>-29222379.930572074</v>
      </c>
      <c r="K161" s="157"/>
      <c r="N161" s="8">
        <f t="shared" si="28"/>
        <v>726</v>
      </c>
    </row>
    <row r="162" spans="1:14">
      <c r="E162" s="36"/>
      <c r="N162" s="12"/>
    </row>
    <row r="163" spans="1:14">
      <c r="A163" s="379">
        <f>A161+1</f>
        <v>727</v>
      </c>
      <c r="C163" s="588" t="s">
        <v>1327</v>
      </c>
      <c r="D163" s="220">
        <f>+D144+D161</f>
        <v>2867913306.8119516</v>
      </c>
      <c r="E163" s="220">
        <f>+E144+E161</f>
        <v>76279102.470906481</v>
      </c>
      <c r="F163" s="220">
        <f>+F144+F161</f>
        <v>143395665.34059757</v>
      </c>
      <c r="G163" s="220">
        <f>+G144+G161</f>
        <v>113300582.22814985</v>
      </c>
      <c r="H163" s="589">
        <f>+H144+H161</f>
        <v>-50487212.215599418</v>
      </c>
      <c r="M163" s="157">
        <f>+M160</f>
        <v>-13327319.36274443</v>
      </c>
      <c r="N163" s="8">
        <f>+A163</f>
        <v>727</v>
      </c>
    </row>
    <row r="164" spans="1:14" ht="29">
      <c r="A164" s="379">
        <f t="shared" ref="A164" si="34">A163+1</f>
        <v>728</v>
      </c>
      <c r="C164" s="299" t="s">
        <v>1328</v>
      </c>
      <c r="D164" s="20"/>
      <c r="G164" s="36"/>
      <c r="H164" s="36"/>
      <c r="M164" s="563">
        <f>((M163*'1-BaseTRR'!E68)*(1+'1-BaseTRR'!E99/(1-'1-BaseTRR'!E99)))+(M163*'1-BaseTRR'!E63)</f>
        <v>-1170761.4311766215</v>
      </c>
      <c r="N164" s="8">
        <f>+A164</f>
        <v>728</v>
      </c>
    </row>
    <row r="165" spans="1:14">
      <c r="A165" s="379"/>
      <c r="M165" s="15" t="s">
        <v>249</v>
      </c>
      <c r="N165" s="8"/>
    </row>
    <row r="166" spans="1:14">
      <c r="N166" s="8"/>
    </row>
    <row r="167" spans="1:14">
      <c r="A167" s="144" t="s">
        <v>99</v>
      </c>
      <c r="B167" s="13" t="s">
        <v>462</v>
      </c>
      <c r="C167" s="13" t="s">
        <v>1329</v>
      </c>
      <c r="N167" s="13" t="str">
        <f t="shared" ref="N167:N183" si="35">+A167</f>
        <v>Line</v>
      </c>
    </row>
    <row r="168" spans="1:14">
      <c r="A168" s="379">
        <f>A164+1</f>
        <v>729</v>
      </c>
      <c r="B168" s="35">
        <v>1</v>
      </c>
      <c r="C168" s="28">
        <v>0.05</v>
      </c>
      <c r="N168" s="8">
        <f t="shared" si="35"/>
        <v>729</v>
      </c>
    </row>
    <row r="169" spans="1:14">
      <c r="A169" s="379">
        <f t="shared" ref="A169:A183" si="36">+A168+1</f>
        <v>730</v>
      </c>
      <c r="B169" s="35">
        <f>+B168+1</f>
        <v>2</v>
      </c>
      <c r="C169" s="28">
        <v>9.5000000000000001E-2</v>
      </c>
      <c r="E169" s="564"/>
      <c r="F169" s="157"/>
      <c r="N169" s="8">
        <f t="shared" si="35"/>
        <v>730</v>
      </c>
    </row>
    <row r="170" spans="1:14">
      <c r="A170" s="379">
        <f t="shared" si="36"/>
        <v>731</v>
      </c>
      <c r="B170" s="35">
        <f t="shared" ref="B170:B182" si="37">+B169+1</f>
        <v>3</v>
      </c>
      <c r="C170" s="28">
        <v>8.5500000000000007E-2</v>
      </c>
      <c r="E170" s="564"/>
      <c r="F170" s="157"/>
      <c r="N170" s="8">
        <f t="shared" si="35"/>
        <v>731</v>
      </c>
    </row>
    <row r="171" spans="1:14">
      <c r="A171" s="379">
        <f t="shared" si="36"/>
        <v>732</v>
      </c>
      <c r="B171" s="35">
        <f t="shared" si="37"/>
        <v>4</v>
      </c>
      <c r="C171" s="28">
        <v>7.6999999999999999E-2</v>
      </c>
      <c r="E171" s="564"/>
      <c r="F171" s="157"/>
      <c r="N171" s="8">
        <f t="shared" si="35"/>
        <v>732</v>
      </c>
    </row>
    <row r="172" spans="1:14">
      <c r="A172" s="379">
        <f t="shared" si="36"/>
        <v>733</v>
      </c>
      <c r="B172" s="35">
        <f t="shared" si="37"/>
        <v>5</v>
      </c>
      <c r="C172" s="28">
        <v>6.93E-2</v>
      </c>
      <c r="E172" s="564"/>
      <c r="F172" s="157"/>
      <c r="N172" s="8">
        <f t="shared" si="35"/>
        <v>733</v>
      </c>
    </row>
    <row r="173" spans="1:14">
      <c r="A173" s="379">
        <f t="shared" si="36"/>
        <v>734</v>
      </c>
      <c r="B173" s="35">
        <f t="shared" si="37"/>
        <v>6</v>
      </c>
      <c r="C173" s="28">
        <v>6.2300000000000001E-2</v>
      </c>
      <c r="E173" s="564"/>
      <c r="F173" s="157"/>
      <c r="N173" s="8">
        <f t="shared" si="35"/>
        <v>734</v>
      </c>
    </row>
    <row r="174" spans="1:14">
      <c r="A174" s="379">
        <f t="shared" si="36"/>
        <v>735</v>
      </c>
      <c r="B174" s="35">
        <f t="shared" si="37"/>
        <v>7</v>
      </c>
      <c r="C174" s="28">
        <v>5.8999999999999997E-2</v>
      </c>
      <c r="E174" s="564"/>
      <c r="F174" s="157"/>
      <c r="N174" s="8">
        <f t="shared" si="35"/>
        <v>735</v>
      </c>
    </row>
    <row r="175" spans="1:14">
      <c r="A175" s="379">
        <f t="shared" si="36"/>
        <v>736</v>
      </c>
      <c r="B175" s="35">
        <f t="shared" si="37"/>
        <v>8</v>
      </c>
      <c r="C175" s="28">
        <v>5.8999999999999997E-2</v>
      </c>
      <c r="E175" s="564"/>
      <c r="F175" s="157"/>
      <c r="N175" s="8">
        <f t="shared" si="35"/>
        <v>736</v>
      </c>
    </row>
    <row r="176" spans="1:14">
      <c r="A176" s="379">
        <f t="shared" si="36"/>
        <v>737</v>
      </c>
      <c r="B176" s="35">
        <f t="shared" si="37"/>
        <v>9</v>
      </c>
      <c r="C176" s="28">
        <v>5.91E-2</v>
      </c>
      <c r="E176" s="564"/>
      <c r="F176" s="157"/>
      <c r="N176" s="8">
        <f t="shared" si="35"/>
        <v>737</v>
      </c>
    </row>
    <row r="177" spans="1:14">
      <c r="A177" s="379">
        <f t="shared" si="36"/>
        <v>738</v>
      </c>
      <c r="B177" s="35">
        <f t="shared" si="37"/>
        <v>10</v>
      </c>
      <c r="C177" s="28">
        <v>5.8999999999999997E-2</v>
      </c>
      <c r="E177" s="564"/>
      <c r="F177" s="157"/>
      <c r="N177" s="8">
        <f t="shared" si="35"/>
        <v>738</v>
      </c>
    </row>
    <row r="178" spans="1:14">
      <c r="A178" s="379">
        <f t="shared" si="36"/>
        <v>739</v>
      </c>
      <c r="B178" s="35">
        <f t="shared" si="37"/>
        <v>11</v>
      </c>
      <c r="C178" s="28">
        <v>5.91E-2</v>
      </c>
      <c r="E178" s="564"/>
      <c r="F178" s="157"/>
      <c r="N178" s="8">
        <f t="shared" si="35"/>
        <v>739</v>
      </c>
    </row>
    <row r="179" spans="1:14">
      <c r="A179" s="379">
        <f t="shared" si="36"/>
        <v>740</v>
      </c>
      <c r="B179" s="35">
        <f t="shared" si="37"/>
        <v>12</v>
      </c>
      <c r="C179" s="28">
        <v>5.8999999999999997E-2</v>
      </c>
      <c r="E179" s="564"/>
      <c r="F179" s="157"/>
      <c r="N179" s="8">
        <f t="shared" si="35"/>
        <v>740</v>
      </c>
    </row>
    <row r="180" spans="1:14">
      <c r="A180" s="379">
        <f t="shared" si="36"/>
        <v>741</v>
      </c>
      <c r="B180" s="35">
        <f t="shared" si="37"/>
        <v>13</v>
      </c>
      <c r="C180" s="28">
        <v>5.91E-2</v>
      </c>
      <c r="E180" s="564"/>
      <c r="F180" s="157"/>
      <c r="N180" s="8">
        <f t="shared" si="35"/>
        <v>741</v>
      </c>
    </row>
    <row r="181" spans="1:14">
      <c r="A181" s="379">
        <f t="shared" si="36"/>
        <v>742</v>
      </c>
      <c r="B181" s="35">
        <f t="shared" si="37"/>
        <v>14</v>
      </c>
      <c r="C181" s="28">
        <v>5.8999999999999997E-2</v>
      </c>
      <c r="E181" s="564"/>
      <c r="N181" s="8">
        <f t="shared" si="35"/>
        <v>742</v>
      </c>
    </row>
    <row r="182" spans="1:14">
      <c r="A182" s="379">
        <f t="shared" si="36"/>
        <v>743</v>
      </c>
      <c r="B182" s="35">
        <f t="shared" si="37"/>
        <v>15</v>
      </c>
      <c r="C182" s="28">
        <v>5.91E-2</v>
      </c>
      <c r="E182" s="157"/>
      <c r="N182" s="8">
        <f t="shared" si="35"/>
        <v>743</v>
      </c>
    </row>
    <row r="183" spans="1:14">
      <c r="A183" s="379">
        <f t="shared" si="36"/>
        <v>744</v>
      </c>
      <c r="B183" s="35">
        <f>+B182+1</f>
        <v>16</v>
      </c>
      <c r="C183" s="28">
        <v>2.9499999999999998E-2</v>
      </c>
      <c r="N183" s="8">
        <f t="shared" si="35"/>
        <v>744</v>
      </c>
    </row>
    <row r="184" spans="1:14">
      <c r="A184" s="35"/>
      <c r="K184" s="8"/>
    </row>
    <row r="185" spans="1:14">
      <c r="A185" s="35"/>
      <c r="B185" s="197" t="s">
        <v>304</v>
      </c>
      <c r="K185" s="8"/>
    </row>
    <row r="186" spans="1:14">
      <c r="A186" s="35"/>
      <c r="B186" s="806" t="s">
        <v>1330</v>
      </c>
      <c r="C186" s="806"/>
      <c r="D186" s="806"/>
      <c r="E186" s="806"/>
      <c r="F186" s="806"/>
      <c r="G186" s="806"/>
      <c r="H186" s="806"/>
      <c r="I186" s="806"/>
      <c r="J186" s="806"/>
      <c r="K186" s="8"/>
    </row>
    <row r="187" spans="1:14">
      <c r="A187" s="35"/>
      <c r="B187" s="806" t="s">
        <v>1331</v>
      </c>
      <c r="C187" s="806"/>
      <c r="D187" s="806"/>
      <c r="E187" s="806"/>
      <c r="F187" s="806"/>
      <c r="G187" s="806"/>
      <c r="H187" s="806"/>
      <c r="I187" s="806"/>
      <c r="J187" s="806"/>
      <c r="K187" s="8"/>
    </row>
    <row r="188" spans="1:14">
      <c r="B188" t="s">
        <v>1332</v>
      </c>
    </row>
  </sheetData>
  <protectedRanges>
    <protectedRange password="F1C4" sqref="D13:D14 D16 D21:D25 F18 D18:E20 D26:F28 B7:C31 E14:E17 D52:D53 D73:D74 D90:D91 J54:J57 J93:J94 J32:J41 J76:J79 J59 D31:F31 D29:D30 F29:F30" name="AAReport1_23_1_1_2"/>
    <protectedRange password="F1C4" sqref="J58" name="AAReport1_23_1_1_2_3"/>
    <protectedRange password="F1C4" sqref="D17" name="AAReport1_23_1_1_2_2_1"/>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s>
  <mergeCells count="2">
    <mergeCell ref="B186:J186"/>
    <mergeCell ref="B187:J187"/>
  </mergeCells>
  <conditionalFormatting sqref="B80 D80 D96">
    <cfRule type="expression" dxfId="5" priority="14" stopIfTrue="1">
      <formula>Formulas</formula>
    </cfRule>
  </conditionalFormatting>
  <conditionalFormatting sqref="B96">
    <cfRule type="expression" dxfId="4" priority="11" stopIfTrue="1">
      <formula>Formulas</formula>
    </cfRule>
  </conditionalFormatting>
  <conditionalFormatting sqref="C76:C78">
    <cfRule type="expression" dxfId="3" priority="1" stopIfTrue="1">
      <formula>#REF!&lt;&gt;""</formula>
    </cfRule>
  </conditionalFormatting>
  <conditionalFormatting sqref="C79">
    <cfRule type="expression" dxfId="2" priority="6" stopIfTrue="1">
      <formula>#REF!&lt;&gt;""</formula>
    </cfRule>
  </conditionalFormatting>
  <conditionalFormatting sqref="C80">
    <cfRule type="expression" dxfId="1" priority="13" stopIfTrue="1">
      <formula>#REF!&lt;&gt;""</formula>
    </cfRule>
  </conditionalFormatting>
  <conditionalFormatting sqref="C93:C96">
    <cfRule type="expression" dxfId="0" priority="2" stopIfTrue="1">
      <formula>#REF!&lt;&gt;""</formula>
    </cfRule>
  </conditionalFormatting>
  <printOptions horizontalCentered="1"/>
  <pageMargins left="1" right="1" top="1" bottom="1" header="0.5" footer="0.5"/>
  <pageSetup scale="32" fitToHeight="0" orientation="landscape" r:id="rId1"/>
  <headerFooter>
    <oddHeader xml:space="preserve">&amp;C&amp;"-,Bold"Pacific Gas and Electric Company
Formula Rate Model
Schedule &amp;A&amp;R&amp;10Docket No. ER19-13-000, et al- Annual Update RY2024
&amp;F
</oddHeader>
  </headerFooter>
  <rowBreaks count="2" manualBreakCount="2">
    <brk id="69" max="13" man="1"/>
    <brk id="124" max="13" man="1"/>
  </rowBreaks>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32"/>
  <sheetViews>
    <sheetView tabSelected="1" view="pageBreakPreview" topLeftCell="C1" zoomScaleSheetLayoutView="100" zoomScalePageLayoutView="85" workbookViewId="0">
      <selection activeCell="E21" sqref="E21"/>
    </sheetView>
  </sheetViews>
  <sheetFormatPr defaultColWidth="9.1796875" defaultRowHeight="14.5"/>
  <cols>
    <col min="1" max="1" width="4.54296875" bestFit="1" customWidth="1"/>
    <col min="2" max="2" width="59.54296875" bestFit="1" customWidth="1"/>
    <col min="3" max="3" width="20.81640625" customWidth="1"/>
    <col min="4" max="4" width="56.7265625" style="6" bestFit="1" customWidth="1"/>
    <col min="5" max="5" width="22.54296875" bestFit="1" customWidth="1"/>
    <col min="6" max="6" width="19.453125" bestFit="1" customWidth="1"/>
    <col min="7" max="7" width="4.54296875" bestFit="1" customWidth="1"/>
  </cols>
  <sheetData>
    <row r="1" spans="1:7">
      <c r="B1" s="12" t="s">
        <v>42</v>
      </c>
      <c r="E1" s="15"/>
      <c r="F1" s="15" t="str">
        <f>CONCATENATE("Prior Year: ",'1-BaseTRR'!$G$2)</f>
        <v>Prior Year: 2020</v>
      </c>
    </row>
    <row r="2" spans="1:7">
      <c r="B2" s="113" t="s">
        <v>130</v>
      </c>
      <c r="E2" s="15"/>
      <c r="F2" s="15"/>
    </row>
    <row r="3" spans="1:7">
      <c r="B3" s="200"/>
      <c r="G3" s="307"/>
    </row>
    <row r="4" spans="1:7">
      <c r="B4" s="52" t="s">
        <v>1333</v>
      </c>
      <c r="C4" s="219"/>
      <c r="D4" s="48"/>
      <c r="E4" s="219"/>
      <c r="F4" s="219"/>
      <c r="G4" s="307"/>
    </row>
    <row r="5" spans="1:7">
      <c r="A5" s="13" t="s">
        <v>99</v>
      </c>
      <c r="B5" s="13" t="s">
        <v>6</v>
      </c>
      <c r="C5" s="13" t="s">
        <v>492</v>
      </c>
      <c r="D5" s="13" t="s">
        <v>134</v>
      </c>
      <c r="E5" s="13" t="s">
        <v>135</v>
      </c>
      <c r="F5" s="13" t="str">
        <f>A5</f>
        <v>Line</v>
      </c>
    </row>
    <row r="6" spans="1:7">
      <c r="A6" s="379">
        <v>100</v>
      </c>
      <c r="B6" t="s">
        <v>1334</v>
      </c>
      <c r="C6" s="344">
        <v>218619488.13</v>
      </c>
      <c r="D6" s="6" t="s">
        <v>1335</v>
      </c>
      <c r="E6" s="34"/>
      <c r="F6" s="379">
        <f>A6</f>
        <v>100</v>
      </c>
    </row>
    <row r="7" spans="1:7">
      <c r="A7" s="379">
        <f>A6+1</f>
        <v>101</v>
      </c>
      <c r="B7" t="s">
        <v>1336</v>
      </c>
      <c r="C7" s="30">
        <f>C8-C6</f>
        <v>136608652.87</v>
      </c>
      <c r="D7" s="6" t="str">
        <f>CONCATENATE("Line ",A8," - ","Line ",A6)</f>
        <v>Line 102 - Line 100</v>
      </c>
      <c r="F7" s="379">
        <f>A7</f>
        <v>101</v>
      </c>
    </row>
    <row r="8" spans="1:7">
      <c r="A8" s="379">
        <f>A7+1</f>
        <v>102</v>
      </c>
      <c r="B8" t="s">
        <v>1337</v>
      </c>
      <c r="C8" s="344">
        <v>355228141</v>
      </c>
      <c r="D8" s="488" t="s">
        <v>1338</v>
      </c>
      <c r="F8" s="379">
        <f>A8</f>
        <v>102</v>
      </c>
    </row>
    <row r="9" spans="1:7">
      <c r="C9" s="20"/>
      <c r="D9" s="488"/>
      <c r="E9" s="34"/>
    </row>
    <row r="10" spans="1:7">
      <c r="B10" s="52" t="s">
        <v>1339</v>
      </c>
      <c r="C10" s="54"/>
      <c r="D10" s="489"/>
      <c r="E10" s="308"/>
    </row>
    <row r="11" spans="1:7">
      <c r="A11" s="13" t="s">
        <v>99</v>
      </c>
      <c r="B11" s="13" t="s">
        <v>6</v>
      </c>
      <c r="C11" s="309" t="s">
        <v>492</v>
      </c>
      <c r="D11" s="13" t="s">
        <v>134</v>
      </c>
      <c r="E11" s="13" t="s">
        <v>135</v>
      </c>
      <c r="F11" s="13" t="str">
        <f>A11</f>
        <v>Line</v>
      </c>
    </row>
    <row r="12" spans="1:7">
      <c r="A12" s="379">
        <f>A8+1</f>
        <v>103</v>
      </c>
      <c r="B12" t="s">
        <v>1340</v>
      </c>
      <c r="C12" s="344">
        <v>200840150.52000001</v>
      </c>
      <c r="D12" s="6" t="s">
        <v>1341</v>
      </c>
      <c r="E12" s="34"/>
      <c r="F12" s="379">
        <f>A12</f>
        <v>103</v>
      </c>
    </row>
    <row r="13" spans="1:7">
      <c r="A13" s="379">
        <f>A12+1</f>
        <v>104</v>
      </c>
      <c r="B13" t="s">
        <v>1342</v>
      </c>
      <c r="C13" s="30">
        <f>C14-C12</f>
        <v>125341153.47999999</v>
      </c>
      <c r="D13" s="6" t="str">
        <f>CONCATENATE("Line ",A14," - ","Line ",A12)</f>
        <v>Line 105 - Line 103</v>
      </c>
      <c r="F13" s="379">
        <f>A13</f>
        <v>104</v>
      </c>
    </row>
    <row r="14" spans="1:7">
      <c r="A14" s="379">
        <f>A13+1</f>
        <v>105</v>
      </c>
      <c r="B14" t="s">
        <v>1337</v>
      </c>
      <c r="C14" s="344">
        <v>326181304</v>
      </c>
      <c r="D14" s="488" t="s">
        <v>1343</v>
      </c>
      <c r="F14" s="379">
        <f>A14</f>
        <v>105</v>
      </c>
    </row>
    <row r="15" spans="1:7">
      <c r="A15" s="379"/>
      <c r="C15" s="30"/>
      <c r="D15" s="488"/>
      <c r="E15" s="34"/>
      <c r="F15" s="379"/>
    </row>
    <row r="16" spans="1:7">
      <c r="A16" s="379">
        <f>A14+1</f>
        <v>106</v>
      </c>
      <c r="B16" t="s">
        <v>1344</v>
      </c>
      <c r="C16" s="344">
        <v>6397845</v>
      </c>
      <c r="D16" s="6" t="s">
        <v>1345</v>
      </c>
      <c r="F16" s="379">
        <f>A16</f>
        <v>106</v>
      </c>
    </row>
    <row r="17" spans="1:7">
      <c r="A17" s="379">
        <f>A16+1</f>
        <v>107</v>
      </c>
      <c r="B17" t="s">
        <v>1346</v>
      </c>
      <c r="C17" s="30">
        <f>C18-C16</f>
        <v>167751087</v>
      </c>
      <c r="D17" s="6" t="str">
        <f>CONCATENATE("Line ",A18," - ","Line ",A16)</f>
        <v>Line 108 - Line 106</v>
      </c>
      <c r="F17" s="379">
        <f>A17</f>
        <v>107</v>
      </c>
    </row>
    <row r="18" spans="1:7">
      <c r="A18" s="379">
        <f>A17+1</f>
        <v>108</v>
      </c>
      <c r="B18" t="s">
        <v>1347</v>
      </c>
      <c r="C18" s="344">
        <v>174148932</v>
      </c>
      <c r="D18" s="6" t="s">
        <v>1348</v>
      </c>
      <c r="F18" s="379">
        <f>A18</f>
        <v>108</v>
      </c>
    </row>
    <row r="19" spans="1:7">
      <c r="A19" s="379"/>
      <c r="C19" s="30"/>
      <c r="F19" s="379"/>
    </row>
    <row r="20" spans="1:7">
      <c r="A20" s="379">
        <f>A18+1</f>
        <v>109</v>
      </c>
      <c r="B20" s="15" t="s">
        <v>1349</v>
      </c>
      <c r="C20" s="345">
        <f>AVERAGE(C6,C12)</f>
        <v>209729819.32499999</v>
      </c>
      <c r="D20" s="6" t="str">
        <f>"Average of Lines "&amp;A6&amp;" and "&amp;A12&amp;""</f>
        <v>Average of Lines 100 and 103</v>
      </c>
      <c r="F20" s="379">
        <f>A20</f>
        <v>109</v>
      </c>
    </row>
    <row r="21" spans="1:7">
      <c r="A21" s="379"/>
      <c r="C21" s="15"/>
      <c r="D21" s="490"/>
      <c r="E21" s="6"/>
      <c r="G21" s="379"/>
    </row>
    <row r="22" spans="1:7">
      <c r="B22" s="16"/>
    </row>
    <row r="32" spans="1:7">
      <c r="D32" s="3"/>
      <c r="E32" s="17"/>
    </row>
  </sheetData>
  <protectedRanges>
    <protectedRange password="F1C4" sqref="D7 D13 D17" name="AAReport1_23_1_1_2_3"/>
  </protectedRanges>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pageSetUpPr fitToPage="1"/>
  </sheetPr>
  <dimension ref="A1:G74"/>
  <sheetViews>
    <sheetView tabSelected="1" view="pageBreakPreview" topLeftCell="A35" zoomScale="70" zoomScaleNormal="85" zoomScaleSheetLayoutView="70" workbookViewId="0">
      <selection activeCell="E21" sqref="E21"/>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s>
  <sheetData>
    <row r="1" spans="1:7">
      <c r="B1" s="12" t="s">
        <v>44</v>
      </c>
      <c r="F1" s="15" t="str">
        <f>CONCATENATE("Prior Year: ",'1-BaseTRR'!$G$2)</f>
        <v>Prior Year: 2020</v>
      </c>
    </row>
    <row r="2" spans="1:7">
      <c r="B2" s="113" t="s">
        <v>130</v>
      </c>
      <c r="F2" s="15"/>
    </row>
    <row r="3" spans="1:7">
      <c r="B3" s="200"/>
      <c r="D3" s="8" t="s">
        <v>413</v>
      </c>
      <c r="E3" s="8" t="s">
        <v>414</v>
      </c>
      <c r="F3" s="13" t="s">
        <v>134</v>
      </c>
    </row>
    <row r="4" spans="1:7">
      <c r="A4" s="13" t="s">
        <v>99</v>
      </c>
      <c r="B4" s="52" t="s">
        <v>1350</v>
      </c>
      <c r="C4" s="219"/>
      <c r="D4" s="219"/>
      <c r="E4" s="219"/>
      <c r="F4" s="219"/>
      <c r="G4" s="13" t="str">
        <f>A4</f>
        <v>Line</v>
      </c>
    </row>
    <row r="5" spans="1:7">
      <c r="A5" s="8">
        <v>100</v>
      </c>
      <c r="B5" s="6" t="s">
        <v>1351</v>
      </c>
      <c r="E5" s="63">
        <f>E18+E27+E34+E43+E52</f>
        <v>-43740517</v>
      </c>
      <c r="F5" s="6" t="s">
        <v>1352</v>
      </c>
      <c r="G5" s="8">
        <f>A5</f>
        <v>100</v>
      </c>
    </row>
    <row r="6" spans="1:7">
      <c r="A6" s="8">
        <f>A5+1</f>
        <v>101</v>
      </c>
      <c r="B6" s="6" t="s">
        <v>1353</v>
      </c>
      <c r="E6" s="63">
        <f>E15+E25+E41+E32+E50</f>
        <v>-64531828.984523237</v>
      </c>
      <c r="F6" s="6" t="s">
        <v>1354</v>
      </c>
      <c r="G6" s="8">
        <f>A6</f>
        <v>101</v>
      </c>
    </row>
    <row r="7" spans="1:7">
      <c r="B7" s="200"/>
    </row>
    <row r="8" spans="1:7">
      <c r="B8" s="52" t="s">
        <v>1355</v>
      </c>
      <c r="C8" s="219"/>
      <c r="D8" s="219"/>
      <c r="E8" s="219"/>
      <c r="F8" s="219"/>
    </row>
    <row r="9" spans="1:7">
      <c r="D9" s="13" t="s">
        <v>413</v>
      </c>
      <c r="E9" s="13" t="s">
        <v>414</v>
      </c>
      <c r="F9" s="35"/>
    </row>
    <row r="10" spans="1:7" ht="24" customHeight="1">
      <c r="A10" s="13" t="s">
        <v>99</v>
      </c>
      <c r="B10" s="13" t="s">
        <v>6</v>
      </c>
      <c r="C10" s="13"/>
      <c r="D10" s="162" t="s">
        <v>1356</v>
      </c>
      <c r="E10" s="13" t="s">
        <v>1357</v>
      </c>
      <c r="F10" s="13" t="s">
        <v>134</v>
      </c>
      <c r="G10" s="13" t="str">
        <f t="shared" ref="G10:G15" si="0">A10</f>
        <v>Line</v>
      </c>
    </row>
    <row r="11" spans="1:7" ht="18" customHeight="1">
      <c r="A11" s="8">
        <v>200</v>
      </c>
      <c r="B11" t="s">
        <v>1358</v>
      </c>
      <c r="D11" s="46">
        <v>-262908183.56999999</v>
      </c>
      <c r="E11" s="46">
        <v>-337183744.5</v>
      </c>
      <c r="F11" s="3" t="s">
        <v>110</v>
      </c>
      <c r="G11" s="8">
        <f t="shared" si="0"/>
        <v>200</v>
      </c>
    </row>
    <row r="12" spans="1:7" ht="18" customHeight="1">
      <c r="A12" s="8">
        <f>A11+1</f>
        <v>201</v>
      </c>
      <c r="B12" t="s">
        <v>1359</v>
      </c>
      <c r="D12" s="26">
        <v>45700000</v>
      </c>
      <c r="E12" s="26">
        <v>45700000</v>
      </c>
      <c r="F12" s="3" t="s">
        <v>202</v>
      </c>
      <c r="G12" s="8">
        <f t="shared" si="0"/>
        <v>201</v>
      </c>
    </row>
    <row r="13" spans="1:7" ht="18" customHeight="1">
      <c r="A13" s="8">
        <f>A12+1</f>
        <v>202</v>
      </c>
      <c r="B13" t="s">
        <v>1360</v>
      </c>
      <c r="D13" s="29">
        <f>+D12+D11</f>
        <v>-217208183.56999999</v>
      </c>
      <c r="E13" s="29">
        <f>+E12+E11</f>
        <v>-291483744.5</v>
      </c>
      <c r="F13" s="6" t="str">
        <f>"Line "&amp;A11&amp;" + Line "&amp;A12&amp;""</f>
        <v>Line 200 + Line 201</v>
      </c>
      <c r="G13" s="8">
        <f t="shared" si="0"/>
        <v>202</v>
      </c>
    </row>
    <row r="14" spans="1:7" ht="18" customHeight="1">
      <c r="A14" s="8">
        <f>A13+1</f>
        <v>203</v>
      </c>
      <c r="B14" t="s">
        <v>1361</v>
      </c>
      <c r="D14" s="31">
        <f>'24-Allocators'!$C$24</f>
        <v>9.5345604059498199E-2</v>
      </c>
      <c r="E14" s="31">
        <f>'24-Allocators'!$C$24</f>
        <v>9.5345604059498199E-2</v>
      </c>
      <c r="F14" s="6" t="str">
        <f>CONCATENATE("24-Allocators, Line ",'24-Allocators'!A24)</f>
        <v>24-Allocators, Line 113</v>
      </c>
      <c r="G14" s="8">
        <f t="shared" si="0"/>
        <v>203</v>
      </c>
    </row>
    <row r="15" spans="1:7" ht="18" customHeight="1">
      <c r="A15" s="8">
        <f>A14+1</f>
        <v>204</v>
      </c>
      <c r="B15" s="12" t="s">
        <v>1362</v>
      </c>
      <c r="C15" s="12"/>
      <c r="D15" s="63">
        <f>ROUND(D13*D14,0)</f>
        <v>-20709845</v>
      </c>
      <c r="E15" s="63">
        <f>ROUND(E13*E14,0)</f>
        <v>-27791694</v>
      </c>
      <c r="F15" s="6" t="str">
        <f>"Line "&amp;A13&amp;" * Line "&amp;A14&amp;""</f>
        <v>Line 202 * Line 203</v>
      </c>
      <c r="G15" s="8">
        <f t="shared" si="0"/>
        <v>204</v>
      </c>
    </row>
    <row r="16" spans="1:7" ht="18" customHeight="1">
      <c r="A16" s="8"/>
      <c r="D16" s="22"/>
      <c r="E16" s="22"/>
      <c r="F16" s="6"/>
      <c r="G16" s="8"/>
    </row>
    <row r="17" spans="1:7" ht="18" customHeight="1">
      <c r="A17" s="8"/>
      <c r="F17" s="6"/>
      <c r="G17" s="8"/>
    </row>
    <row r="18" spans="1:7" ht="18" customHeight="1">
      <c r="A18" s="8">
        <f>A15+1</f>
        <v>205</v>
      </c>
      <c r="D18" s="15" t="s">
        <v>1363</v>
      </c>
      <c r="E18" s="63">
        <f>ROUND(AVERAGE(D15:E15),0)</f>
        <v>-24250770</v>
      </c>
      <c r="F18" s="6" t="str">
        <f>CONCATENATE("Average of Line ",A15,", ",D9," and ",E9)</f>
        <v>Average of Line 204, Col 1 and Col 2</v>
      </c>
      <c r="G18" s="8">
        <f>A18</f>
        <v>205</v>
      </c>
    </row>
    <row r="19" spans="1:7" ht="18" customHeight="1">
      <c r="A19" s="8"/>
      <c r="D19" s="15"/>
      <c r="E19" s="345"/>
      <c r="F19" s="35"/>
      <c r="G19" s="8"/>
    </row>
    <row r="20" spans="1:7" ht="18" customHeight="1">
      <c r="B20" s="52" t="s">
        <v>1364</v>
      </c>
      <c r="C20" s="219"/>
      <c r="D20" s="219"/>
      <c r="E20" s="219"/>
      <c r="F20" s="210"/>
    </row>
    <row r="21" spans="1:7" ht="18" customHeight="1">
      <c r="B21" s="12"/>
      <c r="D21" s="8" t="s">
        <v>413</v>
      </c>
      <c r="E21" s="8" t="s">
        <v>414</v>
      </c>
      <c r="F21" s="35"/>
    </row>
    <row r="22" spans="1:7" ht="18" customHeight="1">
      <c r="D22" s="13" t="s">
        <v>1365</v>
      </c>
      <c r="E22" s="13" t="s">
        <v>542</v>
      </c>
      <c r="F22" s="13" t="s">
        <v>134</v>
      </c>
    </row>
    <row r="23" spans="1:7" ht="18" customHeight="1">
      <c r="A23" s="8">
        <v>300</v>
      </c>
      <c r="B23" t="s">
        <v>1366</v>
      </c>
      <c r="D23" s="29">
        <f>-'5-CostofCap-4'!E8</f>
        <v>-13916317.264999999</v>
      </c>
      <c r="E23" s="46">
        <f>-'5-CostofCap-4'!E8*2</f>
        <v>-27832634.529999997</v>
      </c>
      <c r="F23" s="608" t="str">
        <f>CONCATENATE("Negative 5-CostofCap-4, Line ",'5-CostofCap-4'!A8," (see Note 3)")</f>
        <v>Negative 5-CostofCap-4, Line 102 (see Note 3)</v>
      </c>
      <c r="G23" s="8">
        <f t="shared" ref="G23:G25" si="1">A23</f>
        <v>300</v>
      </c>
    </row>
    <row r="24" spans="1:7" ht="18" customHeight="1">
      <c r="A24" s="8">
        <f>+A23+1</f>
        <v>301</v>
      </c>
      <c r="B24" t="s">
        <v>1367</v>
      </c>
      <c r="D24" s="38">
        <f>+E24</f>
        <v>0.16091607831287183</v>
      </c>
      <c r="E24" s="38">
        <f>+'24-Allocators'!C29</f>
        <v>0.16091607831287183</v>
      </c>
      <c r="F24" s="6" t="str">
        <f>CONCATENATE("24-Allocators, Line ",'24-Allocators'!A29)</f>
        <v>24-Allocators, Line 116</v>
      </c>
      <c r="G24" s="8">
        <f t="shared" si="1"/>
        <v>301</v>
      </c>
    </row>
    <row r="25" spans="1:7" ht="18" customHeight="1">
      <c r="A25" s="8">
        <f>+A24+1</f>
        <v>302</v>
      </c>
      <c r="B25" t="s">
        <v>1368</v>
      </c>
      <c r="D25" s="609">
        <f>+D24*D23</f>
        <v>-2239359.1988415103</v>
      </c>
      <c r="E25" s="609">
        <f>IF(OR('1-BaseTRR'!$G$2=2019,'1-BaseTRR'!$G$2=2020),+E24*E23,0)</f>
        <v>-4478718.3976830207</v>
      </c>
      <c r="F25" s="6" t="str">
        <f>"Line "&amp;A23&amp;" * Line "&amp;A24&amp;" (see Note 3)"</f>
        <v>Line 300 * Line 301 (see Note 3)</v>
      </c>
      <c r="G25" s="8">
        <f t="shared" si="1"/>
        <v>302</v>
      </c>
    </row>
    <row r="26" spans="1:7" ht="18" customHeight="1">
      <c r="A26" s="8"/>
      <c r="E26" s="12"/>
      <c r="F26" s="6"/>
    </row>
    <row r="27" spans="1:7" ht="18" customHeight="1">
      <c r="A27" s="8">
        <f>+A25+1</f>
        <v>303</v>
      </c>
      <c r="D27" s="15" t="s">
        <v>1363</v>
      </c>
      <c r="E27" s="63">
        <f>ROUND(AVERAGE(D25:E25),0)</f>
        <v>-3359039</v>
      </c>
      <c r="F27" s="6" t="str">
        <f>CONCATENATE("Average of Line ",A25,", ",D21," and ",E21)</f>
        <v>Average of Line 302, Col 1 and Col 2</v>
      </c>
      <c r="G27" s="8">
        <f t="shared" ref="G27" si="2">A27</f>
        <v>303</v>
      </c>
    </row>
    <row r="28" spans="1:7" ht="18" customHeight="1">
      <c r="F28" s="35"/>
    </row>
    <row r="29" spans="1:7" ht="18" customHeight="1">
      <c r="B29" s="52" t="s">
        <v>1369</v>
      </c>
      <c r="C29" s="219"/>
      <c r="D29" s="219"/>
      <c r="E29" s="219"/>
      <c r="F29" s="210"/>
    </row>
    <row r="30" spans="1:7" ht="18" customHeight="1">
      <c r="A30" s="8"/>
      <c r="D30" s="8" t="s">
        <v>413</v>
      </c>
      <c r="E30" s="8" t="s">
        <v>414</v>
      </c>
      <c r="F30" s="6"/>
      <c r="G30" s="8"/>
    </row>
    <row r="31" spans="1:7" ht="18" customHeight="1">
      <c r="A31" s="8"/>
      <c r="D31" s="13" t="s">
        <v>1365</v>
      </c>
      <c r="E31" s="13" t="s">
        <v>542</v>
      </c>
      <c r="F31" s="13" t="s">
        <v>134</v>
      </c>
      <c r="G31" s="8"/>
    </row>
    <row r="32" spans="1:7" ht="18" customHeight="1">
      <c r="A32" s="8">
        <v>400</v>
      </c>
      <c r="B32" t="s">
        <v>1370</v>
      </c>
      <c r="D32" s="715">
        <v>0</v>
      </c>
      <c r="E32" s="46">
        <v>-7366110</v>
      </c>
      <c r="F32" s="6" t="s">
        <v>1371</v>
      </c>
      <c r="G32" s="8">
        <f t="shared" ref="G32" si="3">A32</f>
        <v>400</v>
      </c>
    </row>
    <row r="33" spans="1:7" ht="18" customHeight="1">
      <c r="A33" s="8"/>
      <c r="D33" s="15"/>
      <c r="E33" s="24"/>
      <c r="F33" s="6"/>
      <c r="G33" s="8"/>
    </row>
    <row r="34" spans="1:7" ht="18" customHeight="1">
      <c r="A34" s="8">
        <f>+A32+1</f>
        <v>401</v>
      </c>
      <c r="D34" s="15" t="s">
        <v>1363</v>
      </c>
      <c r="E34" s="24">
        <f>ROUND(AVERAGE(D32:E32),0)</f>
        <v>-3683055</v>
      </c>
      <c r="F34" s="6" t="str">
        <f>CONCATENATE("Average of Line ",A32,"")</f>
        <v>Average of Line 400</v>
      </c>
      <c r="G34" s="8">
        <f>A34</f>
        <v>401</v>
      </c>
    </row>
    <row r="35" spans="1:7" ht="18" customHeight="1">
      <c r="A35" s="8"/>
      <c r="D35" s="15"/>
      <c r="E35" s="24"/>
      <c r="F35" s="6"/>
      <c r="G35" s="8"/>
    </row>
    <row r="36" spans="1:7" ht="18" customHeight="1">
      <c r="B36" s="52" t="s">
        <v>1372</v>
      </c>
      <c r="C36" s="219"/>
      <c r="D36" s="219"/>
      <c r="E36" s="219"/>
      <c r="F36" s="210"/>
    </row>
    <row r="37" spans="1:7" ht="18" customHeight="1">
      <c r="B37" s="12"/>
      <c r="D37" s="8" t="s">
        <v>413</v>
      </c>
      <c r="E37" s="8" t="s">
        <v>414</v>
      </c>
      <c r="F37" s="35"/>
    </row>
    <row r="38" spans="1:7" ht="18" customHeight="1">
      <c r="A38" s="8"/>
      <c r="D38" s="13" t="s">
        <v>1365</v>
      </c>
      <c r="E38" s="13" t="s">
        <v>542</v>
      </c>
      <c r="F38" s="13" t="s">
        <v>134</v>
      </c>
      <c r="G38" s="8"/>
    </row>
    <row r="39" spans="1:7" ht="18" customHeight="1">
      <c r="A39" s="8">
        <v>500</v>
      </c>
      <c r="B39" t="s">
        <v>1214</v>
      </c>
      <c r="D39" s="715">
        <v>0</v>
      </c>
      <c r="E39" s="46">
        <v>-203090530</v>
      </c>
      <c r="F39" s="3" t="s">
        <v>1373</v>
      </c>
      <c r="G39" s="8">
        <f t="shared" ref="G39:G41" si="4">A39</f>
        <v>500</v>
      </c>
    </row>
    <row r="40" spans="1:7" ht="18" customHeight="1">
      <c r="A40" s="8">
        <f t="shared" ref="A40:A41" si="5">+A39+1</f>
        <v>501</v>
      </c>
      <c r="B40" t="s">
        <v>1374</v>
      </c>
      <c r="D40" s="717">
        <f>'24-Allocators'!$C$56</f>
        <v>0.12157379376084765</v>
      </c>
      <c r="E40" s="717">
        <f>'24-Allocators'!$C$56</f>
        <v>0.12157379376084765</v>
      </c>
      <c r="F40" s="6" t="str">
        <f>CONCATENATE("24-Allocators, Line ",'24-Allocators'!A56)</f>
        <v>24-Allocators, Line 135</v>
      </c>
      <c r="G40" s="8">
        <f t="shared" si="4"/>
        <v>501</v>
      </c>
    </row>
    <row r="41" spans="1:7" ht="18" customHeight="1">
      <c r="A41" s="8">
        <f t="shared" si="5"/>
        <v>502</v>
      </c>
      <c r="B41" t="s">
        <v>1375</v>
      </c>
      <c r="D41" s="716">
        <f>D39*D40</f>
        <v>0</v>
      </c>
      <c r="E41" s="718">
        <f>+E40*E39</f>
        <v>-24690486.209001243</v>
      </c>
      <c r="F41" s="6" t="str">
        <f>"Line "&amp;A39&amp;" * Line "&amp;A40&amp;" (see Note 5)"</f>
        <v>Line 500 * Line 501 (see Note 5)</v>
      </c>
      <c r="G41" s="8">
        <f t="shared" si="4"/>
        <v>502</v>
      </c>
    </row>
    <row r="42" spans="1:7" ht="18" customHeight="1">
      <c r="A42" s="8"/>
      <c r="D42" s="15"/>
      <c r="E42" s="24"/>
      <c r="F42" s="6"/>
      <c r="G42" s="8"/>
    </row>
    <row r="43" spans="1:7" ht="18" customHeight="1">
      <c r="A43" s="8">
        <f>+A41+1</f>
        <v>503</v>
      </c>
      <c r="D43" s="15" t="s">
        <v>1363</v>
      </c>
      <c r="E43" s="24">
        <f>ROUND(AVERAGE(D41:E41),0)</f>
        <v>-12345243</v>
      </c>
      <c r="F43" s="6" t="str">
        <f>CONCATENATE("Average of Line ",A41,", ",D37," and ",E37)</f>
        <v>Average of Line 502, Col 1 and Col 2</v>
      </c>
      <c r="G43" s="8">
        <f t="shared" ref="G43" si="6">A43</f>
        <v>503</v>
      </c>
    </row>
    <row r="44" spans="1:7" ht="18" customHeight="1">
      <c r="A44" s="8"/>
      <c r="D44" s="15"/>
      <c r="E44" s="24"/>
      <c r="F44" s="6"/>
      <c r="G44" s="8"/>
    </row>
    <row r="45" spans="1:7" ht="18" customHeight="1">
      <c r="B45" s="52" t="s">
        <v>1376</v>
      </c>
      <c r="C45" s="219"/>
      <c r="D45" s="219"/>
      <c r="E45" s="219"/>
      <c r="F45" s="210"/>
    </row>
    <row r="46" spans="1:7" ht="18" customHeight="1">
      <c r="B46" s="12"/>
      <c r="D46" s="8" t="s">
        <v>413</v>
      </c>
      <c r="E46" s="8" t="s">
        <v>414</v>
      </c>
      <c r="F46" s="35"/>
    </row>
    <row r="47" spans="1:7" ht="18" customHeight="1">
      <c r="B47" s="12"/>
      <c r="D47" s="13" t="s">
        <v>1365</v>
      </c>
      <c r="E47" s="13" t="s">
        <v>542</v>
      </c>
      <c r="F47" s="13" t="s">
        <v>134</v>
      </c>
    </row>
    <row r="48" spans="1:7" ht="18" customHeight="1">
      <c r="A48" s="8">
        <v>600</v>
      </c>
      <c r="B48" t="s">
        <v>1377</v>
      </c>
      <c r="D48" s="715">
        <v>0</v>
      </c>
      <c r="E48" s="776">
        <v>-2148189</v>
      </c>
      <c r="F48" s="3" t="s">
        <v>1378</v>
      </c>
      <c r="G48" s="8">
        <f t="shared" ref="G48:G50" si="7">A48</f>
        <v>600</v>
      </c>
    </row>
    <row r="49" spans="1:7" ht="18" customHeight="1">
      <c r="A49" s="8">
        <f t="shared" ref="A49:A50" si="8">+A48+1</f>
        <v>601</v>
      </c>
      <c r="B49" t="s">
        <v>1361</v>
      </c>
      <c r="D49" s="717">
        <f>'24-Allocators'!$C$24</f>
        <v>9.5345604059498199E-2</v>
      </c>
      <c r="E49" s="717">
        <f>'24-Allocators'!$C$24</f>
        <v>9.5345604059498199E-2</v>
      </c>
      <c r="F49" s="6" t="str">
        <f>CONCATENATE("24-Allocators, Line ",'24-Allocators'!A24)</f>
        <v>24-Allocators, Line 113</v>
      </c>
      <c r="G49" s="8">
        <f t="shared" si="7"/>
        <v>601</v>
      </c>
    </row>
    <row r="50" spans="1:7" ht="18" customHeight="1">
      <c r="A50" s="8">
        <f t="shared" si="8"/>
        <v>602</v>
      </c>
      <c r="B50" t="s">
        <v>1375</v>
      </c>
      <c r="D50" s="716">
        <f>D48*D49</f>
        <v>0</v>
      </c>
      <c r="E50" s="718">
        <f>+E49*E48</f>
        <v>-204820.37783896938</v>
      </c>
      <c r="F50" s="6" t="str">
        <f>"Line "&amp;A48&amp;" * Line "&amp;A49&amp;" (see Note 6)"</f>
        <v>Line 600 * Line 601 (see Note 6)</v>
      </c>
      <c r="G50" s="8">
        <f t="shared" si="7"/>
        <v>602</v>
      </c>
    </row>
    <row r="51" spans="1:7" ht="18" customHeight="1">
      <c r="A51" s="8"/>
      <c r="D51" s="15"/>
      <c r="E51" s="24"/>
      <c r="F51" s="6"/>
      <c r="G51" s="8"/>
    </row>
    <row r="52" spans="1:7">
      <c r="A52" s="8">
        <f>+A50+1</f>
        <v>603</v>
      </c>
      <c r="D52" s="15" t="s">
        <v>1363</v>
      </c>
      <c r="E52" s="24">
        <f>ROUND(AVERAGE(D50:E50),0)</f>
        <v>-102410</v>
      </c>
      <c r="F52" s="6" t="str">
        <f>CONCATENATE("Average of Line ",A50,", ",D46," and ",E46)</f>
        <v>Average of Line 602, Col 1 and Col 2</v>
      </c>
      <c r="G52" s="8">
        <f t="shared" ref="G52" si="9">A52</f>
        <v>603</v>
      </c>
    </row>
    <row r="53" spans="1:7">
      <c r="A53" s="8"/>
      <c r="D53" s="15"/>
      <c r="E53" s="24"/>
      <c r="F53" s="6"/>
      <c r="G53" s="8"/>
    </row>
    <row r="54" spans="1:7">
      <c r="A54" s="8"/>
      <c r="D54" s="15"/>
      <c r="E54" s="24"/>
      <c r="F54" s="6"/>
      <c r="G54" s="8"/>
    </row>
    <row r="55" spans="1:7" ht="15" customHeight="1">
      <c r="B55" s="820" t="s">
        <v>1379</v>
      </c>
      <c r="C55" s="820"/>
      <c r="D55" s="820"/>
      <c r="E55" s="820"/>
      <c r="F55" s="820"/>
    </row>
    <row r="56" spans="1:7">
      <c r="B56" s="820"/>
      <c r="C56" s="820"/>
      <c r="D56" s="820"/>
      <c r="E56" s="820"/>
      <c r="F56" s="820"/>
    </row>
    <row r="57" spans="1:7">
      <c r="B57" s="299"/>
      <c r="C57" s="299"/>
      <c r="D57" s="299"/>
      <c r="E57" s="299"/>
      <c r="F57" s="299"/>
    </row>
    <row r="58" spans="1:7" ht="15" customHeight="1">
      <c r="B58" s="805" t="s">
        <v>1380</v>
      </c>
      <c r="C58" s="805"/>
      <c r="D58" s="805"/>
      <c r="E58" s="805"/>
      <c r="F58" s="805"/>
    </row>
    <row r="59" spans="1:7">
      <c r="B59" s="805"/>
      <c r="C59" s="805"/>
      <c r="D59" s="805"/>
      <c r="E59" s="805"/>
      <c r="F59" s="805"/>
    </row>
    <row r="60" spans="1:7">
      <c r="B60" s="805"/>
      <c r="C60" s="805"/>
      <c r="D60" s="805"/>
      <c r="E60" s="805"/>
      <c r="F60" s="805"/>
    </row>
    <row r="61" spans="1:7">
      <c r="B61" s="299"/>
      <c r="C61" s="299"/>
      <c r="D61" s="299"/>
      <c r="E61" s="299"/>
      <c r="F61" s="299"/>
    </row>
    <row r="62" spans="1:7" ht="15" customHeight="1">
      <c r="B62" s="821" t="s">
        <v>1381</v>
      </c>
      <c r="C62" s="821"/>
      <c r="D62" s="821"/>
      <c r="E62" s="821"/>
      <c r="F62" s="821"/>
    </row>
    <row r="63" spans="1:7">
      <c r="B63" s="821"/>
      <c r="C63" s="821"/>
      <c r="D63" s="821"/>
      <c r="E63" s="821"/>
      <c r="F63" s="821"/>
    </row>
    <row r="64" spans="1:7">
      <c r="B64" s="821"/>
      <c r="C64" s="821"/>
      <c r="D64" s="821"/>
      <c r="E64" s="821"/>
      <c r="F64" s="821"/>
    </row>
    <row r="65" spans="2:6">
      <c r="B65" s="821"/>
      <c r="C65" s="821"/>
      <c r="D65" s="821"/>
      <c r="E65" s="821"/>
      <c r="F65" s="821"/>
    </row>
    <row r="66" spans="2:6">
      <c r="B66" s="17"/>
      <c r="C66" s="17"/>
      <c r="D66" s="17"/>
      <c r="E66" s="17"/>
      <c r="F66" s="17"/>
    </row>
    <row r="67" spans="2:6" ht="15" customHeight="1">
      <c r="B67" s="805" t="s">
        <v>1382</v>
      </c>
      <c r="C67" s="805"/>
      <c r="D67" s="805"/>
      <c r="E67" s="805"/>
      <c r="F67" s="805"/>
    </row>
    <row r="68" spans="2:6">
      <c r="B68" s="805"/>
      <c r="C68" s="805"/>
      <c r="D68" s="805"/>
      <c r="E68" s="805"/>
      <c r="F68" s="805"/>
    </row>
    <row r="69" spans="2:6">
      <c r="B69" s="805"/>
      <c r="C69" s="805"/>
      <c r="D69" s="805"/>
      <c r="E69" s="805"/>
      <c r="F69" s="805"/>
    </row>
    <row r="70" spans="2:6">
      <c r="B70" s="805"/>
      <c r="C70" s="805"/>
      <c r="D70" s="805"/>
      <c r="E70" s="805"/>
      <c r="F70" s="805"/>
    </row>
    <row r="71" spans="2:6">
      <c r="B71" s="17"/>
      <c r="C71" s="17"/>
      <c r="D71" s="17"/>
      <c r="E71" s="17"/>
      <c r="F71" s="17"/>
    </row>
    <row r="72" spans="2:6" ht="15" customHeight="1">
      <c r="B72" s="805" t="s">
        <v>1383</v>
      </c>
      <c r="C72" s="805"/>
      <c r="D72" s="805"/>
      <c r="E72" s="805"/>
      <c r="F72" s="805"/>
    </row>
    <row r="73" spans="2:6">
      <c r="B73" s="805"/>
      <c r="C73" s="805"/>
      <c r="D73" s="805"/>
      <c r="E73" s="805"/>
      <c r="F73" s="805"/>
    </row>
    <row r="74" spans="2:6">
      <c r="B74" s="805"/>
      <c r="C74" s="805"/>
      <c r="D74" s="805"/>
      <c r="E74" s="805"/>
      <c r="F74" s="805"/>
    </row>
  </sheetData>
  <mergeCells count="5">
    <mergeCell ref="B55:F56"/>
    <mergeCell ref="B67:F70"/>
    <mergeCell ref="B72:F74"/>
    <mergeCell ref="B58:F60"/>
    <mergeCell ref="B62:F65"/>
  </mergeCells>
  <printOptions horizontalCentered="1"/>
  <pageMargins left="1" right="1" top="1" bottom="1" header="0.5" footer="0.5"/>
  <pageSetup scale="69"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CAFCF-BE9F-4BB8-BBBB-A224480FEF40}">
  <sheetPr>
    <tabColor rgb="FFC00000"/>
    <pageSetUpPr fitToPage="1"/>
  </sheetPr>
  <dimension ref="A1:G74"/>
  <sheetViews>
    <sheetView tabSelected="1" view="pageBreakPreview" topLeftCell="A27" zoomScale="70" zoomScaleNormal="85" zoomScaleSheetLayoutView="70" workbookViewId="0">
      <selection activeCell="E21" sqref="E21"/>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s>
  <sheetData>
    <row r="1" spans="1:7">
      <c r="B1" s="12" t="s">
        <v>44</v>
      </c>
      <c r="F1" s="15" t="s">
        <v>368</v>
      </c>
    </row>
    <row r="2" spans="1:7">
      <c r="B2" s="113" t="s">
        <v>130</v>
      </c>
      <c r="F2" s="15"/>
    </row>
    <row r="3" spans="1:7">
      <c r="B3" s="200"/>
      <c r="D3" s="8" t="s">
        <v>413</v>
      </c>
      <c r="E3" s="8" t="s">
        <v>414</v>
      </c>
      <c r="F3" s="13" t="s">
        <v>134</v>
      </c>
    </row>
    <row r="4" spans="1:7">
      <c r="A4" s="13" t="s">
        <v>99</v>
      </c>
      <c r="B4" s="52" t="s">
        <v>1350</v>
      </c>
      <c r="C4" s="219"/>
      <c r="D4" s="219"/>
      <c r="E4" s="219"/>
      <c r="F4" s="219"/>
      <c r="G4" s="13" t="s">
        <v>99</v>
      </c>
    </row>
    <row r="5" spans="1:7">
      <c r="A5" s="8">
        <v>100</v>
      </c>
      <c r="B5" s="6" t="s">
        <v>1351</v>
      </c>
      <c r="E5" s="63">
        <v>-43685367</v>
      </c>
      <c r="F5" s="6" t="s">
        <v>1352</v>
      </c>
      <c r="G5" s="8">
        <v>100</v>
      </c>
    </row>
    <row r="6" spans="1:7">
      <c r="A6" s="8">
        <v>101</v>
      </c>
      <c r="B6" s="6" t="s">
        <v>1353</v>
      </c>
      <c r="E6" s="63">
        <v>-64421527.850393385</v>
      </c>
      <c r="F6" s="6" t="s">
        <v>1354</v>
      </c>
      <c r="G6" s="8">
        <v>101</v>
      </c>
    </row>
    <row r="7" spans="1:7">
      <c r="B7" s="200"/>
    </row>
    <row r="8" spans="1:7">
      <c r="B8" s="52" t="s">
        <v>1355</v>
      </c>
      <c r="C8" s="219"/>
      <c r="D8" s="219"/>
      <c r="E8" s="219"/>
      <c r="F8" s="219"/>
    </row>
    <row r="9" spans="1:7">
      <c r="D9" s="13" t="s">
        <v>413</v>
      </c>
      <c r="E9" s="13" t="s">
        <v>414</v>
      </c>
      <c r="F9" s="35"/>
    </row>
    <row r="10" spans="1:7" ht="24" customHeight="1">
      <c r="A10" s="13" t="s">
        <v>99</v>
      </c>
      <c r="B10" s="13" t="s">
        <v>6</v>
      </c>
      <c r="C10" s="13"/>
      <c r="D10" s="162" t="s">
        <v>1356</v>
      </c>
      <c r="E10" s="13" t="s">
        <v>1357</v>
      </c>
      <c r="F10" s="13" t="s">
        <v>134</v>
      </c>
      <c r="G10" s="13" t="s">
        <v>99</v>
      </c>
    </row>
    <row r="11" spans="1:7" ht="18" customHeight="1">
      <c r="A11" s="8">
        <v>200</v>
      </c>
      <c r="B11" t="s">
        <v>1358</v>
      </c>
      <c r="D11" s="46">
        <v>-262908183.56999999</v>
      </c>
      <c r="E11" s="46">
        <v>-337183744.5</v>
      </c>
      <c r="F11" s="3" t="s">
        <v>110</v>
      </c>
      <c r="G11" s="8">
        <v>200</v>
      </c>
    </row>
    <row r="12" spans="1:7" ht="18" customHeight="1">
      <c r="A12" s="8">
        <v>201</v>
      </c>
      <c r="B12" t="s">
        <v>1359</v>
      </c>
      <c r="D12" s="26">
        <v>45700000</v>
      </c>
      <c r="E12" s="26">
        <v>45700000</v>
      </c>
      <c r="F12" s="3" t="s">
        <v>202</v>
      </c>
      <c r="G12" s="8">
        <v>201</v>
      </c>
    </row>
    <row r="13" spans="1:7" ht="18" customHeight="1">
      <c r="A13" s="8">
        <v>202</v>
      </c>
      <c r="B13" t="s">
        <v>1360</v>
      </c>
      <c r="D13" s="29">
        <v>-217208183.56999999</v>
      </c>
      <c r="E13" s="29">
        <v>-291483744.5</v>
      </c>
      <c r="F13" s="6" t="s">
        <v>2104</v>
      </c>
      <c r="G13" s="8">
        <v>202</v>
      </c>
    </row>
    <row r="14" spans="1:7" ht="18" customHeight="1">
      <c r="A14" s="8">
        <v>203</v>
      </c>
      <c r="B14" t="s">
        <v>1361</v>
      </c>
      <c r="D14" s="31">
        <v>9.5345604059498199E-2</v>
      </c>
      <c r="E14" s="31">
        <v>9.5345604059498199E-2</v>
      </c>
      <c r="F14" s="6" t="s">
        <v>2105</v>
      </c>
      <c r="G14" s="8">
        <v>203</v>
      </c>
    </row>
    <row r="15" spans="1:7" ht="18" customHeight="1">
      <c r="A15" s="8">
        <v>204</v>
      </c>
      <c r="B15" s="12" t="s">
        <v>1362</v>
      </c>
      <c r="C15" s="12"/>
      <c r="D15" s="63">
        <v>-20709845</v>
      </c>
      <c r="E15" s="63">
        <v>-27791694</v>
      </c>
      <c r="F15" s="6" t="s">
        <v>2106</v>
      </c>
      <c r="G15" s="8">
        <v>204</v>
      </c>
    </row>
    <row r="16" spans="1:7" ht="18" customHeight="1">
      <c r="A16" s="8"/>
      <c r="D16" s="22"/>
      <c r="E16" s="22"/>
      <c r="F16" s="6"/>
      <c r="G16" s="8"/>
    </row>
    <row r="17" spans="1:7" ht="18" customHeight="1">
      <c r="A17" s="8"/>
      <c r="F17" s="6"/>
      <c r="G17" s="8"/>
    </row>
    <row r="18" spans="1:7" ht="18" customHeight="1">
      <c r="A18" s="8">
        <v>205</v>
      </c>
      <c r="D18" s="15" t="s">
        <v>1363</v>
      </c>
      <c r="E18" s="63">
        <v>-24250770</v>
      </c>
      <c r="F18" s="6" t="s">
        <v>2107</v>
      </c>
      <c r="G18" s="8">
        <v>205</v>
      </c>
    </row>
    <row r="19" spans="1:7" ht="18" customHeight="1">
      <c r="A19" s="8"/>
      <c r="D19" s="15"/>
      <c r="E19" s="345"/>
      <c r="F19" s="35"/>
      <c r="G19" s="8"/>
    </row>
    <row r="20" spans="1:7" ht="18" customHeight="1">
      <c r="B20" s="52" t="s">
        <v>1364</v>
      </c>
      <c r="C20" s="219"/>
      <c r="D20" s="219"/>
      <c r="E20" s="219"/>
      <c r="F20" s="210"/>
    </row>
    <row r="21" spans="1:7" ht="18" customHeight="1">
      <c r="B21" s="12"/>
      <c r="D21" s="8" t="s">
        <v>413</v>
      </c>
      <c r="E21" s="8" t="s">
        <v>414</v>
      </c>
      <c r="F21" s="35"/>
    </row>
    <row r="22" spans="1:7" ht="18" customHeight="1">
      <c r="D22" s="13" t="s">
        <v>1365</v>
      </c>
      <c r="E22" s="13" t="s">
        <v>542</v>
      </c>
      <c r="F22" s="13" t="s">
        <v>134</v>
      </c>
    </row>
    <row r="23" spans="1:7" ht="18" customHeight="1">
      <c r="A23" s="8">
        <v>300</v>
      </c>
      <c r="B23" t="s">
        <v>1366</v>
      </c>
      <c r="D23" s="29">
        <v>-13916317.264999999</v>
      </c>
      <c r="E23" s="46">
        <v>-27832634.529999997</v>
      </c>
      <c r="F23" s="608" t="s">
        <v>2108</v>
      </c>
      <c r="G23" s="8">
        <v>300</v>
      </c>
    </row>
    <row r="24" spans="1:7" ht="18" customHeight="1">
      <c r="A24" s="8">
        <v>301</v>
      </c>
      <c r="B24" t="s">
        <v>1367</v>
      </c>
      <c r="D24" s="38">
        <v>0.16091607831287183</v>
      </c>
      <c r="E24" s="38">
        <v>0.16091607831287183</v>
      </c>
      <c r="F24" s="6" t="s">
        <v>2109</v>
      </c>
      <c r="G24" s="8">
        <v>301</v>
      </c>
    </row>
    <row r="25" spans="1:7" ht="18" customHeight="1">
      <c r="A25" s="8">
        <v>302</v>
      </c>
      <c r="B25" t="s">
        <v>1368</v>
      </c>
      <c r="D25" s="609">
        <v>-2239359.1988415103</v>
      </c>
      <c r="E25" s="609">
        <v>-4478718.3976830207</v>
      </c>
      <c r="F25" s="6" t="s">
        <v>2110</v>
      </c>
      <c r="G25" s="8">
        <v>302</v>
      </c>
    </row>
    <row r="26" spans="1:7" ht="18" customHeight="1">
      <c r="A26" s="8"/>
      <c r="E26" s="12"/>
      <c r="F26" s="6"/>
    </row>
    <row r="27" spans="1:7" ht="18" customHeight="1">
      <c r="A27" s="8">
        <v>303</v>
      </c>
      <c r="D27" s="15" t="s">
        <v>1363</v>
      </c>
      <c r="E27" s="63">
        <v>-3359039</v>
      </c>
      <c r="F27" s="6" t="s">
        <v>2111</v>
      </c>
      <c r="G27" s="8">
        <v>303</v>
      </c>
    </row>
    <row r="28" spans="1:7" ht="18" customHeight="1">
      <c r="F28" s="35"/>
    </row>
    <row r="29" spans="1:7" ht="18" customHeight="1">
      <c r="B29" s="52" t="s">
        <v>1369</v>
      </c>
      <c r="C29" s="219"/>
      <c r="D29" s="219"/>
      <c r="E29" s="219"/>
      <c r="F29" s="210"/>
    </row>
    <row r="30" spans="1:7" ht="18" customHeight="1">
      <c r="A30" s="8"/>
      <c r="D30" s="8" t="s">
        <v>413</v>
      </c>
      <c r="E30" s="8" t="s">
        <v>414</v>
      </c>
      <c r="F30" s="6"/>
      <c r="G30" s="8"/>
    </row>
    <row r="31" spans="1:7" ht="18" customHeight="1">
      <c r="A31" s="8"/>
      <c r="D31" s="13" t="s">
        <v>1365</v>
      </c>
      <c r="E31" s="13" t="s">
        <v>542</v>
      </c>
      <c r="F31" s="13" t="s">
        <v>134</v>
      </c>
      <c r="G31" s="8"/>
    </row>
    <row r="32" spans="1:7" ht="18" customHeight="1">
      <c r="A32" s="8">
        <v>400</v>
      </c>
      <c r="B32" t="s">
        <v>1370</v>
      </c>
      <c r="D32" s="715">
        <v>0</v>
      </c>
      <c r="E32" s="46">
        <v>-7366110</v>
      </c>
      <c r="F32" s="6" t="s">
        <v>1371</v>
      </c>
      <c r="G32" s="8">
        <v>400</v>
      </c>
    </row>
    <row r="33" spans="1:7" ht="18" customHeight="1">
      <c r="A33" s="8"/>
      <c r="D33" s="15"/>
      <c r="E33" s="24"/>
      <c r="F33" s="6"/>
      <c r="G33" s="8"/>
    </row>
    <row r="34" spans="1:7" ht="18" customHeight="1">
      <c r="A34" s="8">
        <v>401</v>
      </c>
      <c r="D34" s="15" t="s">
        <v>1363</v>
      </c>
      <c r="E34" s="24">
        <v>-3683055</v>
      </c>
      <c r="F34" s="6" t="s">
        <v>2112</v>
      </c>
      <c r="G34" s="8">
        <v>401</v>
      </c>
    </row>
    <row r="35" spans="1:7" ht="18" customHeight="1">
      <c r="A35" s="8"/>
      <c r="D35" s="15"/>
      <c r="E35" s="24"/>
      <c r="F35" s="6"/>
      <c r="G35" s="8"/>
    </row>
    <row r="36" spans="1:7" ht="18" customHeight="1">
      <c r="B36" s="52" t="s">
        <v>1372</v>
      </c>
      <c r="C36" s="219"/>
      <c r="D36" s="219"/>
      <c r="E36" s="219"/>
      <c r="F36" s="210"/>
    </row>
    <row r="37" spans="1:7" ht="18" customHeight="1">
      <c r="B37" s="12"/>
      <c r="D37" s="8" t="s">
        <v>413</v>
      </c>
      <c r="E37" s="8" t="s">
        <v>414</v>
      </c>
      <c r="F37" s="35"/>
    </row>
    <row r="38" spans="1:7" ht="18" customHeight="1">
      <c r="A38" s="8"/>
      <c r="D38" s="13" t="s">
        <v>1365</v>
      </c>
      <c r="E38" s="13" t="s">
        <v>542</v>
      </c>
      <c r="F38" s="13" t="s">
        <v>134</v>
      </c>
      <c r="G38" s="8"/>
    </row>
    <row r="39" spans="1:7" ht="18" customHeight="1">
      <c r="A39" s="8">
        <v>500</v>
      </c>
      <c r="B39" t="s">
        <v>1214</v>
      </c>
      <c r="D39" s="715">
        <v>0</v>
      </c>
      <c r="E39" s="46">
        <v>-203090530</v>
      </c>
      <c r="F39" s="3" t="s">
        <v>1373</v>
      </c>
      <c r="G39" s="8">
        <v>500</v>
      </c>
    </row>
    <row r="40" spans="1:7" ht="18" customHeight="1">
      <c r="A40" s="8">
        <v>501</v>
      </c>
      <c r="B40" t="s">
        <v>1374</v>
      </c>
      <c r="D40" s="717">
        <v>0.12157379376084765</v>
      </c>
      <c r="E40" s="717">
        <v>0.12157379376084765</v>
      </c>
      <c r="F40" s="6" t="s">
        <v>2113</v>
      </c>
      <c r="G40" s="8">
        <v>501</v>
      </c>
    </row>
    <row r="41" spans="1:7" ht="18" customHeight="1">
      <c r="A41" s="8">
        <v>502</v>
      </c>
      <c r="B41" t="s">
        <v>1375</v>
      </c>
      <c r="D41" s="716">
        <v>0</v>
      </c>
      <c r="E41" s="718">
        <v>-24690486.209001243</v>
      </c>
      <c r="F41" s="6" t="s">
        <v>2114</v>
      </c>
      <c r="G41" s="8">
        <v>502</v>
      </c>
    </row>
    <row r="42" spans="1:7" ht="18" customHeight="1">
      <c r="A42" s="8"/>
      <c r="D42" s="15"/>
      <c r="E42" s="24"/>
      <c r="F42" s="6"/>
      <c r="G42" s="8"/>
    </row>
    <row r="43" spans="1:7" ht="18" customHeight="1">
      <c r="A43" s="8">
        <v>503</v>
      </c>
      <c r="D43" s="15" t="s">
        <v>1363</v>
      </c>
      <c r="E43" s="24">
        <v>-12345243</v>
      </c>
      <c r="F43" s="6" t="s">
        <v>2115</v>
      </c>
      <c r="G43" s="8">
        <v>503</v>
      </c>
    </row>
    <row r="44" spans="1:7" ht="18" customHeight="1">
      <c r="A44" s="8"/>
      <c r="D44" s="15"/>
      <c r="E44" s="24"/>
      <c r="F44" s="6"/>
      <c r="G44" s="8"/>
    </row>
    <row r="45" spans="1:7" ht="18" customHeight="1">
      <c r="B45" s="52" t="s">
        <v>1376</v>
      </c>
      <c r="C45" s="219"/>
      <c r="D45" s="219"/>
      <c r="E45" s="219"/>
      <c r="F45" s="210"/>
    </row>
    <row r="46" spans="1:7" ht="18" customHeight="1">
      <c r="B46" s="12"/>
      <c r="D46" s="8" t="s">
        <v>413</v>
      </c>
      <c r="E46" s="8" t="s">
        <v>414</v>
      </c>
      <c r="F46" s="35"/>
    </row>
    <row r="47" spans="1:7" ht="18" customHeight="1">
      <c r="B47" s="12"/>
      <c r="D47" s="13" t="s">
        <v>1365</v>
      </c>
      <c r="E47" s="13" t="s">
        <v>542</v>
      </c>
      <c r="F47" s="13" t="s">
        <v>134</v>
      </c>
    </row>
    <row r="48" spans="1:7" ht="18" customHeight="1">
      <c r="A48" s="8">
        <v>600</v>
      </c>
      <c r="B48" t="s">
        <v>1377</v>
      </c>
      <c r="D48" s="715">
        <v>0</v>
      </c>
      <c r="E48" s="46">
        <v>-991333</v>
      </c>
      <c r="F48" s="3" t="s">
        <v>1378</v>
      </c>
      <c r="G48" s="8">
        <v>600</v>
      </c>
    </row>
    <row r="49" spans="1:7" ht="18" customHeight="1">
      <c r="A49" s="8">
        <v>601</v>
      </c>
      <c r="B49" t="s">
        <v>1361</v>
      </c>
      <c r="D49" s="717">
        <v>9.5345604059498199E-2</v>
      </c>
      <c r="E49" s="717">
        <v>9.5345604059498199E-2</v>
      </c>
      <c r="F49" s="6" t="s">
        <v>2105</v>
      </c>
      <c r="G49" s="8">
        <v>601</v>
      </c>
    </row>
    <row r="50" spans="1:7" ht="18" customHeight="1">
      <c r="A50" s="8">
        <v>602</v>
      </c>
      <c r="B50" t="s">
        <v>1375</v>
      </c>
      <c r="D50" s="716">
        <v>0</v>
      </c>
      <c r="E50" s="718">
        <v>-94519.243709114526</v>
      </c>
      <c r="F50" s="6" t="s">
        <v>2116</v>
      </c>
      <c r="G50" s="8">
        <v>602</v>
      </c>
    </row>
    <row r="51" spans="1:7" ht="18" customHeight="1">
      <c r="A51" s="8"/>
      <c r="D51" s="15"/>
      <c r="E51" s="24"/>
      <c r="F51" s="6"/>
      <c r="G51" s="8"/>
    </row>
    <row r="52" spans="1:7">
      <c r="A52" s="8">
        <v>603</v>
      </c>
      <c r="D52" s="15" t="s">
        <v>1363</v>
      </c>
      <c r="E52" s="24">
        <v>-47260</v>
      </c>
      <c r="F52" s="6" t="s">
        <v>2117</v>
      </c>
      <c r="G52" s="8">
        <v>603</v>
      </c>
    </row>
    <row r="53" spans="1:7">
      <c r="A53" s="8"/>
      <c r="D53" s="15"/>
      <c r="E53" s="24"/>
      <c r="F53" s="6"/>
      <c r="G53" s="8"/>
    </row>
    <row r="54" spans="1:7">
      <c r="A54" s="8"/>
      <c r="D54" s="15"/>
      <c r="E54" s="24"/>
      <c r="F54" s="6"/>
      <c r="G54" s="8"/>
    </row>
    <row r="55" spans="1:7" ht="15" customHeight="1">
      <c r="B55" s="820" t="s">
        <v>1379</v>
      </c>
      <c r="C55" s="820"/>
      <c r="D55" s="820"/>
      <c r="E55" s="820"/>
      <c r="F55" s="820"/>
    </row>
    <row r="56" spans="1:7">
      <c r="B56" s="820"/>
      <c r="C56" s="820"/>
      <c r="D56" s="820"/>
      <c r="E56" s="820"/>
      <c r="F56" s="820"/>
    </row>
    <row r="57" spans="1:7">
      <c r="B57" s="299"/>
      <c r="C57" s="299"/>
      <c r="D57" s="299"/>
      <c r="E57" s="299"/>
      <c r="F57" s="299"/>
    </row>
    <row r="58" spans="1:7" ht="15" customHeight="1">
      <c r="B58" s="805" t="s">
        <v>1380</v>
      </c>
      <c r="C58" s="805"/>
      <c r="D58" s="805"/>
      <c r="E58" s="805"/>
      <c r="F58" s="805"/>
    </row>
    <row r="59" spans="1:7">
      <c r="B59" s="805"/>
      <c r="C59" s="805"/>
      <c r="D59" s="805"/>
      <c r="E59" s="805"/>
      <c r="F59" s="805"/>
    </row>
    <row r="60" spans="1:7">
      <c r="B60" s="805"/>
      <c r="C60" s="805"/>
      <c r="D60" s="805"/>
      <c r="E60" s="805"/>
      <c r="F60" s="805"/>
    </row>
    <row r="61" spans="1:7">
      <c r="B61" s="299"/>
      <c r="C61" s="299"/>
      <c r="D61" s="299"/>
      <c r="E61" s="299"/>
      <c r="F61" s="299"/>
    </row>
    <row r="62" spans="1:7" ht="15" customHeight="1">
      <c r="B62" s="821" t="s">
        <v>1381</v>
      </c>
      <c r="C62" s="821"/>
      <c r="D62" s="821"/>
      <c r="E62" s="821"/>
      <c r="F62" s="821"/>
    </row>
    <row r="63" spans="1:7">
      <c r="B63" s="821"/>
      <c r="C63" s="821"/>
      <c r="D63" s="821"/>
      <c r="E63" s="821"/>
      <c r="F63" s="821"/>
    </row>
    <row r="64" spans="1:7">
      <c r="B64" s="821"/>
      <c r="C64" s="821"/>
      <c r="D64" s="821"/>
      <c r="E64" s="821"/>
      <c r="F64" s="821"/>
    </row>
    <row r="65" spans="2:6">
      <c r="B65" s="821"/>
      <c r="C65" s="821"/>
      <c r="D65" s="821"/>
      <c r="E65" s="821"/>
      <c r="F65" s="821"/>
    </row>
    <row r="66" spans="2:6">
      <c r="B66" s="17"/>
      <c r="C66" s="17"/>
      <c r="D66" s="17"/>
      <c r="E66" s="17"/>
      <c r="F66" s="17"/>
    </row>
    <row r="67" spans="2:6" ht="15" customHeight="1">
      <c r="B67" s="805" t="s">
        <v>1382</v>
      </c>
      <c r="C67" s="805"/>
      <c r="D67" s="805"/>
      <c r="E67" s="805"/>
      <c r="F67" s="805"/>
    </row>
    <row r="68" spans="2:6">
      <c r="B68" s="805"/>
      <c r="C68" s="805"/>
      <c r="D68" s="805"/>
      <c r="E68" s="805"/>
      <c r="F68" s="805"/>
    </row>
    <row r="69" spans="2:6">
      <c r="B69" s="805"/>
      <c r="C69" s="805"/>
      <c r="D69" s="805"/>
      <c r="E69" s="805"/>
      <c r="F69" s="805"/>
    </row>
    <row r="70" spans="2:6">
      <c r="B70" s="805"/>
      <c r="C70" s="805"/>
      <c r="D70" s="805"/>
      <c r="E70" s="805"/>
      <c r="F70" s="805"/>
    </row>
    <row r="71" spans="2:6">
      <c r="B71" s="17"/>
      <c r="C71" s="17"/>
      <c r="D71" s="17"/>
      <c r="E71" s="17"/>
      <c r="F71" s="17"/>
    </row>
    <row r="72" spans="2:6" ht="15" customHeight="1">
      <c r="B72" s="805" t="s">
        <v>1383</v>
      </c>
      <c r="C72" s="805"/>
      <c r="D72" s="805"/>
      <c r="E72" s="805"/>
      <c r="F72" s="805"/>
    </row>
    <row r="73" spans="2:6">
      <c r="B73" s="805"/>
      <c r="C73" s="805"/>
      <c r="D73" s="805"/>
      <c r="E73" s="805"/>
      <c r="F73" s="805"/>
    </row>
    <row r="74" spans="2:6">
      <c r="B74" s="805"/>
      <c r="C74" s="805"/>
      <c r="D74" s="805"/>
      <c r="E74" s="805"/>
      <c r="F74" s="805"/>
    </row>
  </sheetData>
  <mergeCells count="5">
    <mergeCell ref="B55:F56"/>
    <mergeCell ref="B58:F60"/>
    <mergeCell ref="B62:F65"/>
    <mergeCell ref="B67:F70"/>
    <mergeCell ref="B72:F74"/>
  </mergeCells>
  <printOptions horizontalCentered="1"/>
  <pageMargins left="1" right="1" top="1" bottom="1" header="0.5" footer="0.5"/>
  <pageSetup scale="69" fitToHeight="0" orientation="landscape" r:id="rId1"/>
  <headerFooter>
    <oddHeader xml:space="preserve">&amp;C&amp;"-,Bold"Pacific Gas and Electric Company
Formula Rate Model
Schedule &amp;A&amp;R&amp;10Docket No. ER19-13-000, et al- Annual Update RY2024
&amp;F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72"/>
  <sheetViews>
    <sheetView tabSelected="1" view="pageBreakPreview" topLeftCell="A56" zoomScale="70" zoomScaleNormal="85" zoomScaleSheetLayoutView="70" zoomScalePageLayoutView="70" workbookViewId="0">
      <selection activeCell="E21" sqref="E21"/>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 min="12" max="20" width="9.1796875" customWidth="1"/>
  </cols>
  <sheetData>
    <row r="1" spans="1:20">
      <c r="B1" s="322" t="s">
        <v>46</v>
      </c>
      <c r="C1" s="310"/>
      <c r="D1" s="310"/>
      <c r="E1" s="15"/>
      <c r="G1" s="15"/>
      <c r="J1" s="15" t="str">
        <f>CONCATENATE("Prior Year: ",'1-BaseTRR'!$G$2)</f>
        <v>Prior Year: 2020</v>
      </c>
    </row>
    <row r="2" spans="1:20">
      <c r="B2" s="113" t="s">
        <v>130</v>
      </c>
      <c r="C2" s="310"/>
      <c r="D2" s="310"/>
      <c r="E2" s="15"/>
      <c r="F2" s="15"/>
      <c r="G2" s="15"/>
    </row>
    <row r="3" spans="1:20">
      <c r="B3" s="310"/>
      <c r="C3" s="310"/>
      <c r="D3" s="310"/>
      <c r="E3" s="310"/>
      <c r="F3" s="310"/>
      <c r="G3" s="310"/>
    </row>
    <row r="4" spans="1:20" ht="15.75" customHeight="1">
      <c r="A4" s="311"/>
      <c r="B4" s="310" t="s">
        <v>1384</v>
      </c>
      <c r="C4" s="310"/>
      <c r="D4" s="310"/>
      <c r="E4" s="310"/>
      <c r="F4" s="310"/>
      <c r="G4" s="310"/>
      <c r="N4" s="822"/>
      <c r="O4" s="823"/>
      <c r="P4" s="823"/>
      <c r="Q4" s="823"/>
      <c r="R4" s="823"/>
      <c r="S4" s="823"/>
      <c r="T4" s="823"/>
    </row>
    <row r="5" spans="1:20">
      <c r="A5" s="311"/>
      <c r="B5" s="310" t="s">
        <v>1385</v>
      </c>
      <c r="C5" s="310"/>
      <c r="D5" s="310"/>
      <c r="E5" s="310"/>
      <c r="F5" s="310"/>
      <c r="G5" s="310"/>
    </row>
    <row r="6" spans="1:20">
      <c r="A6" s="311"/>
      <c r="B6" s="310" t="s">
        <v>1386</v>
      </c>
      <c r="C6" s="310"/>
      <c r="D6" s="310"/>
      <c r="E6" s="310"/>
      <c r="F6" s="310"/>
      <c r="G6" s="310"/>
    </row>
    <row r="7" spans="1:20">
      <c r="A7" s="311"/>
      <c r="B7" s="310"/>
      <c r="C7" s="310"/>
      <c r="D7" s="310"/>
      <c r="E7" s="310"/>
      <c r="F7" s="310"/>
      <c r="G7" s="310"/>
    </row>
    <row r="8" spans="1:20">
      <c r="A8" s="311"/>
      <c r="B8" s="310" t="s">
        <v>1387</v>
      </c>
      <c r="C8" s="310"/>
      <c r="D8" s="310"/>
      <c r="E8" s="310"/>
      <c r="F8" s="310"/>
      <c r="G8" s="310"/>
    </row>
    <row r="9" spans="1:20">
      <c r="A9" s="311"/>
      <c r="B9" s="310" t="s">
        <v>1388</v>
      </c>
      <c r="C9" s="310"/>
      <c r="D9" s="310"/>
      <c r="E9" s="310"/>
      <c r="F9" s="310"/>
      <c r="G9" s="310"/>
    </row>
    <row r="10" spans="1:20">
      <c r="A10" s="311"/>
      <c r="B10" s="310"/>
      <c r="C10" s="310"/>
      <c r="D10" s="310"/>
      <c r="E10" s="310"/>
      <c r="F10" s="310"/>
      <c r="G10" s="310"/>
    </row>
    <row r="11" spans="1:20">
      <c r="A11" s="311"/>
      <c r="B11" s="310" t="s">
        <v>1389</v>
      </c>
      <c r="C11" s="310"/>
      <c r="D11" s="310"/>
      <c r="E11" s="310"/>
      <c r="F11" s="310"/>
      <c r="G11" s="310"/>
    </row>
    <row r="12" spans="1:20">
      <c r="A12" s="311"/>
      <c r="B12" s="310" t="s">
        <v>1390</v>
      </c>
      <c r="C12" s="310"/>
      <c r="D12" s="310"/>
      <c r="E12" s="310"/>
      <c r="F12" s="310"/>
      <c r="G12" s="310"/>
    </row>
    <row r="13" spans="1:20">
      <c r="A13" s="311"/>
      <c r="B13" s="310" t="s">
        <v>1391</v>
      </c>
      <c r="C13" s="310"/>
      <c r="D13" s="310"/>
      <c r="E13" s="310"/>
      <c r="F13" s="310"/>
      <c r="G13" s="310"/>
    </row>
    <row r="14" spans="1:20">
      <c r="A14" s="311"/>
      <c r="B14" s="310"/>
      <c r="C14" s="310"/>
      <c r="D14" s="310"/>
      <c r="E14" s="310"/>
      <c r="F14" s="310"/>
      <c r="G14" s="310"/>
    </row>
    <row r="15" spans="1:20">
      <c r="A15" s="311"/>
      <c r="B15" s="52" t="s">
        <v>1392</v>
      </c>
      <c r="C15" s="219"/>
      <c r="D15" s="219"/>
      <c r="E15" s="219"/>
      <c r="F15" s="219"/>
      <c r="G15" s="219"/>
    </row>
    <row r="16" spans="1:20">
      <c r="A16" s="311"/>
      <c r="B16" s="322" t="s">
        <v>350</v>
      </c>
      <c r="C16" s="310"/>
      <c r="D16" s="310"/>
      <c r="E16" s="310"/>
      <c r="F16" s="310"/>
      <c r="G16" s="310"/>
    </row>
    <row r="17" spans="1:11">
      <c r="A17" s="311"/>
      <c r="B17" s="310" t="s">
        <v>1393</v>
      </c>
      <c r="C17" s="310"/>
      <c r="D17" s="310"/>
      <c r="E17" s="310"/>
      <c r="F17" s="310"/>
      <c r="G17" s="310"/>
    </row>
    <row r="18" spans="1:11">
      <c r="A18" s="311"/>
      <c r="B18" s="310" t="s">
        <v>1394</v>
      </c>
    </row>
    <row r="19" spans="1:11">
      <c r="A19" s="311"/>
      <c r="B19" s="325" t="s">
        <v>1395</v>
      </c>
    </row>
    <row r="20" spans="1:11">
      <c r="A20" s="311"/>
      <c r="B20" s="325" t="s">
        <v>1396</v>
      </c>
      <c r="E20" s="17"/>
    </row>
    <row r="21" spans="1:11">
      <c r="A21" s="311"/>
      <c r="B21" s="310" t="s">
        <v>1397</v>
      </c>
    </row>
    <row r="22" spans="1:11">
      <c r="A22" s="311"/>
      <c r="B22" s="310"/>
    </row>
    <row r="23" spans="1:11">
      <c r="A23" s="311"/>
      <c r="B23" s="310"/>
      <c r="C23" s="310"/>
      <c r="D23" s="310"/>
      <c r="E23" s="311" t="s">
        <v>505</v>
      </c>
      <c r="F23" s="310"/>
      <c r="G23" s="310"/>
    </row>
    <row r="24" spans="1:11">
      <c r="A24" s="316" t="s">
        <v>99</v>
      </c>
      <c r="B24" s="310"/>
      <c r="C24" s="310"/>
      <c r="D24" s="310"/>
      <c r="E24" s="316" t="s">
        <v>654</v>
      </c>
      <c r="F24" s="324" t="s">
        <v>1398</v>
      </c>
      <c r="G24" s="324"/>
      <c r="K24" s="316" t="str">
        <f>A24</f>
        <v>Line</v>
      </c>
    </row>
    <row r="25" spans="1:11">
      <c r="A25" s="311">
        <v>100</v>
      </c>
      <c r="B25" s="310" t="s">
        <v>1399</v>
      </c>
      <c r="C25" s="310"/>
      <c r="D25" s="310"/>
      <c r="E25" s="671">
        <f>+D34</f>
        <v>0</v>
      </c>
      <c r="F25" s="310" t="s">
        <v>1400</v>
      </c>
      <c r="G25" s="310"/>
      <c r="K25" s="311">
        <f>A25</f>
        <v>100</v>
      </c>
    </row>
    <row r="26" spans="1:11">
      <c r="A26" s="311">
        <f>A25+1</f>
        <v>101</v>
      </c>
      <c r="B26" s="310" t="s">
        <v>1401</v>
      </c>
      <c r="C26" s="310"/>
      <c r="D26" s="310"/>
      <c r="E26" s="671">
        <f>AVERAGE(C34:D34)</f>
        <v>0</v>
      </c>
      <c r="F26" s="310" t="s">
        <v>1402</v>
      </c>
      <c r="G26" s="310"/>
      <c r="K26" s="311">
        <f>A26</f>
        <v>101</v>
      </c>
    </row>
    <row r="27" spans="1:11">
      <c r="A27" s="311">
        <f>A26+1</f>
        <v>102</v>
      </c>
      <c r="B27" s="310" t="s">
        <v>1403</v>
      </c>
      <c r="C27" s="310"/>
      <c r="D27" s="310"/>
      <c r="E27" s="671">
        <f>+E34</f>
        <v>0</v>
      </c>
      <c r="F27" s="310" t="s">
        <v>1404</v>
      </c>
      <c r="G27" s="310"/>
      <c r="K27" s="311">
        <f>A27</f>
        <v>102</v>
      </c>
    </row>
    <row r="28" spans="1:11">
      <c r="A28" s="311"/>
      <c r="B28" s="310"/>
      <c r="C28" s="310"/>
      <c r="D28" s="310"/>
      <c r="E28" s="317"/>
      <c r="F28" s="310"/>
      <c r="G28" s="310"/>
      <c r="K28" s="311"/>
    </row>
    <row r="29" spans="1:11">
      <c r="A29" s="311"/>
      <c r="B29" s="310"/>
      <c r="C29" s="323" t="s">
        <v>1405</v>
      </c>
      <c r="D29" s="323" t="s">
        <v>1406</v>
      </c>
      <c r="E29" s="323" t="s">
        <v>1407</v>
      </c>
      <c r="F29" s="310"/>
      <c r="G29" s="310"/>
      <c r="K29" s="311"/>
    </row>
    <row r="30" spans="1:11">
      <c r="A30" s="311"/>
      <c r="B30" s="310"/>
      <c r="C30" s="311" t="s">
        <v>505</v>
      </c>
      <c r="D30" s="311" t="s">
        <v>505</v>
      </c>
      <c r="E30" s="311" t="s">
        <v>505</v>
      </c>
      <c r="F30" s="310"/>
      <c r="G30" s="310"/>
      <c r="K30" s="311"/>
    </row>
    <row r="31" spans="1:11">
      <c r="A31" s="311"/>
      <c r="B31" s="311" t="s">
        <v>1408</v>
      </c>
      <c r="C31" s="311" t="s">
        <v>1409</v>
      </c>
      <c r="D31" s="311" t="s">
        <v>825</v>
      </c>
      <c r="E31" s="12" t="s">
        <v>1410</v>
      </c>
      <c r="F31" s="322" t="s">
        <v>1411</v>
      </c>
      <c r="G31" s="322"/>
      <c r="K31" s="311"/>
    </row>
    <row r="32" spans="1:11">
      <c r="A32" s="316"/>
      <c r="B32" s="311" t="s">
        <v>1412</v>
      </c>
      <c r="C32" s="311" t="s">
        <v>1413</v>
      </c>
      <c r="D32" s="311" t="s">
        <v>1413</v>
      </c>
      <c r="E32" s="311" t="s">
        <v>1414</v>
      </c>
      <c r="F32" s="322" t="s">
        <v>1415</v>
      </c>
      <c r="G32" s="322"/>
      <c r="K32" s="311"/>
    </row>
    <row r="33" spans="1:11">
      <c r="A33" s="316" t="s">
        <v>99</v>
      </c>
      <c r="B33" s="316" t="s">
        <v>1416</v>
      </c>
      <c r="C33" s="316" t="s">
        <v>1416</v>
      </c>
      <c r="D33" s="316" t="s">
        <v>1416</v>
      </c>
      <c r="E33" s="316" t="s">
        <v>1417</v>
      </c>
      <c r="F33" s="321" t="s">
        <v>1418</v>
      </c>
      <c r="G33" s="316" t="s">
        <v>134</v>
      </c>
      <c r="K33" s="316" t="str">
        <f>A33</f>
        <v>Line</v>
      </c>
    </row>
    <row r="34" spans="1:11" ht="15" thickBot="1">
      <c r="A34" s="320">
        <f>A27+1</f>
        <v>103</v>
      </c>
      <c r="B34" s="318" t="s">
        <v>1419</v>
      </c>
      <c r="C34" s="670">
        <f>SUM(C36:C38)</f>
        <v>0</v>
      </c>
      <c r="D34" s="670">
        <f>SUM(D36:D38)</f>
        <v>0</v>
      </c>
      <c r="E34" s="319">
        <f>SUM(E36:E38)</f>
        <v>0</v>
      </c>
      <c r="F34" s="318"/>
      <c r="G34" s="318"/>
      <c r="K34" s="311">
        <f>A34</f>
        <v>103</v>
      </c>
    </row>
    <row r="35" spans="1:11" ht="15" thickTop="1">
      <c r="A35" s="311"/>
      <c r="B35" s="310"/>
      <c r="C35" s="317"/>
      <c r="D35" s="317"/>
      <c r="E35" s="317"/>
      <c r="F35" s="310"/>
      <c r="G35" s="310"/>
      <c r="K35" s="316"/>
    </row>
    <row r="36" spans="1:11">
      <c r="A36" s="311">
        <f>A34+1</f>
        <v>104</v>
      </c>
      <c r="B36" s="312" t="s">
        <v>1420</v>
      </c>
      <c r="C36" s="668"/>
      <c r="D36" s="668"/>
      <c r="E36" s="314"/>
      <c r="F36" s="312"/>
      <c r="G36" s="312"/>
      <c r="K36" s="311">
        <f>A36</f>
        <v>104</v>
      </c>
    </row>
    <row r="37" spans="1:11">
      <c r="A37" s="311">
        <f>A36+1</f>
        <v>105</v>
      </c>
      <c r="B37" s="312" t="s">
        <v>1421</v>
      </c>
      <c r="C37" s="668"/>
      <c r="D37" s="668"/>
      <c r="E37" s="314"/>
      <c r="F37" s="312"/>
      <c r="G37" s="312"/>
      <c r="K37" s="311">
        <f>A37</f>
        <v>105</v>
      </c>
    </row>
    <row r="38" spans="1:11">
      <c r="A38" s="311">
        <f t="shared" ref="A38:A39" si="0">A37+1</f>
        <v>106</v>
      </c>
      <c r="B38" s="312" t="s">
        <v>1422</v>
      </c>
      <c r="C38" s="669"/>
      <c r="D38" s="668"/>
      <c r="E38" s="313"/>
      <c r="F38" s="312"/>
      <c r="G38" s="312"/>
      <c r="K38" s="311">
        <f>A38</f>
        <v>106</v>
      </c>
    </row>
    <row r="39" spans="1:11">
      <c r="A39" s="311">
        <f t="shared" si="0"/>
        <v>107</v>
      </c>
      <c r="B39" s="315" t="s">
        <v>695</v>
      </c>
      <c r="C39" s="669"/>
      <c r="D39" s="668"/>
      <c r="E39" s="313"/>
      <c r="F39" s="312"/>
      <c r="G39" s="312"/>
      <c r="K39" s="311">
        <f>A39</f>
        <v>107</v>
      </c>
    </row>
    <row r="40" spans="1:11">
      <c r="A40" s="311"/>
      <c r="B40" s="310"/>
      <c r="C40" s="310"/>
      <c r="D40" s="310"/>
      <c r="E40" s="310"/>
      <c r="F40" s="310"/>
      <c r="G40" s="310"/>
      <c r="H40" s="311"/>
    </row>
    <row r="41" spans="1:11">
      <c r="A41" s="311"/>
    </row>
    <row r="42" spans="1:11">
      <c r="A42" s="311"/>
      <c r="B42" s="310"/>
    </row>
    <row r="43" spans="1:11">
      <c r="A43" s="379"/>
      <c r="B43" s="136" t="s">
        <v>1423</v>
      </c>
      <c r="C43" s="174"/>
      <c r="D43" s="294"/>
      <c r="E43" s="294"/>
      <c r="F43" s="289"/>
      <c r="G43" s="289"/>
      <c r="H43" s="289"/>
      <c r="I43" s="295"/>
      <c r="J43" s="138"/>
    </row>
    <row r="44" spans="1:11">
      <c r="A44" s="379"/>
      <c r="B44" s="200"/>
      <c r="C44" s="170"/>
      <c r="D44" s="352"/>
      <c r="E44" s="352"/>
      <c r="F44" s="279"/>
      <c r="G44" s="279"/>
      <c r="H44" s="279"/>
      <c r="I44" s="18"/>
      <c r="J44" s="17"/>
    </row>
    <row r="45" spans="1:11">
      <c r="A45" s="144" t="s">
        <v>99</v>
      </c>
      <c r="B45" s="13" t="s">
        <v>6</v>
      </c>
      <c r="C45" s="13" t="s">
        <v>1424</v>
      </c>
      <c r="D45" s="176" t="s">
        <v>134</v>
      </c>
      <c r="E45" s="352"/>
      <c r="F45" s="279"/>
      <c r="G45" s="279"/>
      <c r="H45" s="279"/>
      <c r="I45" s="18"/>
      <c r="J45" s="17"/>
      <c r="K45" s="144" t="s">
        <v>99</v>
      </c>
    </row>
    <row r="46" spans="1:11" ht="43.5">
      <c r="A46" s="379">
        <v>200</v>
      </c>
      <c r="B46" s="673" t="s">
        <v>1425</v>
      </c>
      <c r="C46" s="470">
        <f>IF(B56=2017,0,'17-RegAssets-2'!AL23)</f>
        <v>-567343612.17005408</v>
      </c>
      <c r="D46" s="674" t="s">
        <v>1426</v>
      </c>
      <c r="E46" s="352"/>
      <c r="F46" s="279"/>
      <c r="G46" s="279"/>
      <c r="H46" s="279"/>
      <c r="I46" s="18"/>
      <c r="J46" s="17"/>
      <c r="K46" s="379">
        <f>A46</f>
        <v>200</v>
      </c>
    </row>
    <row r="47" spans="1:11" ht="29">
      <c r="A47" s="379">
        <f>A46+1</f>
        <v>201</v>
      </c>
      <c r="B47" s="673" t="s">
        <v>1427</v>
      </c>
      <c r="C47" s="470">
        <f>+'17-RegAssets-2'!AZ23</f>
        <v>-557630113.93499839</v>
      </c>
      <c r="D47" s="674" t="s">
        <v>1428</v>
      </c>
      <c r="E47" s="352"/>
      <c r="F47" s="279"/>
      <c r="G47" s="279"/>
      <c r="H47" s="279"/>
      <c r="I47" s="18"/>
      <c r="J47" s="17"/>
      <c r="K47" s="379">
        <f t="shared" ref="K47:K48" si="1">A47</f>
        <v>201</v>
      </c>
    </row>
    <row r="48" spans="1:11">
      <c r="A48" s="379">
        <f>A47+1</f>
        <v>202</v>
      </c>
      <c r="B48" s="396" t="s">
        <v>1429</v>
      </c>
      <c r="C48" s="672">
        <f>J69</f>
        <v>-562843911.73194265</v>
      </c>
      <c r="D48" s="175" t="s">
        <v>1430</v>
      </c>
      <c r="E48" s="352"/>
      <c r="F48" s="279"/>
      <c r="G48" s="279"/>
      <c r="H48" s="279"/>
      <c r="I48" s="18"/>
      <c r="J48" s="17"/>
      <c r="K48" s="379">
        <f t="shared" si="1"/>
        <v>202</v>
      </c>
    </row>
    <row r="49" spans="1:11">
      <c r="A49" s="379"/>
      <c r="B49" s="200"/>
      <c r="C49" s="170"/>
      <c r="D49" s="352"/>
      <c r="E49" s="352"/>
      <c r="F49" s="279"/>
      <c r="G49" s="279"/>
      <c r="H49" s="279"/>
      <c r="I49" s="18"/>
      <c r="J49" s="17"/>
      <c r="K49" s="379"/>
    </row>
    <row r="50" spans="1:11">
      <c r="A50" s="379"/>
      <c r="B50" s="17"/>
      <c r="C50" s="147" t="s">
        <v>413</v>
      </c>
      <c r="D50" s="147" t="s">
        <v>414</v>
      </c>
      <c r="E50" s="147" t="s">
        <v>415</v>
      </c>
      <c r="F50" s="147" t="s">
        <v>416</v>
      </c>
      <c r="G50" s="147" t="s">
        <v>417</v>
      </c>
      <c r="H50" s="147" t="s">
        <v>418</v>
      </c>
      <c r="I50" s="147" t="s">
        <v>419</v>
      </c>
      <c r="J50" s="147" t="s">
        <v>420</v>
      </c>
      <c r="K50" s="379"/>
    </row>
    <row r="51" spans="1:11">
      <c r="A51" s="379"/>
      <c r="B51" s="17"/>
      <c r="C51" s="170"/>
      <c r="D51" s="296" t="s">
        <v>1275</v>
      </c>
      <c r="E51" s="296" t="s">
        <v>1276</v>
      </c>
      <c r="F51" s="280"/>
      <c r="G51" s="280"/>
      <c r="H51" s="296" t="s">
        <v>1277</v>
      </c>
      <c r="I51" s="116" t="s">
        <v>1278</v>
      </c>
      <c r="J51" s="296" t="s">
        <v>1279</v>
      </c>
      <c r="K51" s="379"/>
    </row>
    <row r="52" spans="1:11">
      <c r="A52" s="379"/>
      <c r="B52" s="17"/>
      <c r="C52" s="170"/>
      <c r="D52" s="284"/>
      <c r="E52" s="284"/>
      <c r="F52" s="280"/>
      <c r="G52" s="280"/>
      <c r="H52" s="280"/>
      <c r="I52" s="18"/>
      <c r="J52" s="17"/>
      <c r="K52" s="379"/>
    </row>
    <row r="53" spans="1:11">
      <c r="A53" s="379"/>
      <c r="B53" s="17"/>
      <c r="C53" s="176"/>
      <c r="D53" s="296" t="s">
        <v>1280</v>
      </c>
      <c r="E53" s="296" t="s">
        <v>1281</v>
      </c>
      <c r="F53" s="296"/>
      <c r="G53" s="296" t="s">
        <v>1282</v>
      </c>
      <c r="H53" s="296" t="s">
        <v>1283</v>
      </c>
      <c r="I53" s="379" t="s">
        <v>1284</v>
      </c>
      <c r="J53" s="379" t="s">
        <v>1285</v>
      </c>
      <c r="K53" s="379"/>
    </row>
    <row r="54" spans="1:11">
      <c r="A54" s="144" t="s">
        <v>99</v>
      </c>
      <c r="B54" s="144" t="s">
        <v>462</v>
      </c>
      <c r="C54" s="176" t="s">
        <v>1286</v>
      </c>
      <c r="D54" s="298" t="s">
        <v>1287</v>
      </c>
      <c r="E54" s="298" t="s">
        <v>1288</v>
      </c>
      <c r="F54" s="298" t="s">
        <v>1289</v>
      </c>
      <c r="G54" s="298" t="s">
        <v>1290</v>
      </c>
      <c r="H54" s="298" t="s">
        <v>1291</v>
      </c>
      <c r="I54" s="144" t="s">
        <v>1292</v>
      </c>
      <c r="J54" s="144" t="s">
        <v>1293</v>
      </c>
      <c r="K54" s="144" t="str">
        <f t="shared" ref="K54:K69" si="2">A54</f>
        <v>Line</v>
      </c>
    </row>
    <row r="55" spans="1:11" ht="29">
      <c r="A55" s="379">
        <f>A48+1</f>
        <v>203</v>
      </c>
      <c r="B55" s="17"/>
      <c r="C55" s="299" t="s">
        <v>1431</v>
      </c>
      <c r="D55" s="468"/>
      <c r="E55" s="201">
        <f>+C46</f>
        <v>-567343612.17005408</v>
      </c>
      <c r="F55" s="280"/>
      <c r="G55" s="304">
        <f>+G56+F56-G67</f>
        <v>365</v>
      </c>
      <c r="H55" s="301">
        <f>1</f>
        <v>1</v>
      </c>
      <c r="I55" s="302"/>
      <c r="J55" s="470">
        <f>+E55</f>
        <v>-567343612.17005408</v>
      </c>
      <c r="K55" s="379">
        <f t="shared" si="2"/>
        <v>203</v>
      </c>
    </row>
    <row r="56" spans="1:11">
      <c r="A56" s="379">
        <f t="shared" ref="A56:A69" si="3">A55+1</f>
        <v>204</v>
      </c>
      <c r="B56" s="371">
        <f>'1-BaseTRR'!$G$2</f>
        <v>2020</v>
      </c>
      <c r="C56" s="299" t="s">
        <v>472</v>
      </c>
      <c r="D56" s="201">
        <f>(-$C$46+$C$47)/12</f>
        <v>809458.18625464046</v>
      </c>
      <c r="E56" s="201">
        <f t="shared" ref="E56:E67" si="4">E55+D56</f>
        <v>-566534153.98379946</v>
      </c>
      <c r="F56" s="304">
        <v>31</v>
      </c>
      <c r="G56" s="304">
        <f t="shared" ref="G56:G65" si="5">+G57+F57</f>
        <v>335</v>
      </c>
      <c r="H56" s="301">
        <f>G56/G55</f>
        <v>0.9178082191780822</v>
      </c>
      <c r="I56" s="469">
        <f t="shared" ref="I56:I67" si="6">D56*H56</f>
        <v>742927.37642549188</v>
      </c>
      <c r="J56" s="234">
        <f t="shared" ref="J56:J67" si="7">J55+I56</f>
        <v>-566600684.79362857</v>
      </c>
      <c r="K56" s="379">
        <f t="shared" si="2"/>
        <v>204</v>
      </c>
    </row>
    <row r="57" spans="1:11">
      <c r="A57" s="379">
        <f t="shared" si="3"/>
        <v>205</v>
      </c>
      <c r="B57" s="371">
        <f>'1-BaseTRR'!$G$2</f>
        <v>2020</v>
      </c>
      <c r="C57" s="299" t="s">
        <v>473</v>
      </c>
      <c r="D57" s="201">
        <f t="shared" ref="D57:D67" si="8">(-$C$46+$C$47)/12</f>
        <v>809458.18625464046</v>
      </c>
      <c r="E57" s="201">
        <f t="shared" si="4"/>
        <v>-565724695.79754484</v>
      </c>
      <c r="F57" s="305">
        <v>28</v>
      </c>
      <c r="G57" s="304">
        <f t="shared" si="5"/>
        <v>307</v>
      </c>
      <c r="H57" s="301">
        <f>G57/G55</f>
        <v>0.84109589041095889</v>
      </c>
      <c r="I57" s="469">
        <f t="shared" si="6"/>
        <v>680831.9539182866</v>
      </c>
      <c r="J57" s="234">
        <f t="shared" si="7"/>
        <v>-565919852.83971024</v>
      </c>
      <c r="K57" s="379">
        <f t="shared" si="2"/>
        <v>205</v>
      </c>
    </row>
    <row r="58" spans="1:11">
      <c r="A58" s="379">
        <f t="shared" si="3"/>
        <v>206</v>
      </c>
      <c r="B58" s="371">
        <f>'1-BaseTRR'!$G$2</f>
        <v>2020</v>
      </c>
      <c r="C58" s="299" t="s">
        <v>474</v>
      </c>
      <c r="D58" s="201">
        <f t="shared" si="8"/>
        <v>809458.18625464046</v>
      </c>
      <c r="E58" s="201">
        <f t="shared" si="4"/>
        <v>-564915237.61129022</v>
      </c>
      <c r="F58" s="304">
        <v>31</v>
      </c>
      <c r="G58" s="304">
        <f t="shared" si="5"/>
        <v>276</v>
      </c>
      <c r="H58" s="301">
        <f>G58/G55</f>
        <v>0.75616438356164384</v>
      </c>
      <c r="I58" s="469">
        <f t="shared" si="6"/>
        <v>612083.45042816654</v>
      </c>
      <c r="J58" s="234">
        <f t="shared" si="7"/>
        <v>-565307769.38928211</v>
      </c>
      <c r="K58" s="379">
        <f t="shared" si="2"/>
        <v>206</v>
      </c>
    </row>
    <row r="59" spans="1:11">
      <c r="A59" s="379">
        <f t="shared" si="3"/>
        <v>207</v>
      </c>
      <c r="B59" s="371">
        <f>'1-BaseTRR'!$G$2</f>
        <v>2020</v>
      </c>
      <c r="C59" s="299" t="s">
        <v>475</v>
      </c>
      <c r="D59" s="201">
        <f t="shared" si="8"/>
        <v>809458.18625464046</v>
      </c>
      <c r="E59" s="201">
        <f t="shared" si="4"/>
        <v>-564105779.4250356</v>
      </c>
      <c r="F59" s="304">
        <v>30</v>
      </c>
      <c r="G59" s="304">
        <f t="shared" si="5"/>
        <v>246</v>
      </c>
      <c r="H59" s="301">
        <f>G59/G55</f>
        <v>0.67397260273972603</v>
      </c>
      <c r="I59" s="469">
        <f t="shared" si="6"/>
        <v>545552.64059901796</v>
      </c>
      <c r="J59" s="234">
        <f t="shared" si="7"/>
        <v>-564762216.74868309</v>
      </c>
      <c r="K59" s="379">
        <f t="shared" si="2"/>
        <v>207</v>
      </c>
    </row>
    <row r="60" spans="1:11">
      <c r="A60" s="379">
        <f t="shared" si="3"/>
        <v>208</v>
      </c>
      <c r="B60" s="371">
        <f>'1-BaseTRR'!$G$2</f>
        <v>2020</v>
      </c>
      <c r="C60" s="299" t="s">
        <v>437</v>
      </c>
      <c r="D60" s="201">
        <f t="shared" si="8"/>
        <v>809458.18625464046</v>
      </c>
      <c r="E60" s="201">
        <f t="shared" si="4"/>
        <v>-563296321.23878098</v>
      </c>
      <c r="F60" s="304">
        <v>31</v>
      </c>
      <c r="G60" s="304">
        <f t="shared" si="5"/>
        <v>215</v>
      </c>
      <c r="H60" s="301">
        <f>G60/G55</f>
        <v>0.58904109589041098</v>
      </c>
      <c r="I60" s="469">
        <f t="shared" si="6"/>
        <v>476804.13710889785</v>
      </c>
      <c r="J60" s="234">
        <f t="shared" si="7"/>
        <v>-564285412.61157417</v>
      </c>
      <c r="K60" s="379">
        <f t="shared" si="2"/>
        <v>208</v>
      </c>
    </row>
    <row r="61" spans="1:11">
      <c r="A61" s="379">
        <f t="shared" si="3"/>
        <v>209</v>
      </c>
      <c r="B61" s="371">
        <f>'1-BaseTRR'!$G$2</f>
        <v>2020</v>
      </c>
      <c r="C61" s="299" t="s">
        <v>592</v>
      </c>
      <c r="D61" s="201">
        <f t="shared" si="8"/>
        <v>809458.18625464046</v>
      </c>
      <c r="E61" s="201">
        <f t="shared" si="4"/>
        <v>-562486863.05252635</v>
      </c>
      <c r="F61" s="304">
        <v>30</v>
      </c>
      <c r="G61" s="304">
        <f t="shared" si="5"/>
        <v>185</v>
      </c>
      <c r="H61" s="301">
        <f>G61/G55</f>
        <v>0.50684931506849318</v>
      </c>
      <c r="I61" s="469">
        <f t="shared" si="6"/>
        <v>410273.32727974927</v>
      </c>
      <c r="J61" s="234">
        <f t="shared" si="7"/>
        <v>-563875139.28429437</v>
      </c>
      <c r="K61" s="379">
        <f t="shared" si="2"/>
        <v>209</v>
      </c>
    </row>
    <row r="62" spans="1:11">
      <c r="A62" s="379">
        <f t="shared" si="3"/>
        <v>210</v>
      </c>
      <c r="B62" s="371">
        <f>'1-BaseTRR'!$G$2</f>
        <v>2020</v>
      </c>
      <c r="C62" s="299" t="s">
        <v>477</v>
      </c>
      <c r="D62" s="201">
        <f t="shared" si="8"/>
        <v>809458.18625464046</v>
      </c>
      <c r="E62" s="201">
        <f t="shared" si="4"/>
        <v>-561677404.86627173</v>
      </c>
      <c r="F62" s="304">
        <v>31</v>
      </c>
      <c r="G62" s="304">
        <f t="shared" si="5"/>
        <v>154</v>
      </c>
      <c r="H62" s="301">
        <f>G62/G55</f>
        <v>0.42191780821917807</v>
      </c>
      <c r="I62" s="469">
        <f t="shared" si="6"/>
        <v>341524.8237896291</v>
      </c>
      <c r="J62" s="234">
        <f t="shared" si="7"/>
        <v>-563533614.46050477</v>
      </c>
      <c r="K62" s="379">
        <f t="shared" si="2"/>
        <v>210</v>
      </c>
    </row>
    <row r="63" spans="1:11">
      <c r="A63" s="379">
        <f t="shared" si="3"/>
        <v>211</v>
      </c>
      <c r="B63" s="371">
        <f>'1-BaseTRR'!$G$2</f>
        <v>2020</v>
      </c>
      <c r="C63" s="299" t="s">
        <v>478</v>
      </c>
      <c r="D63" s="201">
        <f t="shared" si="8"/>
        <v>809458.18625464046</v>
      </c>
      <c r="E63" s="201">
        <f t="shared" si="4"/>
        <v>-560867946.68001711</v>
      </c>
      <c r="F63" s="304">
        <v>31</v>
      </c>
      <c r="G63" s="304">
        <f t="shared" si="5"/>
        <v>123</v>
      </c>
      <c r="H63" s="301">
        <f>G63/G55</f>
        <v>0.33698630136986302</v>
      </c>
      <c r="I63" s="469">
        <f t="shared" si="6"/>
        <v>272776.32029950898</v>
      </c>
      <c r="J63" s="234">
        <f t="shared" si="7"/>
        <v>-563260838.14020526</v>
      </c>
      <c r="K63" s="379">
        <f t="shared" si="2"/>
        <v>211</v>
      </c>
    </row>
    <row r="64" spans="1:11">
      <c r="A64" s="379">
        <f t="shared" si="3"/>
        <v>212</v>
      </c>
      <c r="B64" s="371">
        <f>'1-BaseTRR'!$G$2</f>
        <v>2020</v>
      </c>
      <c r="C64" s="299" t="s">
        <v>480</v>
      </c>
      <c r="D64" s="201">
        <f t="shared" si="8"/>
        <v>809458.18625464046</v>
      </c>
      <c r="E64" s="201">
        <f t="shared" si="4"/>
        <v>-560058488.49376249</v>
      </c>
      <c r="F64" s="304">
        <v>30</v>
      </c>
      <c r="G64" s="304">
        <f t="shared" si="5"/>
        <v>93</v>
      </c>
      <c r="H64" s="301">
        <f>G64/G55</f>
        <v>0.25479452054794521</v>
      </c>
      <c r="I64" s="469">
        <f t="shared" si="6"/>
        <v>206245.51047036046</v>
      </c>
      <c r="J64" s="234">
        <f t="shared" si="7"/>
        <v>-563054592.62973487</v>
      </c>
      <c r="K64" s="379">
        <f t="shared" si="2"/>
        <v>212</v>
      </c>
    </row>
    <row r="65" spans="1:11">
      <c r="A65" s="379">
        <f t="shared" si="3"/>
        <v>213</v>
      </c>
      <c r="B65" s="371">
        <f>'1-BaseTRR'!$G$2</f>
        <v>2020</v>
      </c>
      <c r="C65" s="299" t="s">
        <v>481</v>
      </c>
      <c r="D65" s="201">
        <f t="shared" si="8"/>
        <v>809458.18625464046</v>
      </c>
      <c r="E65" s="201">
        <f t="shared" si="4"/>
        <v>-559249030.30750787</v>
      </c>
      <c r="F65" s="304">
        <v>31</v>
      </c>
      <c r="G65" s="304">
        <f t="shared" si="5"/>
        <v>62</v>
      </c>
      <c r="H65" s="301">
        <f>G65/G55</f>
        <v>0.16986301369863013</v>
      </c>
      <c r="I65" s="469">
        <f t="shared" si="6"/>
        <v>137497.00698024029</v>
      </c>
      <c r="J65" s="234">
        <f t="shared" si="7"/>
        <v>-562917095.62275469</v>
      </c>
      <c r="K65" s="379">
        <f t="shared" si="2"/>
        <v>213</v>
      </c>
    </row>
    <row r="66" spans="1:11">
      <c r="A66" s="379">
        <f t="shared" si="3"/>
        <v>214</v>
      </c>
      <c r="B66" s="371">
        <f>'1-BaseTRR'!$G$2</f>
        <v>2020</v>
      </c>
      <c r="C66" s="299" t="s">
        <v>482</v>
      </c>
      <c r="D66" s="201">
        <f t="shared" si="8"/>
        <v>809458.18625464046</v>
      </c>
      <c r="E66" s="201">
        <f t="shared" si="4"/>
        <v>-558439572.12125325</v>
      </c>
      <c r="F66" s="304">
        <v>30</v>
      </c>
      <c r="G66" s="304">
        <f>+G67+F67</f>
        <v>32</v>
      </c>
      <c r="H66" s="301">
        <f>G66/G55</f>
        <v>8.7671232876712329E-2</v>
      </c>
      <c r="I66" s="469">
        <f t="shared" si="6"/>
        <v>70966.197151091765</v>
      </c>
      <c r="J66" s="234">
        <f t="shared" si="7"/>
        <v>-562846129.42560363</v>
      </c>
      <c r="K66" s="379">
        <f t="shared" si="2"/>
        <v>214</v>
      </c>
    </row>
    <row r="67" spans="1:11">
      <c r="A67" s="379">
        <f t="shared" si="3"/>
        <v>215</v>
      </c>
      <c r="B67" s="371">
        <f>'1-BaseTRR'!$G$2</f>
        <v>2020</v>
      </c>
      <c r="C67" s="299" t="s">
        <v>470</v>
      </c>
      <c r="D67" s="201">
        <f t="shared" si="8"/>
        <v>809458.18625464046</v>
      </c>
      <c r="E67" s="201">
        <f t="shared" si="4"/>
        <v>-557630113.93499863</v>
      </c>
      <c r="F67" s="304">
        <v>31</v>
      </c>
      <c r="G67" s="305">
        <v>1</v>
      </c>
      <c r="H67" s="301">
        <f>G67/G55</f>
        <v>2.7397260273972603E-3</v>
      </c>
      <c r="I67" s="469">
        <f t="shared" si="6"/>
        <v>2217.6936609716176</v>
      </c>
      <c r="J67" s="667">
        <f t="shared" si="7"/>
        <v>-562843911.73194265</v>
      </c>
      <c r="K67" s="379">
        <f t="shared" si="2"/>
        <v>215</v>
      </c>
    </row>
    <row r="68" spans="1:11">
      <c r="A68" s="379">
        <f t="shared" si="3"/>
        <v>216</v>
      </c>
      <c r="B68" s="17"/>
      <c r="C68" s="299" t="s">
        <v>490</v>
      </c>
      <c r="D68" s="201"/>
      <c r="E68" s="201">
        <f>C47</f>
        <v>-557630113.93499839</v>
      </c>
      <c r="F68" s="280"/>
      <c r="G68" s="280"/>
      <c r="H68" s="280"/>
      <c r="I68" s="18"/>
      <c r="J68" s="472"/>
      <c r="K68" s="379">
        <f t="shared" si="2"/>
        <v>216</v>
      </c>
    </row>
    <row r="69" spans="1:11">
      <c r="A69" s="379">
        <f t="shared" si="3"/>
        <v>217</v>
      </c>
      <c r="B69" s="17"/>
      <c r="C69" s="170"/>
      <c r="D69" s="284"/>
      <c r="E69" s="284"/>
      <c r="F69" s="280"/>
      <c r="G69" s="280"/>
      <c r="H69" s="280"/>
      <c r="I69" s="306" t="s">
        <v>1295</v>
      </c>
      <c r="J69" s="587">
        <f>+J67</f>
        <v>-562843911.73194265</v>
      </c>
      <c r="K69" s="379">
        <f t="shared" si="2"/>
        <v>217</v>
      </c>
    </row>
    <row r="71" spans="1:11">
      <c r="B71" s="801" t="s">
        <v>1432</v>
      </c>
      <c r="C71" s="801"/>
      <c r="D71" s="801"/>
      <c r="E71" s="801"/>
      <c r="F71" s="801"/>
      <c r="G71" s="801"/>
      <c r="H71" s="801"/>
      <c r="I71" s="801"/>
      <c r="J71" s="801"/>
    </row>
    <row r="72" spans="1:11">
      <c r="B72" s="801" t="s">
        <v>1433</v>
      </c>
      <c r="C72" s="801"/>
      <c r="D72" s="801"/>
      <c r="E72" s="801"/>
      <c r="F72" s="801"/>
      <c r="G72" s="801"/>
      <c r="H72" s="801"/>
      <c r="I72" s="801"/>
      <c r="J72" s="801"/>
    </row>
  </sheetData>
  <mergeCells count="3">
    <mergeCell ref="N4:T4"/>
    <mergeCell ref="B71:J71"/>
    <mergeCell ref="B72:J72"/>
  </mergeCells>
  <printOptions horizontalCentered="1"/>
  <pageMargins left="1" right="1" top="1" bottom="1" header="0.5" footer="0.5"/>
  <pageSetup scale="49"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41" max="10" man="1"/>
  </rowBreaks>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C129"/>
  <sheetViews>
    <sheetView tabSelected="1" view="pageBreakPreview" zoomScale="85" zoomScaleNormal="70" zoomScaleSheetLayoutView="85" workbookViewId="0">
      <pane xSplit="4" ySplit="10" topLeftCell="AP119" activePane="bottomRight" state="frozen"/>
      <selection activeCell="E21" sqref="E21"/>
      <selection pane="topRight" activeCell="E21" sqref="E21"/>
      <selection pane="bottomLeft" activeCell="E21" sqref="E21"/>
      <selection pane="bottomRight" activeCell="E21" sqref="E21"/>
    </sheetView>
  </sheetViews>
  <sheetFormatPr defaultColWidth="9.1796875" defaultRowHeight="12.5"/>
  <cols>
    <col min="1" max="1" width="6.7265625" style="626" bestFit="1" customWidth="1"/>
    <col min="2" max="2" width="14.54296875" style="626" customWidth="1"/>
    <col min="3" max="3" width="9.1796875" style="626"/>
    <col min="4" max="4" width="38.81640625" style="626" customWidth="1"/>
    <col min="5" max="5" width="1.7265625" style="626" customWidth="1"/>
    <col min="6" max="6" width="19.7265625" style="626" bestFit="1" customWidth="1"/>
    <col min="7" max="7" width="1.7265625" style="626" customWidth="1"/>
    <col min="8" max="8" width="15.81640625" style="626" bestFit="1" customWidth="1"/>
    <col min="9" max="9" width="1.7265625" style="626" customWidth="1"/>
    <col min="10" max="10" width="17.453125" style="626" bestFit="1" customWidth="1"/>
    <col min="11" max="11" width="1.7265625" style="626" customWidth="1"/>
    <col min="12" max="12" width="22.1796875" style="626" customWidth="1"/>
    <col min="13" max="13" width="1.7265625" style="626" customWidth="1"/>
    <col min="14" max="14" width="14.7265625" style="626" bestFit="1" customWidth="1"/>
    <col min="15" max="15" width="1.7265625" style="626" customWidth="1"/>
    <col min="16" max="16" width="14.7265625" style="626" bestFit="1" customWidth="1"/>
    <col min="17" max="17" width="1.7265625" style="626" customWidth="1"/>
    <col min="18" max="18" width="17.7265625" style="626" bestFit="1" customWidth="1"/>
    <col min="19" max="19" width="1.7265625" style="626" customWidth="1"/>
    <col min="20" max="20" width="17.26953125" style="626" customWidth="1"/>
    <col min="21" max="21" width="1.7265625" style="626" customWidth="1"/>
    <col min="22" max="22" width="24.54296875" style="626" bestFit="1" customWidth="1"/>
    <col min="23" max="23" width="1.7265625" style="626" customWidth="1"/>
    <col min="24" max="24" width="17.26953125" style="626" customWidth="1"/>
    <col min="25" max="25" width="1.7265625" style="626" customWidth="1"/>
    <col min="26" max="26" width="17.26953125" style="626" customWidth="1"/>
    <col min="27" max="27" width="1.7265625" style="626" customWidth="1"/>
    <col min="28" max="28" width="17.26953125" style="626" customWidth="1"/>
    <col min="29" max="29" width="1.7265625" style="626" customWidth="1"/>
    <col min="30" max="30" width="21.81640625" style="626" bestFit="1" customWidth="1"/>
    <col min="31" max="31" width="1.7265625" style="626" customWidth="1"/>
    <col min="32" max="32" width="21.81640625" style="626" customWidth="1"/>
    <col min="33" max="33" width="1.7265625" style="626" customWidth="1"/>
    <col min="34" max="34" width="21.81640625" style="626" customWidth="1"/>
    <col min="35" max="35" width="1.7265625" style="626" customWidth="1"/>
    <col min="36" max="36" width="21.81640625" style="626" customWidth="1"/>
    <col min="37" max="37" width="1.7265625" style="626" customWidth="1"/>
    <col min="38" max="38" width="21.81640625" style="626" customWidth="1"/>
    <col min="39" max="39" width="1.7265625" style="626" customWidth="1"/>
    <col min="40" max="40" width="17.26953125" style="626" customWidth="1"/>
    <col min="41" max="41" width="1.7265625" style="626" customWidth="1"/>
    <col min="42" max="42" width="17.26953125" style="626" customWidth="1"/>
    <col min="43" max="43" width="1.7265625" style="626" customWidth="1"/>
    <col min="44" max="44" width="17.26953125" style="626" customWidth="1"/>
    <col min="45" max="45" width="1.7265625" style="626" customWidth="1"/>
    <col min="46" max="46" width="21.81640625" style="626" customWidth="1"/>
    <col min="47" max="47" width="1.7265625" style="626" customWidth="1"/>
    <col min="48" max="48" width="21.81640625" style="626" customWidth="1"/>
    <col min="49" max="49" width="1.7265625" style="626" customWidth="1"/>
    <col min="50" max="50" width="21.81640625" style="626" customWidth="1"/>
    <col min="51" max="51" width="1.7265625" style="626" customWidth="1"/>
    <col min="52" max="52" width="21.81640625" style="626" customWidth="1"/>
    <col min="53" max="53" width="1.7265625" style="626" customWidth="1"/>
    <col min="54" max="54" width="22.7265625" style="626" bestFit="1" customWidth="1"/>
    <col min="55" max="55" width="7.1796875" style="626" bestFit="1" customWidth="1"/>
    <col min="56" max="16384" width="9.1796875" style="626"/>
  </cols>
  <sheetData>
    <row r="1" spans="1:55" ht="14.5">
      <c r="B1" s="661" t="s">
        <v>48</v>
      </c>
      <c r="C1" s="661"/>
      <c r="D1" s="661"/>
      <c r="E1" s="661"/>
      <c r="F1" s="661"/>
      <c r="G1" s="661"/>
      <c r="H1" s="661"/>
      <c r="I1" s="661"/>
      <c r="J1" s="661"/>
      <c r="K1" s="661"/>
      <c r="L1" s="661"/>
      <c r="M1" s="661"/>
      <c r="N1" s="661"/>
      <c r="O1" s="661"/>
      <c r="P1" s="661"/>
      <c r="Q1" s="661"/>
      <c r="R1" s="661"/>
      <c r="S1" s="661"/>
      <c r="T1" s="661"/>
      <c r="U1" s="661"/>
      <c r="V1" s="661"/>
      <c r="W1" s="661"/>
      <c r="X1" s="661"/>
      <c r="Y1" s="661"/>
      <c r="Z1" s="661"/>
      <c r="AA1" s="661"/>
      <c r="AB1" s="661"/>
      <c r="AC1" s="661"/>
      <c r="AD1" s="661"/>
      <c r="AE1" s="661"/>
      <c r="AF1" s="661"/>
      <c r="AG1" s="661"/>
      <c r="AH1" s="661"/>
      <c r="AI1" s="661"/>
      <c r="AJ1" s="661"/>
      <c r="AK1" s="661"/>
      <c r="AL1" s="661"/>
      <c r="AM1" s="661"/>
      <c r="AN1" s="661"/>
      <c r="AO1" s="661"/>
      <c r="AP1" s="661"/>
      <c r="AQ1" s="661"/>
      <c r="AR1" s="661"/>
      <c r="AS1" s="661"/>
      <c r="AT1" s="661"/>
      <c r="AU1" s="661"/>
      <c r="AV1" s="661"/>
      <c r="AW1" s="661"/>
      <c r="AX1" s="661"/>
      <c r="AY1" s="661"/>
      <c r="AZ1" s="661"/>
      <c r="BA1" s="661"/>
      <c r="BB1" s="15" t="str">
        <f>CONCATENATE("Prior Year: ",'1-BaseTRR'!$G$2)</f>
        <v>Prior Year: 2020</v>
      </c>
    </row>
    <row r="2" spans="1:55" ht="14.5">
      <c r="A2" s="661"/>
      <c r="B2" s="662" t="s">
        <v>130</v>
      </c>
      <c r="C2" s="662"/>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row>
    <row r="3" spans="1:55" ht="14.5">
      <c r="A3" s="627"/>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7"/>
      <c r="AQ3" s="627"/>
      <c r="AR3" s="627"/>
      <c r="AS3" s="627"/>
      <c r="AT3" s="627"/>
      <c r="AU3" s="627"/>
      <c r="AV3" s="627"/>
      <c r="AW3" s="627"/>
      <c r="AX3" s="627"/>
      <c r="AY3" s="627"/>
      <c r="AZ3" s="627"/>
      <c r="BA3" s="627"/>
      <c r="BB3" s="627"/>
    </row>
    <row r="4" spans="1:55">
      <c r="F4" s="824" t="s">
        <v>1434</v>
      </c>
      <c r="G4" s="824"/>
      <c r="H4" s="824"/>
      <c r="I4" s="824"/>
      <c r="J4" s="824"/>
      <c r="K4" s="628"/>
      <c r="L4" s="766" t="s">
        <v>1435</v>
      </c>
      <c r="N4" s="824" t="s">
        <v>1436</v>
      </c>
      <c r="O4" s="824"/>
      <c r="P4" s="824"/>
      <c r="Q4" s="824"/>
      <c r="R4" s="824"/>
      <c r="V4" s="629" t="s">
        <v>1437</v>
      </c>
      <c r="AD4" s="766" t="s">
        <v>1438</v>
      </c>
      <c r="AE4" s="628"/>
      <c r="AF4" s="824" t="s">
        <v>1436</v>
      </c>
      <c r="AG4" s="824"/>
      <c r="AH4" s="824"/>
      <c r="AI4" s="824"/>
      <c r="AJ4" s="824"/>
      <c r="AK4" s="628"/>
      <c r="AL4" s="628"/>
      <c r="AT4" s="824" t="s">
        <v>1436</v>
      </c>
      <c r="AU4" s="824"/>
      <c r="AV4" s="824"/>
      <c r="AW4" s="824"/>
      <c r="AX4" s="824"/>
      <c r="AY4" s="628"/>
      <c r="AZ4" s="628"/>
    </row>
    <row r="5" spans="1:55" ht="14.5">
      <c r="A5" s="630"/>
      <c r="B5" s="630"/>
      <c r="C5" s="630"/>
      <c r="D5" s="630"/>
      <c r="E5" s="630"/>
      <c r="F5" s="631" t="s">
        <v>413</v>
      </c>
      <c r="G5" s="631"/>
      <c r="H5" s="631" t="s">
        <v>414</v>
      </c>
      <c r="I5" s="631"/>
      <c r="J5" s="631" t="s">
        <v>415</v>
      </c>
      <c r="K5" s="631"/>
      <c r="L5" s="631" t="s">
        <v>416</v>
      </c>
      <c r="M5" s="631"/>
      <c r="N5" s="631" t="s">
        <v>417</v>
      </c>
      <c r="O5" s="631"/>
      <c r="P5" s="631" t="s">
        <v>418</v>
      </c>
      <c r="Q5" s="631"/>
      <c r="R5" s="631" t="s">
        <v>419</v>
      </c>
      <c r="S5" s="631"/>
      <c r="T5" s="631" t="s">
        <v>420</v>
      </c>
      <c r="U5" s="631"/>
      <c r="V5" s="631" t="s">
        <v>451</v>
      </c>
      <c r="W5" s="632"/>
      <c r="X5" s="632" t="s">
        <v>586</v>
      </c>
      <c r="Y5" s="632"/>
      <c r="Z5" s="632" t="s">
        <v>587</v>
      </c>
      <c r="AA5" s="632"/>
      <c r="AB5" s="632" t="s">
        <v>588</v>
      </c>
      <c r="AC5" s="632"/>
      <c r="AD5" s="633" t="s">
        <v>589</v>
      </c>
      <c r="AE5" s="632"/>
      <c r="AF5" s="632" t="s">
        <v>590</v>
      </c>
      <c r="AG5" s="632"/>
      <c r="AH5" s="632" t="s">
        <v>1439</v>
      </c>
      <c r="AI5" s="632"/>
      <c r="AJ5" s="632" t="s">
        <v>1440</v>
      </c>
      <c r="AK5" s="632"/>
      <c r="AL5" s="632" t="s">
        <v>1441</v>
      </c>
      <c r="AM5" s="632"/>
      <c r="AN5" s="632" t="s">
        <v>1442</v>
      </c>
      <c r="AO5" s="632"/>
      <c r="AP5" s="632" t="s">
        <v>1443</v>
      </c>
      <c r="AQ5" s="632"/>
      <c r="AR5" s="632" t="s">
        <v>1444</v>
      </c>
      <c r="AS5" s="632"/>
      <c r="AT5" s="632" t="s">
        <v>1445</v>
      </c>
      <c r="AU5" s="632"/>
      <c r="AV5" s="632" t="s">
        <v>1446</v>
      </c>
      <c r="AW5" s="632"/>
      <c r="AX5" s="632" t="s">
        <v>1447</v>
      </c>
      <c r="AY5" s="632"/>
      <c r="AZ5" s="632" t="s">
        <v>1448</v>
      </c>
      <c r="BA5" s="632"/>
      <c r="BB5" s="630"/>
      <c r="BC5" s="630"/>
    </row>
    <row r="6" spans="1:55" ht="28.5" customHeight="1">
      <c r="A6" s="630"/>
      <c r="B6" s="630"/>
      <c r="C6" s="630"/>
      <c r="D6" s="630">
        <v>-1</v>
      </c>
      <c r="E6" s="630"/>
      <c r="F6" s="632"/>
      <c r="G6" s="632"/>
      <c r="H6" s="632"/>
      <c r="I6" s="632"/>
      <c r="J6" s="632" t="s">
        <v>1449</v>
      </c>
      <c r="K6" s="632"/>
      <c r="L6" s="632"/>
      <c r="M6" s="632"/>
      <c r="N6" s="631"/>
      <c r="O6" s="631"/>
      <c r="P6" s="631"/>
      <c r="Q6" s="631"/>
      <c r="R6" s="631"/>
      <c r="S6" s="631"/>
      <c r="T6" s="631" t="s">
        <v>1450</v>
      </c>
      <c r="U6" s="632"/>
      <c r="V6" s="632"/>
      <c r="W6" s="632"/>
      <c r="X6" s="826" t="s">
        <v>1451</v>
      </c>
      <c r="Y6" s="826"/>
      <c r="Z6" s="826"/>
      <c r="AA6" s="826"/>
      <c r="AB6" s="826"/>
      <c r="AC6" s="632"/>
      <c r="AD6" s="632"/>
      <c r="AE6" s="632"/>
      <c r="AF6" s="632" t="s">
        <v>1452</v>
      </c>
      <c r="AG6" s="632"/>
      <c r="AH6" s="632" t="s">
        <v>1453</v>
      </c>
      <c r="AI6" s="632"/>
      <c r="AJ6" s="632" t="s">
        <v>1454</v>
      </c>
      <c r="AK6" s="632"/>
      <c r="AL6" s="632" t="s">
        <v>1455</v>
      </c>
      <c r="AM6" s="632"/>
      <c r="AN6" s="826" t="s">
        <v>1456</v>
      </c>
      <c r="AO6" s="826"/>
      <c r="AP6" s="826"/>
      <c r="AQ6" s="826"/>
      <c r="AR6" s="826"/>
      <c r="AS6" s="632"/>
      <c r="AT6" s="632" t="s">
        <v>1457</v>
      </c>
      <c r="AU6" s="632"/>
      <c r="AV6" s="632" t="s">
        <v>1458</v>
      </c>
      <c r="AW6" s="632"/>
      <c r="AX6" s="632" t="s">
        <v>1459</v>
      </c>
      <c r="AY6" s="632"/>
      <c r="AZ6" s="632" t="s">
        <v>1460</v>
      </c>
      <c r="BA6" s="632"/>
      <c r="BB6" s="630"/>
      <c r="BC6" s="630"/>
    </row>
    <row r="7" spans="1:55" ht="12.75" customHeight="1">
      <c r="B7" s="634"/>
      <c r="C7" s="634"/>
      <c r="D7" s="634"/>
      <c r="E7" s="634"/>
      <c r="F7" s="635" t="s">
        <v>1461</v>
      </c>
      <c r="G7" s="634"/>
      <c r="H7" s="635" t="s">
        <v>1462</v>
      </c>
      <c r="I7" s="634"/>
      <c r="J7" s="636" t="s">
        <v>1463</v>
      </c>
      <c r="K7" s="636"/>
      <c r="L7" s="636" t="s">
        <v>708</v>
      </c>
      <c r="M7" s="634"/>
      <c r="N7" s="825" t="s">
        <v>1464</v>
      </c>
      <c r="O7" s="825"/>
      <c r="P7" s="825"/>
      <c r="Q7" s="825"/>
      <c r="R7" s="825"/>
      <c r="S7" s="825"/>
      <c r="T7" s="825"/>
      <c r="U7" s="635"/>
      <c r="V7" s="635"/>
      <c r="W7" s="635"/>
      <c r="X7" s="635" t="s">
        <v>493</v>
      </c>
      <c r="Y7" s="635"/>
      <c r="Z7" s="635" t="s">
        <v>493</v>
      </c>
      <c r="AA7" s="635"/>
      <c r="AB7" s="635" t="s">
        <v>493</v>
      </c>
      <c r="AC7" s="635"/>
      <c r="AD7" s="635" t="s">
        <v>708</v>
      </c>
      <c r="AE7" s="635"/>
      <c r="AF7" s="825" t="s">
        <v>1465</v>
      </c>
      <c r="AG7" s="825"/>
      <c r="AH7" s="825"/>
      <c r="AI7" s="825"/>
      <c r="AJ7" s="825"/>
      <c r="AK7" s="825"/>
      <c r="AL7" s="825"/>
      <c r="AM7" s="635"/>
      <c r="AN7" s="635" t="s">
        <v>493</v>
      </c>
      <c r="AO7" s="635"/>
      <c r="AP7" s="635" t="s">
        <v>493</v>
      </c>
      <c r="AQ7" s="635"/>
      <c r="AR7" s="635" t="s">
        <v>493</v>
      </c>
      <c r="AS7" s="635"/>
      <c r="AT7" s="825" t="s">
        <v>1466</v>
      </c>
      <c r="AU7" s="825"/>
      <c r="AV7" s="825"/>
      <c r="AW7" s="825"/>
      <c r="AX7" s="825"/>
      <c r="AY7" s="825"/>
      <c r="AZ7" s="825"/>
      <c r="BA7" s="635"/>
      <c r="BB7" s="634"/>
    </row>
    <row r="8" spans="1:55" ht="12.75" customHeight="1">
      <c r="B8" s="634"/>
      <c r="C8" s="634"/>
      <c r="D8" s="634"/>
      <c r="E8" s="634"/>
      <c r="F8" s="635" t="s">
        <v>1467</v>
      </c>
      <c r="G8" s="634"/>
      <c r="H8" s="635" t="s">
        <v>1468</v>
      </c>
      <c r="I8" s="634"/>
      <c r="J8" s="636" t="s">
        <v>834</v>
      </c>
      <c r="K8" s="636"/>
      <c r="L8" s="636" t="s">
        <v>1463</v>
      </c>
      <c r="M8" s="634"/>
      <c r="N8" s="635" t="s">
        <v>1469</v>
      </c>
      <c r="O8" s="635"/>
      <c r="P8" s="635" t="s">
        <v>1469</v>
      </c>
      <c r="Q8" s="635"/>
      <c r="R8" s="635" t="s">
        <v>1469</v>
      </c>
      <c r="S8" s="635"/>
      <c r="T8" s="635"/>
      <c r="U8" s="635"/>
      <c r="V8" s="635" t="s">
        <v>493</v>
      </c>
      <c r="W8" s="635"/>
      <c r="X8" s="635" t="s">
        <v>1470</v>
      </c>
      <c r="Y8" s="635"/>
      <c r="Z8" s="635" t="s">
        <v>1470</v>
      </c>
      <c r="AA8" s="635"/>
      <c r="AB8" s="635" t="s">
        <v>1470</v>
      </c>
      <c r="AC8" s="635"/>
      <c r="AD8" s="635" t="s">
        <v>1471</v>
      </c>
      <c r="AE8" s="635"/>
      <c r="AF8" s="635" t="s">
        <v>1472</v>
      </c>
      <c r="AG8" s="635"/>
      <c r="AH8" s="635" t="s">
        <v>1472</v>
      </c>
      <c r="AI8" s="635"/>
      <c r="AJ8" s="635" t="s">
        <v>1472</v>
      </c>
      <c r="AK8" s="635"/>
      <c r="AL8" s="635"/>
      <c r="AM8" s="635"/>
      <c r="AN8" s="635" t="s">
        <v>1470</v>
      </c>
      <c r="AO8" s="635"/>
      <c r="AP8" s="635" t="s">
        <v>1470</v>
      </c>
      <c r="AQ8" s="635"/>
      <c r="AR8" s="635" t="s">
        <v>1470</v>
      </c>
      <c r="AS8" s="635"/>
      <c r="AT8" s="635" t="s">
        <v>1472</v>
      </c>
      <c r="AU8" s="635"/>
      <c r="AV8" s="635" t="s">
        <v>1472</v>
      </c>
      <c r="AW8" s="635"/>
      <c r="AX8" s="635" t="s">
        <v>1472</v>
      </c>
      <c r="AY8" s="635"/>
      <c r="AZ8" s="635"/>
      <c r="BA8" s="635"/>
      <c r="BB8" s="634"/>
    </row>
    <row r="9" spans="1:55" ht="14.5">
      <c r="A9" s="632"/>
      <c r="B9" s="630"/>
      <c r="C9" s="630"/>
      <c r="D9" s="630"/>
      <c r="E9" s="630"/>
      <c r="F9" s="637" t="s">
        <v>1473</v>
      </c>
      <c r="G9" s="630"/>
      <c r="H9" s="637" t="s">
        <v>1474</v>
      </c>
      <c r="I9" s="630"/>
      <c r="J9" s="638" t="s">
        <v>492</v>
      </c>
      <c r="K9" s="638"/>
      <c r="L9" s="638" t="s">
        <v>1475</v>
      </c>
      <c r="M9" s="630"/>
      <c r="N9" s="635" t="s">
        <v>1476</v>
      </c>
      <c r="O9" s="635"/>
      <c r="P9" s="632" t="s">
        <v>1477</v>
      </c>
      <c r="Q9" s="632"/>
      <c r="R9" s="639" t="s">
        <v>1477</v>
      </c>
      <c r="S9" s="639"/>
      <c r="T9" s="639" t="s">
        <v>1469</v>
      </c>
      <c r="U9" s="639"/>
      <c r="V9" s="639" t="s">
        <v>1478</v>
      </c>
      <c r="W9" s="639"/>
      <c r="X9" s="635" t="s">
        <v>1476</v>
      </c>
      <c r="Y9" s="635"/>
      <c r="Z9" s="632" t="s">
        <v>1477</v>
      </c>
      <c r="AA9" s="632"/>
      <c r="AB9" s="639" t="s">
        <v>1477</v>
      </c>
      <c r="AC9" s="639"/>
      <c r="AD9" s="639" t="s">
        <v>1479</v>
      </c>
      <c r="AE9" s="639"/>
      <c r="AF9" s="635" t="s">
        <v>1476</v>
      </c>
      <c r="AG9" s="635"/>
      <c r="AH9" s="632" t="s">
        <v>1477</v>
      </c>
      <c r="AI9" s="632"/>
      <c r="AJ9" s="639" t="s">
        <v>1477</v>
      </c>
      <c r="AK9" s="639"/>
      <c r="AL9" s="639" t="s">
        <v>1472</v>
      </c>
      <c r="AM9" s="639"/>
      <c r="AN9" s="635" t="s">
        <v>1476</v>
      </c>
      <c r="AO9" s="635"/>
      <c r="AP9" s="632" t="s">
        <v>1477</v>
      </c>
      <c r="AQ9" s="632"/>
      <c r="AR9" s="639" t="s">
        <v>1477</v>
      </c>
      <c r="AS9" s="639"/>
      <c r="AT9" s="635" t="s">
        <v>1476</v>
      </c>
      <c r="AU9" s="635"/>
      <c r="AV9" s="632" t="s">
        <v>1477</v>
      </c>
      <c r="AW9" s="632"/>
      <c r="AX9" s="639" t="s">
        <v>1477</v>
      </c>
      <c r="AY9" s="639"/>
      <c r="AZ9" s="639" t="s">
        <v>1472</v>
      </c>
      <c r="BA9" s="639"/>
      <c r="BB9" s="632"/>
      <c r="BC9" s="632"/>
    </row>
    <row r="10" spans="1:55" ht="15" thickBot="1">
      <c r="A10" s="316" t="s">
        <v>99</v>
      </c>
      <c r="B10" s="640" t="s">
        <v>1197</v>
      </c>
      <c r="C10" s="640"/>
      <c r="D10" s="640"/>
      <c r="E10" s="640"/>
      <c r="F10" s="641">
        <v>43100</v>
      </c>
      <c r="G10" s="640"/>
      <c r="H10" s="641">
        <v>43100</v>
      </c>
      <c r="I10" s="640"/>
      <c r="J10" s="641">
        <v>43100</v>
      </c>
      <c r="K10" s="641"/>
      <c r="L10" s="641" t="s">
        <v>1480</v>
      </c>
      <c r="M10" s="640"/>
      <c r="N10" s="642" t="s">
        <v>1481</v>
      </c>
      <c r="O10" s="642"/>
      <c r="P10" s="643" t="s">
        <v>1481</v>
      </c>
      <c r="Q10" s="643"/>
      <c r="R10" s="644" t="s">
        <v>1482</v>
      </c>
      <c r="S10" s="644"/>
      <c r="T10" s="644" t="s">
        <v>1483</v>
      </c>
      <c r="U10" s="644"/>
      <c r="V10" s="644" t="s">
        <v>1484</v>
      </c>
      <c r="W10" s="644"/>
      <c r="X10" s="642" t="s">
        <v>1481</v>
      </c>
      <c r="Y10" s="642"/>
      <c r="Z10" s="643" t="s">
        <v>1481</v>
      </c>
      <c r="AA10" s="643"/>
      <c r="AB10" s="644" t="s">
        <v>1482</v>
      </c>
      <c r="AC10" s="644"/>
      <c r="AD10" s="644" t="s">
        <v>1485</v>
      </c>
      <c r="AE10" s="644"/>
      <c r="AF10" s="642" t="s">
        <v>1481</v>
      </c>
      <c r="AG10" s="642"/>
      <c r="AH10" s="643" t="s">
        <v>1481</v>
      </c>
      <c r="AI10" s="643"/>
      <c r="AJ10" s="644" t="s">
        <v>1482</v>
      </c>
      <c r="AK10" s="644"/>
      <c r="AL10" s="644" t="s">
        <v>1483</v>
      </c>
      <c r="AM10" s="644"/>
      <c r="AN10" s="642" t="s">
        <v>1481</v>
      </c>
      <c r="AO10" s="642"/>
      <c r="AP10" s="643" t="s">
        <v>1481</v>
      </c>
      <c r="AQ10" s="643"/>
      <c r="AR10" s="644" t="s">
        <v>1482</v>
      </c>
      <c r="AS10" s="644"/>
      <c r="AT10" s="642" t="s">
        <v>1481</v>
      </c>
      <c r="AU10" s="642"/>
      <c r="AV10" s="643" t="s">
        <v>1481</v>
      </c>
      <c r="AW10" s="643"/>
      <c r="AX10" s="644" t="s">
        <v>1482</v>
      </c>
      <c r="AY10" s="644"/>
      <c r="AZ10" s="644" t="s">
        <v>1483</v>
      </c>
      <c r="BA10" s="644"/>
      <c r="BB10" s="645" t="s">
        <v>655</v>
      </c>
      <c r="BC10" s="660" t="s">
        <v>99</v>
      </c>
    </row>
    <row r="11" spans="1:55" ht="14.5">
      <c r="A11" s="632"/>
      <c r="B11" s="630"/>
      <c r="C11" s="630"/>
      <c r="D11" s="630"/>
      <c r="E11" s="630"/>
      <c r="F11" s="630"/>
      <c r="G11" s="630"/>
      <c r="H11" s="630"/>
      <c r="I11" s="630"/>
      <c r="J11" s="630"/>
      <c r="K11" s="630"/>
      <c r="L11" s="630"/>
      <c r="M11" s="630"/>
      <c r="N11" s="635"/>
      <c r="O11" s="635"/>
      <c r="P11" s="646"/>
      <c r="Q11" s="646"/>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32"/>
      <c r="BC11" s="632"/>
    </row>
    <row r="12" spans="1:55" ht="14.5">
      <c r="A12" s="632">
        <v>100</v>
      </c>
      <c r="B12" s="630" t="s">
        <v>1486</v>
      </c>
      <c r="C12" s="630"/>
      <c r="D12" s="630"/>
      <c r="E12" s="630"/>
      <c r="F12" s="648">
        <f>+F26</f>
        <v>-1695727972</v>
      </c>
      <c r="G12" s="630"/>
      <c r="H12" s="648">
        <f>+H26</f>
        <v>-1087798598</v>
      </c>
      <c r="I12" s="630"/>
      <c r="J12" s="648">
        <f>+J26</f>
        <v>-607929374</v>
      </c>
      <c r="K12" s="630"/>
      <c r="L12" s="638" t="s">
        <v>1480</v>
      </c>
      <c r="M12" s="630"/>
      <c r="N12" s="648">
        <f>N26</f>
        <v>-607929374</v>
      </c>
      <c r="O12" s="648"/>
      <c r="P12" s="648">
        <f>P26</f>
        <v>0</v>
      </c>
      <c r="Q12" s="648"/>
      <c r="R12" s="648">
        <f>R26</f>
        <v>0</v>
      </c>
      <c r="S12" s="648"/>
      <c r="T12" s="648">
        <f>SUM(N12:R12)</f>
        <v>-607929374</v>
      </c>
      <c r="U12" s="648"/>
      <c r="V12" s="650" t="s">
        <v>1487</v>
      </c>
      <c r="W12" s="648"/>
      <c r="X12" s="648">
        <f>X26</f>
        <v>-20079158.872910362</v>
      </c>
      <c r="Y12" s="648"/>
      <c r="Z12" s="648">
        <f>Z26</f>
        <v>0</v>
      </c>
      <c r="AA12" s="648"/>
      <c r="AB12" s="648">
        <f>AB26</f>
        <v>0</v>
      </c>
      <c r="AC12" s="648"/>
      <c r="AD12" s="638" t="s">
        <v>1485</v>
      </c>
      <c r="AE12" s="648"/>
      <c r="AF12" s="648">
        <f>AF26</f>
        <v>-587850215.03906202</v>
      </c>
      <c r="AG12" s="648"/>
      <c r="AH12" s="648">
        <f>AH26</f>
        <v>0</v>
      </c>
      <c r="AI12" s="648"/>
      <c r="AJ12" s="648">
        <f>AJ26</f>
        <v>0</v>
      </c>
      <c r="AK12" s="648"/>
      <c r="AL12" s="648">
        <f>SUM(AF12:AJ12)</f>
        <v>-587850215.03906202</v>
      </c>
      <c r="AM12" s="648"/>
      <c r="AN12" s="648">
        <f>AN26</f>
        <v>-9824198.5074910969</v>
      </c>
      <c r="AO12" s="648"/>
      <c r="AP12" s="648">
        <f>AP26</f>
        <v>0</v>
      </c>
      <c r="AQ12" s="648"/>
      <c r="AR12" s="648">
        <f>AR26</f>
        <v>0</v>
      </c>
      <c r="AS12" s="648"/>
      <c r="AT12" s="648">
        <f>AT26</f>
        <v>-578026016.53157091</v>
      </c>
      <c r="AU12" s="648"/>
      <c r="AV12" s="648">
        <f>AV26</f>
        <v>0</v>
      </c>
      <c r="AW12" s="648"/>
      <c r="AX12" s="648">
        <f>AX26</f>
        <v>0</v>
      </c>
      <c r="AY12" s="648"/>
      <c r="AZ12" s="648">
        <f>SUM(AT12:AX12)</f>
        <v>-578026016.53157091</v>
      </c>
      <c r="BA12" s="648"/>
      <c r="BB12" s="632"/>
      <c r="BC12" s="632">
        <f t="shared" ref="BC12:BC17" si="0">A12</f>
        <v>100</v>
      </c>
    </row>
    <row r="13" spans="1:55" ht="14.5">
      <c r="A13" s="632">
        <f>+A12+1</f>
        <v>101</v>
      </c>
      <c r="B13" s="630" t="s">
        <v>886</v>
      </c>
      <c r="C13" s="630"/>
      <c r="D13" s="630"/>
      <c r="E13" s="630"/>
      <c r="F13" s="648">
        <f>+F34</f>
        <v>0</v>
      </c>
      <c r="G13" s="630"/>
      <c r="H13" s="648">
        <f>+H34</f>
        <v>0</v>
      </c>
      <c r="I13" s="630"/>
      <c r="J13" s="648">
        <f>+J34</f>
        <v>0</v>
      </c>
      <c r="K13" s="630"/>
      <c r="L13" s="638" t="s">
        <v>1480</v>
      </c>
      <c r="M13" s="630"/>
      <c r="N13" s="648">
        <f>N34</f>
        <v>0</v>
      </c>
      <c r="O13" s="648"/>
      <c r="P13" s="648">
        <f>P34</f>
        <v>0</v>
      </c>
      <c r="Q13" s="648"/>
      <c r="R13" s="648">
        <f>R34</f>
        <v>0</v>
      </c>
      <c r="S13" s="648"/>
      <c r="T13" s="648">
        <f t="shared" ref="T13:T16" si="1">SUM(N13:R13)</f>
        <v>0</v>
      </c>
      <c r="U13" s="648"/>
      <c r="V13" s="650" t="s">
        <v>1487</v>
      </c>
      <c r="W13" s="648"/>
      <c r="X13" s="648">
        <f>X34</f>
        <v>0</v>
      </c>
      <c r="Y13" s="648"/>
      <c r="Z13" s="648">
        <f>Z34</f>
        <v>0</v>
      </c>
      <c r="AA13" s="648"/>
      <c r="AB13" s="648">
        <f>AB34</f>
        <v>0</v>
      </c>
      <c r="AC13" s="648"/>
      <c r="AD13" s="638" t="s">
        <v>1485</v>
      </c>
      <c r="AE13" s="648"/>
      <c r="AF13" s="648">
        <f>AF34</f>
        <v>0</v>
      </c>
      <c r="AG13" s="648"/>
      <c r="AH13" s="648">
        <f>AH34</f>
        <v>0</v>
      </c>
      <c r="AI13" s="648"/>
      <c r="AJ13" s="648">
        <f>AJ34</f>
        <v>0</v>
      </c>
      <c r="AK13" s="648"/>
      <c r="AL13" s="648">
        <f t="shared" ref="AL13:AL16" si="2">SUM(AF13:AJ13)</f>
        <v>0</v>
      </c>
      <c r="AM13" s="648"/>
      <c r="AN13" s="648">
        <f>AN34</f>
        <v>0</v>
      </c>
      <c r="AO13" s="648"/>
      <c r="AP13" s="648">
        <f>AP34</f>
        <v>0</v>
      </c>
      <c r="AQ13" s="648"/>
      <c r="AR13" s="648">
        <f>AR34</f>
        <v>0</v>
      </c>
      <c r="AS13" s="648"/>
      <c r="AT13" s="648">
        <f>AT34</f>
        <v>0</v>
      </c>
      <c r="AU13" s="648"/>
      <c r="AV13" s="648">
        <f>AV34</f>
        <v>0</v>
      </c>
      <c r="AW13" s="648"/>
      <c r="AX13" s="648">
        <f>AX34</f>
        <v>0</v>
      </c>
      <c r="AY13" s="648"/>
      <c r="AZ13" s="648">
        <f t="shared" ref="AZ13:AZ16" si="3">SUM(AT13:AX13)</f>
        <v>0</v>
      </c>
      <c r="BA13" s="648"/>
      <c r="BB13" s="632"/>
      <c r="BC13" s="632">
        <f t="shared" si="0"/>
        <v>101</v>
      </c>
    </row>
    <row r="14" spans="1:55" ht="14.5">
      <c r="A14" s="632">
        <f t="shared" ref="A14:A15" si="4">+A13+1</f>
        <v>102</v>
      </c>
      <c r="B14" s="630" t="s">
        <v>1488</v>
      </c>
      <c r="C14" s="630"/>
      <c r="D14" s="630"/>
      <c r="E14" s="630"/>
      <c r="F14" s="648">
        <f>+F42</f>
        <v>-346763385</v>
      </c>
      <c r="G14" s="630"/>
      <c r="H14" s="648">
        <f>+H42</f>
        <v>-206675379</v>
      </c>
      <c r="I14" s="630"/>
      <c r="J14" s="648">
        <f>+J42</f>
        <v>-140088006</v>
      </c>
      <c r="K14" s="630"/>
      <c r="L14" s="638" t="s">
        <v>1480</v>
      </c>
      <c r="M14" s="630"/>
      <c r="N14" s="648">
        <f>N42</f>
        <v>0</v>
      </c>
      <c r="O14" s="648"/>
      <c r="P14" s="648">
        <f>P42</f>
        <v>-140088006</v>
      </c>
      <c r="Q14" s="648"/>
      <c r="R14" s="648">
        <f>R42</f>
        <v>0</v>
      </c>
      <c r="S14" s="648"/>
      <c r="T14" s="648">
        <f t="shared" si="1"/>
        <v>-140088006</v>
      </c>
      <c r="U14" s="648"/>
      <c r="V14" s="650" t="s">
        <v>1489</v>
      </c>
      <c r="W14" s="648"/>
      <c r="X14" s="648">
        <f>X42</f>
        <v>0</v>
      </c>
      <c r="Y14" s="648"/>
      <c r="Z14" s="648">
        <f>Z42</f>
        <v>-33233414.585294396</v>
      </c>
      <c r="AA14" s="648"/>
      <c r="AB14" s="648">
        <f>AB42</f>
        <v>0</v>
      </c>
      <c r="AC14" s="648"/>
      <c r="AD14" s="638" t="s">
        <v>1485</v>
      </c>
      <c r="AE14" s="648"/>
      <c r="AF14" s="648">
        <f>AF42</f>
        <v>0</v>
      </c>
      <c r="AG14" s="648"/>
      <c r="AH14" s="648">
        <f>AH42</f>
        <v>-106854591.43577531</v>
      </c>
      <c r="AI14" s="648"/>
      <c r="AJ14" s="648">
        <f>AJ42</f>
        <v>0</v>
      </c>
      <c r="AK14" s="648"/>
      <c r="AL14" s="648">
        <f t="shared" si="2"/>
        <v>-106854591.43577531</v>
      </c>
      <c r="AM14" s="648"/>
      <c r="AN14" s="648">
        <f>AN42</f>
        <v>0</v>
      </c>
      <c r="AO14" s="648"/>
      <c r="AP14" s="648">
        <f>AP42</f>
        <v>-2011915.1663569035</v>
      </c>
      <c r="AQ14" s="648"/>
      <c r="AR14" s="648">
        <f>AR42</f>
        <v>0</v>
      </c>
      <c r="AS14" s="648"/>
      <c r="AT14" s="648">
        <f>AT42</f>
        <v>0</v>
      </c>
      <c r="AU14" s="648"/>
      <c r="AV14" s="648">
        <f>AV42</f>
        <v>-104842676.26941842</v>
      </c>
      <c r="AW14" s="648"/>
      <c r="AX14" s="648">
        <f>AX42</f>
        <v>0</v>
      </c>
      <c r="AY14" s="648"/>
      <c r="AZ14" s="648">
        <f t="shared" si="3"/>
        <v>-104842676.26941842</v>
      </c>
      <c r="BA14" s="648"/>
      <c r="BB14" s="632"/>
      <c r="BC14" s="632">
        <f t="shared" si="0"/>
        <v>102</v>
      </c>
    </row>
    <row r="15" spans="1:55" ht="14.5">
      <c r="A15" s="632">
        <f t="shared" si="4"/>
        <v>103</v>
      </c>
      <c r="B15" s="630" t="s">
        <v>1490</v>
      </c>
      <c r="C15" s="630"/>
      <c r="D15" s="630"/>
      <c r="E15" s="630"/>
      <c r="F15" s="648">
        <f>+F102</f>
        <v>9730734</v>
      </c>
      <c r="G15" s="630"/>
      <c r="H15" s="648">
        <f>+H102</f>
        <v>5840030</v>
      </c>
      <c r="I15" s="630"/>
      <c r="J15" s="648">
        <f>+J102</f>
        <v>3890704</v>
      </c>
      <c r="K15" s="630"/>
      <c r="L15" s="638" t="s">
        <v>1480</v>
      </c>
      <c r="M15" s="630"/>
      <c r="N15" s="648">
        <f>N102</f>
        <v>0</v>
      </c>
      <c r="O15" s="648"/>
      <c r="P15" s="648">
        <f>P102</f>
        <v>0</v>
      </c>
      <c r="Q15" s="648"/>
      <c r="R15" s="648">
        <f>R102</f>
        <v>3890704</v>
      </c>
      <c r="S15" s="648"/>
      <c r="T15" s="648">
        <f>SUM(N15:R15)</f>
        <v>3890704</v>
      </c>
      <c r="U15" s="648"/>
      <c r="V15" s="650" t="s">
        <v>1491</v>
      </c>
      <c r="W15" s="648"/>
      <c r="X15" s="648">
        <f>X102</f>
        <v>0</v>
      </c>
      <c r="Y15" s="648"/>
      <c r="Z15" s="648">
        <f>Z102</f>
        <v>0</v>
      </c>
      <c r="AA15" s="648"/>
      <c r="AB15" s="648">
        <f>AB102</f>
        <v>-280186.2902949811</v>
      </c>
      <c r="AC15" s="648"/>
      <c r="AD15" s="638" t="s">
        <v>1485</v>
      </c>
      <c r="AE15" s="648"/>
      <c r="AF15" s="648">
        <f>AF102</f>
        <v>0</v>
      </c>
      <c r="AG15" s="648"/>
      <c r="AH15" s="648">
        <f>AH102</f>
        <v>0</v>
      </c>
      <c r="AI15" s="648"/>
      <c r="AJ15" s="648">
        <f>AJ102</f>
        <v>4170890.4261382692</v>
      </c>
      <c r="AK15" s="648"/>
      <c r="AL15" s="648">
        <f t="shared" si="2"/>
        <v>4170890.4261382692</v>
      </c>
      <c r="AM15" s="648"/>
      <c r="AN15" s="648">
        <f>AN102</f>
        <v>0</v>
      </c>
      <c r="AO15" s="648"/>
      <c r="AP15" s="648">
        <f>AP102</f>
        <v>0</v>
      </c>
      <c r="AQ15" s="648"/>
      <c r="AR15" s="648">
        <f>AR102</f>
        <v>78531.685090638581</v>
      </c>
      <c r="AS15" s="648"/>
      <c r="AT15" s="648">
        <f>AT102</f>
        <v>0</v>
      </c>
      <c r="AU15" s="648"/>
      <c r="AV15" s="648">
        <f>AV102</f>
        <v>0</v>
      </c>
      <c r="AW15" s="648"/>
      <c r="AX15" s="648">
        <f>AX102</f>
        <v>4092358.741047631</v>
      </c>
      <c r="AY15" s="648"/>
      <c r="AZ15" s="648">
        <f t="shared" si="3"/>
        <v>4092358.741047631</v>
      </c>
      <c r="BA15" s="648"/>
      <c r="BB15" s="632"/>
      <c r="BC15" s="632">
        <f t="shared" si="0"/>
        <v>103</v>
      </c>
    </row>
    <row r="16" spans="1:55" ht="14.5">
      <c r="A16" s="632">
        <f>+A15+1</f>
        <v>104</v>
      </c>
      <c r="B16" s="630" t="s">
        <v>1492</v>
      </c>
      <c r="C16" s="630" t="s">
        <v>1493</v>
      </c>
      <c r="D16" s="630"/>
      <c r="E16" s="630"/>
      <c r="F16" s="651">
        <f>+F116</f>
        <v>336430551</v>
      </c>
      <c r="G16" s="630"/>
      <c r="H16" s="651">
        <f>+H116</f>
        <v>201858330</v>
      </c>
      <c r="I16" s="630"/>
      <c r="J16" s="651">
        <f>+J116</f>
        <v>134572220</v>
      </c>
      <c r="K16" s="630"/>
      <c r="L16" s="638" t="s">
        <v>1480</v>
      </c>
      <c r="M16" s="630"/>
      <c r="N16" s="651">
        <f>N116</f>
        <v>134572220</v>
      </c>
      <c r="O16" s="651"/>
      <c r="P16" s="651">
        <f t="shared" ref="P16" si="5">P116</f>
        <v>0</v>
      </c>
      <c r="Q16" s="651"/>
      <c r="R16" s="651">
        <f t="shared" ref="R16" si="6">R116</f>
        <v>0</v>
      </c>
      <c r="S16" s="651"/>
      <c r="T16" s="651">
        <f t="shared" si="1"/>
        <v>134572220</v>
      </c>
      <c r="U16" s="648"/>
      <c r="V16" s="650" t="s">
        <v>1487</v>
      </c>
      <c r="W16" s="648"/>
      <c r="X16" s="651">
        <f>X116</f>
        <v>4444754.7878294298</v>
      </c>
      <c r="Y16" s="651"/>
      <c r="Z16" s="651">
        <f t="shared" ref="Z16:AB16" si="7">Z116</f>
        <v>0</v>
      </c>
      <c r="AA16" s="651"/>
      <c r="AB16" s="651">
        <f t="shared" si="7"/>
        <v>0</v>
      </c>
      <c r="AC16" s="648"/>
      <c r="AD16" s="638" t="s">
        <v>1485</v>
      </c>
      <c r="AE16" s="648"/>
      <c r="AF16" s="651">
        <f>AF116</f>
        <v>130127465.41820458</v>
      </c>
      <c r="AG16" s="651"/>
      <c r="AH16" s="651">
        <f t="shared" ref="AH16" si="8">AH116</f>
        <v>0</v>
      </c>
      <c r="AI16" s="651"/>
      <c r="AJ16" s="651">
        <f t="shared" ref="AJ16" si="9">AJ116</f>
        <v>0</v>
      </c>
      <c r="AK16" s="651"/>
      <c r="AL16" s="651">
        <f t="shared" si="2"/>
        <v>130127465.41820458</v>
      </c>
      <c r="AM16" s="648"/>
      <c r="AN16" s="651">
        <f>AN116</f>
        <v>2174700.3264231398</v>
      </c>
      <c r="AO16" s="651"/>
      <c r="AP16" s="651">
        <f t="shared" ref="AP16:AR16" si="10">AP116</f>
        <v>0</v>
      </c>
      <c r="AQ16" s="651"/>
      <c r="AR16" s="651">
        <f t="shared" si="10"/>
        <v>0</v>
      </c>
      <c r="AS16" s="648"/>
      <c r="AT16" s="651">
        <f>AT116</f>
        <v>127952765.09178144</v>
      </c>
      <c r="AU16" s="651"/>
      <c r="AV16" s="651">
        <f t="shared" ref="AV16" si="11">AV116</f>
        <v>0</v>
      </c>
      <c r="AW16" s="651"/>
      <c r="AX16" s="651">
        <f t="shared" ref="AX16" si="12">AX116</f>
        <v>0</v>
      </c>
      <c r="AY16" s="651"/>
      <c r="AZ16" s="651">
        <f t="shared" si="3"/>
        <v>127952765.09178144</v>
      </c>
      <c r="BA16" s="648"/>
      <c r="BB16" s="632"/>
      <c r="BC16" s="632">
        <f t="shared" si="0"/>
        <v>104</v>
      </c>
    </row>
    <row r="17" spans="1:55" ht="14.5">
      <c r="A17" s="632">
        <f>+A16+1</f>
        <v>105</v>
      </c>
      <c r="B17" s="630" t="s">
        <v>509</v>
      </c>
      <c r="C17" s="630"/>
      <c r="D17" s="632"/>
      <c r="E17" s="632"/>
      <c r="F17" s="649">
        <f>SUM(F12:F16)</f>
        <v>-1696330072</v>
      </c>
      <c r="G17" s="632"/>
      <c r="H17" s="649">
        <f>SUM(H12:H16)</f>
        <v>-1086775617</v>
      </c>
      <c r="I17" s="632"/>
      <c r="J17" s="649">
        <f>SUM(J12:J16)</f>
        <v>-609554456</v>
      </c>
      <c r="K17" s="632"/>
      <c r="L17" s="632"/>
      <c r="M17" s="632"/>
      <c r="N17" s="649">
        <f>SUM(N12:N16)</f>
        <v>-473357154</v>
      </c>
      <c r="O17" s="649"/>
      <c r="P17" s="649">
        <f>SUM(P12:P16)</f>
        <v>-140088006</v>
      </c>
      <c r="Q17" s="649"/>
      <c r="R17" s="649">
        <f>SUM(R12:R16)</f>
        <v>3890704</v>
      </c>
      <c r="S17" s="649"/>
      <c r="T17" s="649">
        <f>SUM(T12:T16)</f>
        <v>-609554456</v>
      </c>
      <c r="U17" s="649"/>
      <c r="V17" s="649"/>
      <c r="W17" s="649"/>
      <c r="X17" s="649">
        <f>SUM(X12:X16)</f>
        <v>-15634404.085080933</v>
      </c>
      <c r="Y17" s="649"/>
      <c r="Z17" s="649">
        <f>SUM(Z12:Z16)</f>
        <v>-33233414.585294396</v>
      </c>
      <c r="AA17" s="649"/>
      <c r="AB17" s="649">
        <f>SUM(AB12:AB16)</f>
        <v>-280186.2902949811</v>
      </c>
      <c r="AC17" s="649"/>
      <c r="AD17" s="632"/>
      <c r="AE17" s="649"/>
      <c r="AF17" s="649">
        <f>SUM(AF12:AF16)</f>
        <v>-457722749.62085748</v>
      </c>
      <c r="AG17" s="649"/>
      <c r="AH17" s="649">
        <f>SUM(AH12:AH16)</f>
        <v>-106854591.43577531</v>
      </c>
      <c r="AI17" s="649"/>
      <c r="AJ17" s="649">
        <f>SUM(AJ12:AJ16)</f>
        <v>4170890.4261382692</v>
      </c>
      <c r="AK17" s="649"/>
      <c r="AL17" s="649">
        <f>SUM(AL12:AL16)</f>
        <v>-560406450.63049448</v>
      </c>
      <c r="AM17" s="649"/>
      <c r="AN17" s="649">
        <f>SUM(AN12:AN16)</f>
        <v>-7649498.1810679566</v>
      </c>
      <c r="AO17" s="649"/>
      <c r="AP17" s="649">
        <f>SUM(AP12:AP16)</f>
        <v>-2011915.1663569035</v>
      </c>
      <c r="AQ17" s="649"/>
      <c r="AR17" s="649">
        <f>SUM(AR12:AR16)</f>
        <v>78531.685090638581</v>
      </c>
      <c r="AS17" s="649"/>
      <c r="AT17" s="649">
        <f>SUM(AT12:AT16)</f>
        <v>-450073251.43978947</v>
      </c>
      <c r="AU17" s="649"/>
      <c r="AV17" s="649">
        <f>SUM(AV12:AV16)</f>
        <v>-104842676.26941842</v>
      </c>
      <c r="AW17" s="649"/>
      <c r="AX17" s="649">
        <f>SUM(AX12:AX16)</f>
        <v>4092358.741047631</v>
      </c>
      <c r="AY17" s="649"/>
      <c r="AZ17" s="649">
        <f>SUM(AZ12:AZ16)</f>
        <v>-550823568.96816039</v>
      </c>
      <c r="BA17" s="649"/>
      <c r="BB17" s="653"/>
      <c r="BC17" s="632">
        <f t="shared" si="0"/>
        <v>105</v>
      </c>
    </row>
    <row r="18" spans="1:55" ht="14.5">
      <c r="A18" s="632"/>
      <c r="B18" s="630"/>
      <c r="C18" s="630"/>
      <c r="D18" s="632"/>
      <c r="E18" s="632"/>
      <c r="F18" s="710"/>
      <c r="G18" s="711"/>
      <c r="H18" s="710"/>
      <c r="I18" s="711"/>
      <c r="J18" s="710"/>
      <c r="K18" s="711"/>
      <c r="L18" s="710"/>
      <c r="M18" s="632"/>
      <c r="N18" s="630"/>
      <c r="O18" s="630"/>
      <c r="P18" s="630"/>
      <c r="Q18" s="630"/>
      <c r="R18" s="630"/>
      <c r="S18" s="630"/>
      <c r="T18" s="630"/>
      <c r="U18" s="630"/>
      <c r="V18" s="630"/>
      <c r="W18" s="630"/>
      <c r="X18" s="630"/>
      <c r="Y18" s="630"/>
      <c r="Z18" s="630"/>
      <c r="AA18" s="630"/>
      <c r="AB18" s="630"/>
      <c r="AC18" s="630"/>
      <c r="AD18" s="632"/>
      <c r="AE18" s="630"/>
      <c r="AF18" s="630"/>
      <c r="AG18" s="630"/>
      <c r="AH18" s="630"/>
      <c r="AI18" s="630"/>
      <c r="AJ18" s="630"/>
      <c r="AK18" s="630"/>
      <c r="AL18" s="630"/>
      <c r="AM18" s="630"/>
      <c r="AN18" s="630"/>
      <c r="AO18" s="630"/>
      <c r="AP18" s="630"/>
      <c r="AQ18" s="630"/>
      <c r="AR18" s="630"/>
      <c r="AS18" s="630"/>
      <c r="AT18" s="630"/>
      <c r="AU18" s="630"/>
      <c r="AV18" s="630"/>
      <c r="AW18" s="630"/>
      <c r="AX18" s="630"/>
      <c r="AY18" s="630"/>
      <c r="AZ18" s="630"/>
      <c r="BA18" s="630"/>
      <c r="BB18" s="653"/>
      <c r="BC18" s="632"/>
    </row>
    <row r="19" spans="1:55" ht="14.5">
      <c r="A19" s="632">
        <f>+A17+1</f>
        <v>106</v>
      </c>
      <c r="B19" s="654" t="s">
        <v>1494</v>
      </c>
      <c r="C19" s="654"/>
      <c r="D19" s="631"/>
      <c r="E19" s="632"/>
      <c r="F19" s="632"/>
      <c r="G19" s="632"/>
      <c r="H19" s="632"/>
      <c r="I19" s="632"/>
      <c r="J19" s="632"/>
      <c r="K19" s="632"/>
      <c r="L19" s="632"/>
      <c r="M19" s="632"/>
      <c r="N19" s="630"/>
      <c r="O19" s="630"/>
      <c r="P19" s="630"/>
      <c r="Q19" s="630"/>
      <c r="R19" s="630"/>
      <c r="S19" s="630"/>
      <c r="T19" s="630"/>
      <c r="U19" s="630"/>
      <c r="V19" s="630"/>
      <c r="W19" s="630"/>
      <c r="X19" s="630"/>
      <c r="Y19" s="630"/>
      <c r="Z19" s="630"/>
      <c r="AA19" s="630"/>
      <c r="AB19" s="630"/>
      <c r="AC19" s="630"/>
      <c r="AD19" s="632"/>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55"/>
      <c r="BC19" s="632">
        <f>A19</f>
        <v>106</v>
      </c>
    </row>
    <row r="20" spans="1:55" ht="14.5">
      <c r="A20" s="632">
        <f>+A19+1</f>
        <v>107</v>
      </c>
      <c r="B20" s="666" t="s">
        <v>1495</v>
      </c>
      <c r="C20" s="630"/>
      <c r="D20" s="632"/>
      <c r="E20" s="632"/>
      <c r="F20" s="649">
        <f>F124</f>
        <v>-22361973.694661092</v>
      </c>
      <c r="G20" s="649"/>
      <c r="H20" s="649">
        <f>H124</f>
        <v>-13417682.378914446</v>
      </c>
      <c r="I20" s="649"/>
      <c r="J20" s="649">
        <f>J124</f>
        <v>-8944291.3157466538</v>
      </c>
      <c r="K20" s="649"/>
      <c r="L20" s="638" t="s">
        <v>1480</v>
      </c>
      <c r="M20" s="632"/>
      <c r="N20" s="649">
        <f>N124</f>
        <v>0</v>
      </c>
      <c r="O20" s="649"/>
      <c r="P20" s="649">
        <f>P124</f>
        <v>-8944291.3157466538</v>
      </c>
      <c r="Q20" s="649"/>
      <c r="R20" s="649">
        <f>R124</f>
        <v>0</v>
      </c>
      <c r="S20" s="649"/>
      <c r="T20" s="649">
        <f>SUM(N20:R20)</f>
        <v>-8944291.3157466538</v>
      </c>
      <c r="U20" s="649"/>
      <c r="V20" s="650" t="s">
        <v>1489</v>
      </c>
      <c r="W20" s="649"/>
      <c r="X20" s="649">
        <f>X124</f>
        <v>0</v>
      </c>
      <c r="Y20" s="649"/>
      <c r="Z20" s="649">
        <f>Z124</f>
        <v>-2007129.7761870476</v>
      </c>
      <c r="AA20" s="649"/>
      <c r="AB20" s="649">
        <f>AB124</f>
        <v>0</v>
      </c>
      <c r="AC20" s="649"/>
      <c r="AD20" s="638" t="s">
        <v>1485</v>
      </c>
      <c r="AE20" s="649"/>
      <c r="AF20" s="649">
        <f>AF124</f>
        <v>0</v>
      </c>
      <c r="AG20" s="649"/>
      <c r="AH20" s="649">
        <f>AH124</f>
        <v>-6937161.5395596046</v>
      </c>
      <c r="AI20" s="649"/>
      <c r="AJ20" s="649">
        <f>AJ124</f>
        <v>0</v>
      </c>
      <c r="AK20" s="649"/>
      <c r="AL20" s="649">
        <f t="shared" ref="AL20:AL22" si="13">SUM(AF20:AJ20)</f>
        <v>-6937161.5395596046</v>
      </c>
      <c r="AM20" s="649"/>
      <c r="AN20" s="649">
        <f>AN124</f>
        <v>0</v>
      </c>
      <c r="AO20" s="649"/>
      <c r="AP20" s="649">
        <f>AP124</f>
        <v>-130616.5727215996</v>
      </c>
      <c r="AQ20" s="649"/>
      <c r="AR20" s="649">
        <f>AR124</f>
        <v>0</v>
      </c>
      <c r="AS20" s="649"/>
      <c r="AT20" s="649">
        <f>AT124</f>
        <v>0</v>
      </c>
      <c r="AU20" s="649"/>
      <c r="AV20" s="649">
        <f>AV124</f>
        <v>-6806544.9668380041</v>
      </c>
      <c r="AW20" s="649"/>
      <c r="AX20" s="649">
        <f>AX124</f>
        <v>0</v>
      </c>
      <c r="AY20" s="649"/>
      <c r="AZ20" s="649">
        <f>SUM(AT20:AX20)</f>
        <v>-6806544.9668380041</v>
      </c>
      <c r="BA20" s="649"/>
      <c r="BB20" s="653"/>
      <c r="BC20" s="632">
        <f>A20</f>
        <v>107</v>
      </c>
    </row>
    <row r="21" spans="1:55" ht="14.5">
      <c r="A21" s="632">
        <f t="shared" ref="A21:A30" si="14">A20+1</f>
        <v>108</v>
      </c>
      <c r="B21" s="638" t="s">
        <v>126</v>
      </c>
      <c r="C21" s="630"/>
      <c r="D21" s="632"/>
      <c r="E21" s="632"/>
      <c r="F21" s="649">
        <v>0</v>
      </c>
      <c r="G21" s="649"/>
      <c r="H21" s="649">
        <v>0</v>
      </c>
      <c r="I21" s="649"/>
      <c r="J21" s="649">
        <v>0</v>
      </c>
      <c r="K21" s="649"/>
      <c r="L21" s="638" t="s">
        <v>1480</v>
      </c>
      <c r="M21" s="632"/>
      <c r="N21" s="649">
        <f t="shared" ref="N21:N22" si="15">N125</f>
        <v>0</v>
      </c>
      <c r="O21" s="649"/>
      <c r="P21" s="649">
        <v>0</v>
      </c>
      <c r="Q21" s="649"/>
      <c r="R21" s="649">
        <v>0</v>
      </c>
      <c r="S21" s="649"/>
      <c r="T21" s="649">
        <f t="shared" ref="T21:T22" si="16">SUM(N21:R21)</f>
        <v>0</v>
      </c>
      <c r="U21" s="649"/>
      <c r="V21" s="656" t="s">
        <v>1487</v>
      </c>
      <c r="W21" s="649"/>
      <c r="X21" s="649">
        <v>0</v>
      </c>
      <c r="Y21" s="649"/>
      <c r="Z21" s="649">
        <v>0</v>
      </c>
      <c r="AA21" s="649"/>
      <c r="AB21" s="649">
        <v>0</v>
      </c>
      <c r="AC21" s="649"/>
      <c r="AD21" s="638" t="s">
        <v>1485</v>
      </c>
      <c r="AE21" s="649"/>
      <c r="AF21" s="649">
        <v>0</v>
      </c>
      <c r="AG21" s="649"/>
      <c r="AH21" s="649">
        <v>0</v>
      </c>
      <c r="AI21" s="649"/>
      <c r="AJ21" s="649">
        <f t="shared" ref="AJ21:AJ22" si="17">AJ125</f>
        <v>0</v>
      </c>
      <c r="AK21" s="649"/>
      <c r="AL21" s="649">
        <f t="shared" si="13"/>
        <v>0</v>
      </c>
      <c r="AM21" s="649"/>
      <c r="AN21" s="649">
        <v>0</v>
      </c>
      <c r="AO21" s="649"/>
      <c r="AP21" s="649">
        <v>0</v>
      </c>
      <c r="AQ21" s="649"/>
      <c r="AR21" s="649">
        <v>0</v>
      </c>
      <c r="AS21" s="649"/>
      <c r="AT21" s="649">
        <v>0</v>
      </c>
      <c r="AU21" s="649"/>
      <c r="AV21" s="649">
        <v>0</v>
      </c>
      <c r="AW21" s="649"/>
      <c r="AX21" s="649">
        <v>0</v>
      </c>
      <c r="AY21" s="649"/>
      <c r="AZ21" s="649">
        <f t="shared" ref="AZ21:AZ22" si="18">SUM(AT21:AX21)</f>
        <v>0</v>
      </c>
      <c r="BA21" s="649"/>
      <c r="BB21" s="655"/>
      <c r="BC21" s="632">
        <f>A21</f>
        <v>108</v>
      </c>
    </row>
    <row r="22" spans="1:55" ht="14.5">
      <c r="A22" s="632">
        <f t="shared" si="14"/>
        <v>109</v>
      </c>
      <c r="B22" s="638" t="s">
        <v>126</v>
      </c>
      <c r="C22" s="630"/>
      <c r="D22" s="632"/>
      <c r="E22" s="632"/>
      <c r="F22" s="652">
        <v>0</v>
      </c>
      <c r="G22" s="652"/>
      <c r="H22" s="652">
        <v>0</v>
      </c>
      <c r="I22" s="652"/>
      <c r="J22" s="652">
        <v>0</v>
      </c>
      <c r="K22" s="652"/>
      <c r="L22" s="638" t="s">
        <v>1480</v>
      </c>
      <c r="M22" s="632"/>
      <c r="N22" s="652">
        <f t="shared" si="15"/>
        <v>0</v>
      </c>
      <c r="O22" s="652"/>
      <c r="P22" s="652">
        <v>0</v>
      </c>
      <c r="Q22" s="652"/>
      <c r="R22" s="652">
        <v>0</v>
      </c>
      <c r="S22" s="652"/>
      <c r="T22" s="652">
        <f t="shared" si="16"/>
        <v>0</v>
      </c>
      <c r="U22" s="649"/>
      <c r="V22" s="656" t="s">
        <v>1487</v>
      </c>
      <c r="W22" s="649"/>
      <c r="X22" s="652">
        <v>0</v>
      </c>
      <c r="Y22" s="652"/>
      <c r="Z22" s="652">
        <v>0</v>
      </c>
      <c r="AA22" s="652"/>
      <c r="AB22" s="652">
        <v>0</v>
      </c>
      <c r="AC22" s="649"/>
      <c r="AD22" s="638" t="s">
        <v>1485</v>
      </c>
      <c r="AE22" s="649"/>
      <c r="AF22" s="652">
        <v>0</v>
      </c>
      <c r="AG22" s="652"/>
      <c r="AH22" s="652">
        <v>0</v>
      </c>
      <c r="AI22" s="652"/>
      <c r="AJ22" s="652">
        <f t="shared" si="17"/>
        <v>0</v>
      </c>
      <c r="AK22" s="652"/>
      <c r="AL22" s="652">
        <f t="shared" si="13"/>
        <v>0</v>
      </c>
      <c r="AM22" s="649"/>
      <c r="AN22" s="652">
        <v>0</v>
      </c>
      <c r="AO22" s="652"/>
      <c r="AP22" s="652">
        <v>0</v>
      </c>
      <c r="AQ22" s="652"/>
      <c r="AR22" s="652">
        <v>0</v>
      </c>
      <c r="AS22" s="649"/>
      <c r="AT22" s="652">
        <v>0</v>
      </c>
      <c r="AU22" s="652"/>
      <c r="AV22" s="652">
        <v>0</v>
      </c>
      <c r="AW22" s="652"/>
      <c r="AX22" s="652">
        <v>0</v>
      </c>
      <c r="AY22" s="652"/>
      <c r="AZ22" s="652">
        <f t="shared" si="18"/>
        <v>0</v>
      </c>
      <c r="BA22" s="649"/>
      <c r="BB22" s="655"/>
      <c r="BC22" s="632">
        <f>A22</f>
        <v>109</v>
      </c>
    </row>
    <row r="23" spans="1:55" ht="14.5">
      <c r="A23" s="632">
        <f t="shared" si="14"/>
        <v>110</v>
      </c>
      <c r="B23" s="630" t="s">
        <v>1496</v>
      </c>
      <c r="C23" s="630"/>
      <c r="D23" s="632"/>
      <c r="E23" s="632"/>
      <c r="F23" s="649">
        <f>SUM(F17:F22)</f>
        <v>-1718692045.6946611</v>
      </c>
      <c r="G23" s="649"/>
      <c r="H23" s="649">
        <f t="shared" ref="H23" si="19">SUM(H17:H22)</f>
        <v>-1100193299.3789144</v>
      </c>
      <c r="I23" s="649"/>
      <c r="J23" s="649">
        <f t="shared" ref="J23" si="20">SUM(J17:J22)</f>
        <v>-618498747.31574667</v>
      </c>
      <c r="K23" s="649"/>
      <c r="L23" s="649"/>
      <c r="M23" s="632"/>
      <c r="N23" s="649">
        <f>SUM(N17:N22)</f>
        <v>-473357154</v>
      </c>
      <c r="O23" s="649"/>
      <c r="P23" s="649">
        <f t="shared" ref="P23" si="21">SUM(P17:P22)</f>
        <v>-149032297.31574667</v>
      </c>
      <c r="Q23" s="649"/>
      <c r="R23" s="649">
        <f t="shared" ref="R23" si="22">SUM(R17:R22)</f>
        <v>3890704</v>
      </c>
      <c r="S23" s="649"/>
      <c r="T23" s="649">
        <f>SUM(T17:T22)</f>
        <v>-618498747.31574667</v>
      </c>
      <c r="U23" s="649"/>
      <c r="V23" s="649"/>
      <c r="W23" s="649"/>
      <c r="X23" s="649">
        <f>SUM(X17:X22)</f>
        <v>-15634404.085080933</v>
      </c>
      <c r="Y23" s="649"/>
      <c r="Z23" s="649">
        <f t="shared" ref="Z23" si="23">SUM(Z17:Z22)</f>
        <v>-35240544.361481443</v>
      </c>
      <c r="AA23" s="649"/>
      <c r="AB23" s="649">
        <f t="shared" ref="AB23" si="24">SUM(AB17:AB22)</f>
        <v>-280186.2902949811</v>
      </c>
      <c r="AC23" s="649"/>
      <c r="AD23" s="649"/>
      <c r="AE23" s="649"/>
      <c r="AF23" s="649">
        <f>SUM(AF17:AF22)</f>
        <v>-457722749.62085748</v>
      </c>
      <c r="AG23" s="649"/>
      <c r="AH23" s="649">
        <f t="shared" ref="AH23" si="25">SUM(AH17:AH22)</f>
        <v>-113791752.97533491</v>
      </c>
      <c r="AI23" s="649"/>
      <c r="AJ23" s="649">
        <f t="shared" ref="AJ23" si="26">SUM(AJ17:AJ22)</f>
        <v>4170890.4261382692</v>
      </c>
      <c r="AK23" s="649"/>
      <c r="AL23" s="649">
        <f t="shared" ref="AL23" si="27">SUM(AL17:AL22)</f>
        <v>-567343612.17005408</v>
      </c>
      <c r="AM23" s="649"/>
      <c r="AN23" s="649">
        <f>SUM(AN17:AN22)</f>
        <v>-7649498.1810679566</v>
      </c>
      <c r="AO23" s="649"/>
      <c r="AP23" s="649">
        <f t="shared" ref="AP23" si="28">SUM(AP17:AP22)</f>
        <v>-2142531.7390785031</v>
      </c>
      <c r="AQ23" s="649"/>
      <c r="AR23" s="649">
        <f t="shared" ref="AR23" si="29">SUM(AR17:AR22)</f>
        <v>78531.685090638581</v>
      </c>
      <c r="AS23" s="649"/>
      <c r="AT23" s="649">
        <f>SUM(AT17:AT22)</f>
        <v>-450073251.43978947</v>
      </c>
      <c r="AU23" s="649"/>
      <c r="AV23" s="649">
        <f t="shared" ref="AV23" si="30">SUM(AV17:AV22)</f>
        <v>-111649221.23625642</v>
      </c>
      <c r="AW23" s="649"/>
      <c r="AX23" s="649">
        <f t="shared" ref="AX23" si="31">SUM(AX17:AX22)</f>
        <v>4092358.741047631</v>
      </c>
      <c r="AY23" s="649"/>
      <c r="AZ23" s="649">
        <f t="shared" ref="AZ23" si="32">SUM(AZ17:AZ22)</f>
        <v>-557630113.93499839</v>
      </c>
      <c r="BA23" s="649"/>
      <c r="BB23" s="655"/>
      <c r="BC23" s="632">
        <f>A23</f>
        <v>110</v>
      </c>
    </row>
    <row r="24" spans="1:55" ht="14.5">
      <c r="A24" s="632"/>
      <c r="B24" s="630"/>
      <c r="C24" s="630"/>
      <c r="D24" s="632"/>
      <c r="E24" s="632"/>
      <c r="F24" s="632"/>
      <c r="G24" s="632"/>
      <c r="H24" s="632"/>
      <c r="I24" s="632"/>
      <c r="J24" s="632"/>
      <c r="K24" s="632"/>
      <c r="L24" s="632"/>
      <c r="M24" s="632"/>
      <c r="N24" s="649"/>
      <c r="O24" s="649"/>
      <c r="P24" s="649"/>
      <c r="Q24" s="649"/>
      <c r="R24" s="649"/>
      <c r="S24" s="649"/>
      <c r="T24" s="649"/>
      <c r="U24" s="649"/>
      <c r="V24" s="649"/>
      <c r="W24" s="649"/>
      <c r="X24" s="649"/>
      <c r="Y24" s="649"/>
      <c r="Z24" s="649"/>
      <c r="AA24" s="649"/>
      <c r="AB24" s="649"/>
      <c r="AC24" s="649"/>
      <c r="AD24" s="649"/>
      <c r="AE24" s="649"/>
      <c r="AF24" s="649"/>
      <c r="AG24" s="649"/>
      <c r="AH24" s="649"/>
      <c r="AI24" s="649"/>
      <c r="AJ24" s="649"/>
      <c r="AK24" s="649"/>
      <c r="AL24" s="649"/>
      <c r="AM24" s="649"/>
      <c r="AN24" s="649"/>
      <c r="AO24" s="649"/>
      <c r="AP24" s="649"/>
      <c r="AQ24" s="649"/>
      <c r="AR24" s="649"/>
      <c r="AS24" s="649"/>
      <c r="AT24" s="649"/>
      <c r="AU24" s="649"/>
      <c r="AV24" s="649"/>
      <c r="AW24" s="649"/>
      <c r="AX24" s="649"/>
      <c r="AY24" s="649"/>
      <c r="AZ24" s="649"/>
      <c r="BA24" s="649"/>
      <c r="BB24" s="655"/>
      <c r="BC24" s="632"/>
    </row>
    <row r="25" spans="1:55" ht="14.5">
      <c r="A25" s="316" t="s">
        <v>99</v>
      </c>
      <c r="B25" s="654" t="s">
        <v>1497</v>
      </c>
      <c r="C25" s="657"/>
      <c r="D25" s="631" t="s">
        <v>110</v>
      </c>
      <c r="E25" s="632"/>
      <c r="F25" s="632"/>
      <c r="G25" s="632"/>
      <c r="H25" s="632"/>
      <c r="I25" s="632"/>
      <c r="J25" s="632"/>
      <c r="K25" s="632"/>
      <c r="L25" s="632"/>
      <c r="M25" s="632"/>
      <c r="N25" s="649"/>
      <c r="O25" s="649"/>
      <c r="P25" s="649"/>
      <c r="Q25" s="649"/>
      <c r="R25" s="630"/>
      <c r="S25" s="630"/>
      <c r="T25" s="630"/>
      <c r="U25" s="630"/>
      <c r="V25" s="630"/>
      <c r="W25" s="630"/>
      <c r="X25" s="630"/>
      <c r="Y25" s="630"/>
      <c r="Z25" s="630"/>
      <c r="AA25" s="630"/>
      <c r="AB25" s="630"/>
      <c r="AC25" s="630"/>
      <c r="AD25" s="630"/>
      <c r="AE25" s="630"/>
      <c r="AF25" s="649"/>
      <c r="AG25" s="649"/>
      <c r="AH25" s="649"/>
      <c r="AI25" s="649"/>
      <c r="AJ25" s="630"/>
      <c r="AK25" s="630"/>
      <c r="AL25" s="630"/>
      <c r="AM25" s="630"/>
      <c r="AN25" s="630"/>
      <c r="AO25" s="630"/>
      <c r="AP25" s="649"/>
      <c r="AQ25" s="630"/>
      <c r="AR25" s="630"/>
      <c r="AS25" s="630"/>
      <c r="AT25" s="649"/>
      <c r="AU25" s="649"/>
      <c r="AV25" s="649"/>
      <c r="AW25" s="649"/>
      <c r="AX25" s="630"/>
      <c r="AY25" s="630"/>
      <c r="AZ25" s="630"/>
      <c r="BA25" s="630"/>
      <c r="BB25" s="655"/>
      <c r="BC25" s="660" t="s">
        <v>99</v>
      </c>
    </row>
    <row r="26" spans="1:55" ht="14.5">
      <c r="A26" s="632">
        <v>200</v>
      </c>
      <c r="B26" s="630" t="s">
        <v>1498</v>
      </c>
      <c r="C26" s="630"/>
      <c r="D26" s="632"/>
      <c r="E26" s="632"/>
      <c r="F26" s="652">
        <f>ROUND(SUM(F27:F31),0)</f>
        <v>-1695727972</v>
      </c>
      <c r="G26" s="649"/>
      <c r="H26" s="652">
        <f>ROUND(SUM(H27:H31),0)</f>
        <v>-1087798598</v>
      </c>
      <c r="I26" s="649"/>
      <c r="J26" s="652">
        <f>ROUND(SUM(J27:J31),0)</f>
        <v>-607929374</v>
      </c>
      <c r="K26" s="632"/>
      <c r="L26" s="632"/>
      <c r="M26" s="632"/>
      <c r="N26" s="652">
        <f>ROUND(SUM(N27:N31),0)</f>
        <v>-607929374</v>
      </c>
      <c r="O26" s="649"/>
      <c r="P26" s="652">
        <f>ROUND(SUM(P27:P31),0)</f>
        <v>0</v>
      </c>
      <c r="Q26" s="649"/>
      <c r="R26" s="652">
        <f>ROUND(SUM(R27:R31),0)</f>
        <v>0</v>
      </c>
      <c r="S26" s="649"/>
      <c r="T26" s="652">
        <f>ROUND(SUM(T27:T31),0)</f>
        <v>-607929374</v>
      </c>
      <c r="U26" s="649"/>
      <c r="V26" s="649"/>
      <c r="W26" s="649"/>
      <c r="X26" s="652">
        <f>SUM(X27:X31)</f>
        <v>-20079158.872910362</v>
      </c>
      <c r="Y26" s="649"/>
      <c r="Z26" s="652">
        <f>SUM(Z27:Z31)</f>
        <v>0</v>
      </c>
      <c r="AA26" s="649"/>
      <c r="AB26" s="652">
        <f>SUM(AB27:AB31)</f>
        <v>0</v>
      </c>
      <c r="AC26" s="649"/>
      <c r="AD26" s="649"/>
      <c r="AE26" s="649"/>
      <c r="AF26" s="652">
        <f>SUM(AF27:AF31)</f>
        <v>-587850215.03906202</v>
      </c>
      <c r="AG26" s="649"/>
      <c r="AH26" s="652">
        <f>SUM(AH27:AH31)</f>
        <v>0</v>
      </c>
      <c r="AI26" s="649"/>
      <c r="AJ26" s="652">
        <f>SUM(AJ27:AJ31)</f>
        <v>0</v>
      </c>
      <c r="AK26" s="649"/>
      <c r="AL26" s="652">
        <f>SUM(AL27:AL31)</f>
        <v>-587850215.03906202</v>
      </c>
      <c r="AM26" s="649"/>
      <c r="AN26" s="652">
        <f>SUM(AN27:AN31)</f>
        <v>-9824198.5074910969</v>
      </c>
      <c r="AO26" s="649"/>
      <c r="AP26" s="652">
        <f>SUM(AP27:AP31)</f>
        <v>0</v>
      </c>
      <c r="AQ26" s="649"/>
      <c r="AR26" s="652">
        <f>SUM(AR27:AR31)</f>
        <v>0</v>
      </c>
      <c r="AS26" s="649"/>
      <c r="AT26" s="652">
        <f>SUM(AT27:AT31)</f>
        <v>-578026016.53157091</v>
      </c>
      <c r="AU26" s="649"/>
      <c r="AV26" s="652">
        <f>SUM(AV27:AV31)</f>
        <v>0</v>
      </c>
      <c r="AW26" s="649"/>
      <c r="AX26" s="652">
        <f>SUM(AX27:AX31)</f>
        <v>0</v>
      </c>
      <c r="AY26" s="649"/>
      <c r="AZ26" s="652">
        <f>SUM(AZ27:AZ31)</f>
        <v>-578026016.53157091</v>
      </c>
      <c r="BA26" s="649"/>
      <c r="BB26" s="653"/>
      <c r="BC26" s="632">
        <f t="shared" ref="BC26:BC31" si="33">A26</f>
        <v>200</v>
      </c>
    </row>
    <row r="27" spans="1:55" ht="14.5">
      <c r="A27" s="632">
        <f t="shared" si="14"/>
        <v>201</v>
      </c>
      <c r="B27" s="666" t="s">
        <v>1499</v>
      </c>
      <c r="C27" s="630"/>
      <c r="D27" s="630" t="s">
        <v>1500</v>
      </c>
      <c r="E27" s="632"/>
      <c r="F27" s="664">
        <v>-177951619.23296779</v>
      </c>
      <c r="G27" s="649"/>
      <c r="H27" s="664">
        <v>-177951617.90316525</v>
      </c>
      <c r="I27" s="649"/>
      <c r="J27" s="664">
        <v>-1.3298025289016575</v>
      </c>
      <c r="K27" s="632"/>
      <c r="L27" s="632"/>
      <c r="M27" s="632"/>
      <c r="N27" s="649">
        <f>J27</f>
        <v>-1.3298025289016575</v>
      </c>
      <c r="O27" s="649"/>
      <c r="P27" s="649">
        <v>0</v>
      </c>
      <c r="Q27" s="649"/>
      <c r="R27" s="649">
        <v>0</v>
      </c>
      <c r="S27" s="649"/>
      <c r="T27" s="649">
        <f t="shared" ref="T27:T31" si="34">SUM(N27:R27)</f>
        <v>-1.3298025289016575</v>
      </c>
      <c r="U27" s="649"/>
      <c r="V27" s="649"/>
      <c r="W27" s="649"/>
      <c r="X27" s="664">
        <v>0</v>
      </c>
      <c r="Y27" s="649"/>
      <c r="Z27" s="649">
        <v>0</v>
      </c>
      <c r="AA27" s="649"/>
      <c r="AB27" s="649">
        <v>0</v>
      </c>
      <c r="AC27" s="649"/>
      <c r="AD27" s="649"/>
      <c r="AE27" s="649"/>
      <c r="AF27" s="648">
        <f t="shared" ref="AF27:AF31" si="35">+N27-X27</f>
        <v>-1.3298025289016575</v>
      </c>
      <c r="AG27" s="649"/>
      <c r="AH27" s="648">
        <f t="shared" ref="AH27:AH31" si="36">+P27-Z27</f>
        <v>0</v>
      </c>
      <c r="AI27" s="649"/>
      <c r="AJ27" s="648">
        <f t="shared" ref="AJ27:AJ31" si="37">+R27-AB27</f>
        <v>0</v>
      </c>
      <c r="AK27" s="649"/>
      <c r="AL27" s="649">
        <f t="shared" ref="AL27:AL31" si="38">SUM(AF27:AJ27)</f>
        <v>-1.3298025289016575</v>
      </c>
      <c r="AM27" s="649"/>
      <c r="AN27" s="664">
        <v>0</v>
      </c>
      <c r="AO27" s="649"/>
      <c r="AP27" s="649">
        <v>0</v>
      </c>
      <c r="AQ27" s="649"/>
      <c r="AR27" s="649">
        <v>0</v>
      </c>
      <c r="AS27" s="649"/>
      <c r="AT27" s="648">
        <f>+AF27-AN27</f>
        <v>-1.3298025289016575</v>
      </c>
      <c r="AU27" s="649"/>
      <c r="AV27" s="648">
        <f>+AH27-AP27</f>
        <v>0</v>
      </c>
      <c r="AW27" s="649"/>
      <c r="AX27" s="648">
        <f>+AJ27-AR27</f>
        <v>0</v>
      </c>
      <c r="AY27" s="649"/>
      <c r="AZ27" s="649">
        <f t="shared" ref="AZ27:AZ31" si="39">SUM(AT27:AX27)</f>
        <v>-1.3298025289016575</v>
      </c>
      <c r="BA27" s="649"/>
      <c r="BB27" s="653"/>
      <c r="BC27" s="632">
        <f t="shared" si="33"/>
        <v>201</v>
      </c>
    </row>
    <row r="28" spans="1:55" ht="14.5">
      <c r="A28" s="632">
        <f t="shared" si="14"/>
        <v>202</v>
      </c>
      <c r="B28" s="666" t="s">
        <v>1501</v>
      </c>
      <c r="C28" s="630"/>
      <c r="D28" s="630" t="s">
        <v>1500</v>
      </c>
      <c r="E28" s="632"/>
      <c r="F28" s="664">
        <v>-1580569733.7014818</v>
      </c>
      <c r="G28" s="649"/>
      <c r="H28" s="664">
        <v>-947208768.22001982</v>
      </c>
      <c r="I28" s="649"/>
      <c r="J28" s="664">
        <v>-633360965.481462</v>
      </c>
      <c r="K28" s="632"/>
      <c r="L28" s="632"/>
      <c r="M28" s="632"/>
      <c r="N28" s="649">
        <f t="shared" ref="N28:N29" si="40">J28</f>
        <v>-633360965.481462</v>
      </c>
      <c r="O28" s="649"/>
      <c r="P28" s="649">
        <v>0</v>
      </c>
      <c r="Q28" s="649"/>
      <c r="R28" s="649">
        <v>0</v>
      </c>
      <c r="S28" s="649"/>
      <c r="T28" s="649">
        <f t="shared" si="34"/>
        <v>-633360965.481462</v>
      </c>
      <c r="U28" s="649"/>
      <c r="V28" s="649"/>
      <c r="W28" s="649"/>
      <c r="X28" s="664">
        <v>-20919133.08249183</v>
      </c>
      <c r="Y28" s="649"/>
      <c r="Z28" s="649">
        <v>0</v>
      </c>
      <c r="AA28" s="649"/>
      <c r="AB28" s="649">
        <v>0</v>
      </c>
      <c r="AC28" s="649"/>
      <c r="AD28" s="649"/>
      <c r="AE28" s="649"/>
      <c r="AF28" s="648">
        <f t="shared" si="35"/>
        <v>-612441832.39897013</v>
      </c>
      <c r="AG28" s="649"/>
      <c r="AH28" s="648">
        <f t="shared" si="36"/>
        <v>0</v>
      </c>
      <c r="AI28" s="649"/>
      <c r="AJ28" s="648">
        <f t="shared" si="37"/>
        <v>0</v>
      </c>
      <c r="AK28" s="649"/>
      <c r="AL28" s="649">
        <f t="shared" si="38"/>
        <v>-612441832.39897013</v>
      </c>
      <c r="AM28" s="649"/>
      <c r="AN28" s="752">
        <v>-10235175.552313153</v>
      </c>
      <c r="AO28" s="649"/>
      <c r="AP28" s="649">
        <v>0</v>
      </c>
      <c r="AQ28" s="649"/>
      <c r="AR28" s="649">
        <v>0</v>
      </c>
      <c r="AS28" s="649"/>
      <c r="AT28" s="648">
        <f>+AF28-AN28</f>
        <v>-602206656.84665692</v>
      </c>
      <c r="AU28" s="649"/>
      <c r="AV28" s="648">
        <f>+AH28-AP28</f>
        <v>0</v>
      </c>
      <c r="AW28" s="649"/>
      <c r="AX28" s="648">
        <f>+AJ28-AR28</f>
        <v>0</v>
      </c>
      <c r="AY28" s="649"/>
      <c r="AZ28" s="649">
        <f t="shared" si="39"/>
        <v>-602206656.84665692</v>
      </c>
      <c r="BA28" s="649"/>
      <c r="BB28" s="653"/>
      <c r="BC28" s="632">
        <f t="shared" si="33"/>
        <v>202</v>
      </c>
    </row>
    <row r="29" spans="1:55" ht="14.5">
      <c r="A29" s="632">
        <f t="shared" si="14"/>
        <v>203</v>
      </c>
      <c r="B29" s="666" t="s">
        <v>1502</v>
      </c>
      <c r="C29" s="630"/>
      <c r="D29" s="630" t="s">
        <v>1500</v>
      </c>
      <c r="E29" s="632"/>
      <c r="F29" s="664">
        <v>62793380.796865478</v>
      </c>
      <c r="G29" s="649"/>
      <c r="H29" s="664">
        <v>37361787.897573374</v>
      </c>
      <c r="I29" s="649"/>
      <c r="J29" s="664">
        <v>25431592.899292093</v>
      </c>
      <c r="K29" s="632"/>
      <c r="L29" s="632"/>
      <c r="M29" s="632"/>
      <c r="N29" s="649">
        <f t="shared" si="40"/>
        <v>25431592.899292093</v>
      </c>
      <c r="O29" s="649"/>
      <c r="P29" s="649">
        <v>0</v>
      </c>
      <c r="Q29" s="649"/>
      <c r="R29" s="649">
        <v>0</v>
      </c>
      <c r="S29" s="649"/>
      <c r="T29" s="649">
        <f t="shared" si="34"/>
        <v>25431592.899292093</v>
      </c>
      <c r="U29" s="649"/>
      <c r="V29" s="649"/>
      <c r="W29" s="649"/>
      <c r="X29" s="664">
        <v>839974.20958146662</v>
      </c>
      <c r="Y29" s="649"/>
      <c r="Z29" s="649">
        <v>0</v>
      </c>
      <c r="AA29" s="649"/>
      <c r="AB29" s="649">
        <v>0</v>
      </c>
      <c r="AC29" s="649"/>
      <c r="AD29" s="649"/>
      <c r="AE29" s="649"/>
      <c r="AF29" s="648">
        <f t="shared" si="35"/>
        <v>24591618.689710625</v>
      </c>
      <c r="AG29" s="649"/>
      <c r="AH29" s="648">
        <f t="shared" si="36"/>
        <v>0</v>
      </c>
      <c r="AI29" s="649"/>
      <c r="AJ29" s="648">
        <f t="shared" si="37"/>
        <v>0</v>
      </c>
      <c r="AK29" s="649"/>
      <c r="AL29" s="649">
        <f t="shared" si="38"/>
        <v>24591618.689710625</v>
      </c>
      <c r="AM29" s="649"/>
      <c r="AN29" s="752">
        <v>410977.04482205561</v>
      </c>
      <c r="AO29" s="649"/>
      <c r="AP29" s="649">
        <v>0</v>
      </c>
      <c r="AQ29" s="649"/>
      <c r="AR29" s="649">
        <v>0</v>
      </c>
      <c r="AS29" s="649"/>
      <c r="AT29" s="648">
        <f>+AF29-AN29</f>
        <v>24180641.644888569</v>
      </c>
      <c r="AU29" s="649"/>
      <c r="AV29" s="648">
        <f>+AH29-AP29</f>
        <v>0</v>
      </c>
      <c r="AW29" s="649"/>
      <c r="AX29" s="648">
        <f>+AJ29-AR29</f>
        <v>0</v>
      </c>
      <c r="AY29" s="649"/>
      <c r="AZ29" s="649">
        <f t="shared" si="39"/>
        <v>24180641.644888569</v>
      </c>
      <c r="BA29" s="649"/>
      <c r="BB29" s="653"/>
      <c r="BC29" s="632">
        <f t="shared" si="33"/>
        <v>203</v>
      </c>
    </row>
    <row r="30" spans="1:55" ht="14.5">
      <c r="A30" s="632">
        <f t="shared" si="14"/>
        <v>204</v>
      </c>
      <c r="B30" s="665"/>
      <c r="C30" s="630"/>
      <c r="D30" s="632"/>
      <c r="E30" s="632"/>
      <c r="F30" s="664"/>
      <c r="G30" s="649"/>
      <c r="H30" s="664"/>
      <c r="I30" s="649"/>
      <c r="J30" s="664"/>
      <c r="K30" s="632"/>
      <c r="L30" s="632"/>
      <c r="M30" s="632"/>
      <c r="N30" s="649">
        <v>0</v>
      </c>
      <c r="O30" s="649"/>
      <c r="P30" s="649">
        <v>0</v>
      </c>
      <c r="Q30" s="649"/>
      <c r="R30" s="649">
        <v>0</v>
      </c>
      <c r="S30" s="649"/>
      <c r="T30" s="649">
        <f t="shared" si="34"/>
        <v>0</v>
      </c>
      <c r="U30" s="649"/>
      <c r="V30" s="649"/>
      <c r="W30" s="649"/>
      <c r="X30" s="664">
        <v>0</v>
      </c>
      <c r="Y30" s="649"/>
      <c r="Z30" s="649">
        <v>0</v>
      </c>
      <c r="AA30" s="649"/>
      <c r="AB30" s="649">
        <v>0</v>
      </c>
      <c r="AC30" s="649"/>
      <c r="AD30" s="649"/>
      <c r="AE30" s="649"/>
      <c r="AF30" s="648">
        <f t="shared" si="35"/>
        <v>0</v>
      </c>
      <c r="AG30" s="649"/>
      <c r="AH30" s="648">
        <f t="shared" si="36"/>
        <v>0</v>
      </c>
      <c r="AI30" s="649"/>
      <c r="AJ30" s="648">
        <f t="shared" si="37"/>
        <v>0</v>
      </c>
      <c r="AK30" s="649"/>
      <c r="AL30" s="649">
        <f t="shared" si="38"/>
        <v>0</v>
      </c>
      <c r="AM30" s="649"/>
      <c r="AN30" s="664"/>
      <c r="AO30" s="649"/>
      <c r="AP30" s="649">
        <v>0</v>
      </c>
      <c r="AQ30" s="649"/>
      <c r="AR30" s="649">
        <v>0</v>
      </c>
      <c r="AS30" s="649"/>
      <c r="AT30" s="648">
        <f>+AF30-AN30</f>
        <v>0</v>
      </c>
      <c r="AU30" s="649"/>
      <c r="AV30" s="648">
        <f>+AH30-AP30</f>
        <v>0</v>
      </c>
      <c r="AW30" s="649"/>
      <c r="AX30" s="648">
        <f>+AJ30-AR30</f>
        <v>0</v>
      </c>
      <c r="AY30" s="649"/>
      <c r="AZ30" s="649">
        <f t="shared" si="39"/>
        <v>0</v>
      </c>
      <c r="BA30" s="649"/>
      <c r="BB30" s="653"/>
      <c r="BC30" s="632">
        <f t="shared" si="33"/>
        <v>204</v>
      </c>
    </row>
    <row r="31" spans="1:55" ht="14.5">
      <c r="A31" s="632">
        <f>+A30+1</f>
        <v>205</v>
      </c>
      <c r="B31" s="665"/>
      <c r="C31" s="658"/>
      <c r="D31" s="630"/>
      <c r="E31" s="630"/>
      <c r="F31" s="664"/>
      <c r="G31" s="649"/>
      <c r="H31" s="664"/>
      <c r="I31" s="649"/>
      <c r="J31" s="664"/>
      <c r="K31" s="630"/>
      <c r="L31" s="630"/>
      <c r="M31" s="630"/>
      <c r="N31" s="649">
        <v>0</v>
      </c>
      <c r="O31" s="649"/>
      <c r="P31" s="649">
        <v>0</v>
      </c>
      <c r="Q31" s="649"/>
      <c r="R31" s="649">
        <v>0</v>
      </c>
      <c r="S31" s="649"/>
      <c r="T31" s="649">
        <f t="shared" si="34"/>
        <v>0</v>
      </c>
      <c r="U31" s="649"/>
      <c r="V31" s="649"/>
      <c r="W31" s="649"/>
      <c r="X31" s="664">
        <v>0</v>
      </c>
      <c r="Y31" s="649"/>
      <c r="Z31" s="649">
        <v>0</v>
      </c>
      <c r="AA31" s="649"/>
      <c r="AB31" s="649">
        <v>0</v>
      </c>
      <c r="AC31" s="649"/>
      <c r="AD31" s="649"/>
      <c r="AE31" s="649"/>
      <c r="AF31" s="648">
        <f t="shared" si="35"/>
        <v>0</v>
      </c>
      <c r="AG31" s="649"/>
      <c r="AH31" s="648">
        <f t="shared" si="36"/>
        <v>0</v>
      </c>
      <c r="AI31" s="649"/>
      <c r="AJ31" s="648">
        <f t="shared" si="37"/>
        <v>0</v>
      </c>
      <c r="AK31" s="649"/>
      <c r="AL31" s="649">
        <f t="shared" si="38"/>
        <v>0</v>
      </c>
      <c r="AM31" s="659"/>
      <c r="AN31" s="664"/>
      <c r="AO31" s="649"/>
      <c r="AP31" s="649">
        <v>0</v>
      </c>
      <c r="AQ31" s="649"/>
      <c r="AR31" s="649">
        <v>0</v>
      </c>
      <c r="AS31" s="649"/>
      <c r="AT31" s="648">
        <f>+AF31-AN31</f>
        <v>0</v>
      </c>
      <c r="AU31" s="649"/>
      <c r="AV31" s="648">
        <f>+AH31-AP31</f>
        <v>0</v>
      </c>
      <c r="AW31" s="649"/>
      <c r="AX31" s="648">
        <f>+AJ31-AR31</f>
        <v>0</v>
      </c>
      <c r="AY31" s="649"/>
      <c r="AZ31" s="649">
        <f t="shared" si="39"/>
        <v>0</v>
      </c>
      <c r="BA31" s="659"/>
      <c r="BB31" s="630"/>
      <c r="BC31" s="632">
        <f t="shared" si="33"/>
        <v>205</v>
      </c>
    </row>
    <row r="32" spans="1:55" ht="14.5">
      <c r="A32" s="632"/>
      <c r="B32" s="638"/>
      <c r="C32" s="658"/>
      <c r="D32" s="630"/>
      <c r="E32" s="630"/>
      <c r="F32" s="649"/>
      <c r="G32" s="649"/>
      <c r="H32" s="649"/>
      <c r="I32" s="649"/>
      <c r="J32" s="649"/>
      <c r="K32" s="630"/>
      <c r="L32" s="630"/>
      <c r="M32" s="630"/>
      <c r="N32" s="649"/>
      <c r="O32" s="649"/>
      <c r="P32" s="649"/>
      <c r="Q32" s="649"/>
      <c r="R32" s="649"/>
      <c r="S32" s="649"/>
      <c r="T32" s="649"/>
      <c r="U32" s="649"/>
      <c r="V32" s="649"/>
      <c r="W32" s="649"/>
      <c r="X32" s="649"/>
      <c r="Y32" s="649"/>
      <c r="Z32" s="649"/>
      <c r="AA32" s="649"/>
      <c r="AB32" s="649"/>
      <c r="AC32" s="649"/>
      <c r="AD32" s="649"/>
      <c r="AE32" s="649"/>
      <c r="AF32" s="649"/>
      <c r="AG32" s="649"/>
      <c r="AH32" s="649"/>
      <c r="AI32" s="649"/>
      <c r="AJ32" s="649"/>
      <c r="AK32" s="649"/>
      <c r="AL32" s="649"/>
      <c r="AM32" s="659"/>
      <c r="AN32" s="649"/>
      <c r="AO32" s="649"/>
      <c r="AP32" s="649"/>
      <c r="AQ32" s="649"/>
      <c r="AR32" s="649"/>
      <c r="AS32" s="649"/>
      <c r="AT32" s="649"/>
      <c r="AU32" s="649"/>
      <c r="AV32" s="649"/>
      <c r="AW32" s="649"/>
      <c r="AX32" s="649"/>
      <c r="AY32" s="649"/>
      <c r="AZ32" s="649"/>
      <c r="BA32" s="659"/>
      <c r="BB32" s="630"/>
      <c r="BC32" s="632"/>
    </row>
    <row r="33" spans="1:55" ht="14.5">
      <c r="A33" s="316" t="s">
        <v>99</v>
      </c>
      <c r="B33" s="628"/>
      <c r="BC33" s="660" t="s">
        <v>99</v>
      </c>
    </row>
    <row r="34" spans="1:55" ht="14.5">
      <c r="A34" s="632">
        <v>300</v>
      </c>
      <c r="B34" s="630" t="s">
        <v>1503</v>
      </c>
      <c r="F34" s="652">
        <f>SUM(F35:F39)</f>
        <v>0</v>
      </c>
      <c r="G34" s="649"/>
      <c r="H34" s="652">
        <f>SUM(H35:H39)</f>
        <v>0</v>
      </c>
      <c r="I34" s="649"/>
      <c r="J34" s="652">
        <f>SUM(J35:J39)</f>
        <v>0</v>
      </c>
      <c r="K34" s="632"/>
      <c r="L34" s="632"/>
      <c r="M34" s="632"/>
      <c r="N34" s="652">
        <f>SUM(N35:N39)</f>
        <v>0</v>
      </c>
      <c r="O34" s="649"/>
      <c r="P34" s="652">
        <f>SUM(P35:P39)</f>
        <v>0</v>
      </c>
      <c r="Q34" s="649"/>
      <c r="R34" s="652">
        <f>SUM(R35:R39)</f>
        <v>0</v>
      </c>
      <c r="S34" s="649"/>
      <c r="T34" s="652">
        <f>SUM(T35:T39)</f>
        <v>0</v>
      </c>
      <c r="U34" s="649"/>
      <c r="V34" s="649"/>
      <c r="W34" s="649"/>
      <c r="X34" s="652">
        <f>SUM(X35:X39)</f>
        <v>0</v>
      </c>
      <c r="Y34" s="649"/>
      <c r="Z34" s="652">
        <f>SUM(Z35:Z39)</f>
        <v>0</v>
      </c>
      <c r="AA34" s="649"/>
      <c r="AB34" s="652">
        <f>SUM(AB35:AB39)</f>
        <v>0</v>
      </c>
      <c r="AC34" s="649"/>
      <c r="AD34" s="649"/>
      <c r="AE34" s="649"/>
      <c r="AF34" s="652">
        <f>SUM(AF35:AF39)</f>
        <v>0</v>
      </c>
      <c r="AG34" s="649"/>
      <c r="AH34" s="652">
        <f>SUM(AH35:AH39)</f>
        <v>0</v>
      </c>
      <c r="AI34" s="649"/>
      <c r="AJ34" s="652">
        <f>SUM(AJ35:AJ39)</f>
        <v>0</v>
      </c>
      <c r="AK34" s="649"/>
      <c r="AL34" s="652">
        <f>SUM(AL35:AL39)</f>
        <v>0</v>
      </c>
      <c r="AN34" s="652">
        <f>SUM(AN35:AN39)</f>
        <v>0</v>
      </c>
      <c r="AO34" s="649"/>
      <c r="AP34" s="652">
        <f>SUM(AP35:AP39)</f>
        <v>0</v>
      </c>
      <c r="AQ34" s="649"/>
      <c r="AR34" s="652">
        <f>SUM(AR35:AR39)</f>
        <v>0</v>
      </c>
      <c r="AS34" s="649"/>
      <c r="AT34" s="652">
        <f>SUM(AT35:AT39)</f>
        <v>0</v>
      </c>
      <c r="AU34" s="649"/>
      <c r="AV34" s="652">
        <f>SUM(AV35:AV39)</f>
        <v>0</v>
      </c>
      <c r="AW34" s="649"/>
      <c r="AX34" s="652">
        <f>SUM(AX35:AX39)</f>
        <v>0</v>
      </c>
      <c r="AY34" s="649"/>
      <c r="AZ34" s="652">
        <f>SUM(AZ35:AZ39)</f>
        <v>0</v>
      </c>
      <c r="BC34" s="632">
        <f t="shared" ref="BC34:BC39" si="41">A34</f>
        <v>300</v>
      </c>
    </row>
    <row r="35" spans="1:55" ht="14.5">
      <c r="A35" s="632">
        <f t="shared" ref="A35:A38" si="42">A34+1</f>
        <v>301</v>
      </c>
      <c r="B35" s="682" t="s">
        <v>1504</v>
      </c>
      <c r="D35" s="626" t="s">
        <v>1505</v>
      </c>
      <c r="F35" s="664">
        <v>0</v>
      </c>
      <c r="G35" s="649"/>
      <c r="H35" s="664">
        <v>0</v>
      </c>
      <c r="I35" s="649"/>
      <c r="J35" s="664">
        <v>0</v>
      </c>
      <c r="N35" s="649">
        <f t="shared" ref="N35:N39" si="43">J35</f>
        <v>0</v>
      </c>
      <c r="O35" s="649"/>
      <c r="P35" s="649">
        <v>0</v>
      </c>
      <c r="Q35" s="649"/>
      <c r="R35" s="649">
        <v>0</v>
      </c>
      <c r="S35" s="649"/>
      <c r="T35" s="649">
        <f>SUM(N35:R35)</f>
        <v>0</v>
      </c>
      <c r="U35" s="649"/>
      <c r="V35" s="649"/>
      <c r="W35" s="649"/>
      <c r="X35" s="664"/>
      <c r="Y35" s="649"/>
      <c r="Z35" s="664"/>
      <c r="AA35" s="649"/>
      <c r="AB35" s="649">
        <v>0</v>
      </c>
      <c r="AC35" s="649"/>
      <c r="AD35" s="649"/>
      <c r="AE35" s="649"/>
      <c r="AF35" s="648">
        <f t="shared" ref="AF35:AF39" si="44">+N35-X35</f>
        <v>0</v>
      </c>
      <c r="AG35" s="649"/>
      <c r="AH35" s="648">
        <f t="shared" ref="AH35:AH39" si="45">+P35-Z35</f>
        <v>0</v>
      </c>
      <c r="AI35" s="649"/>
      <c r="AJ35" s="648">
        <f t="shared" ref="AJ35:AJ39" si="46">+R35-AB35</f>
        <v>0</v>
      </c>
      <c r="AK35" s="649"/>
      <c r="AL35" s="649">
        <f t="shared" ref="AL35:AL39" si="47">SUM(AF35:AJ35)</f>
        <v>0</v>
      </c>
      <c r="AN35" s="664"/>
      <c r="AO35" s="649"/>
      <c r="AP35" s="664"/>
      <c r="AQ35" s="649"/>
      <c r="AR35" s="649">
        <v>0</v>
      </c>
      <c r="AS35" s="649"/>
      <c r="AT35" s="648">
        <f>+AF35-AN35</f>
        <v>0</v>
      </c>
      <c r="AU35" s="649"/>
      <c r="AV35" s="648">
        <f>+AH35-AP35</f>
        <v>0</v>
      </c>
      <c r="AW35" s="649"/>
      <c r="AX35" s="648">
        <f>+AJ35-AR35</f>
        <v>0</v>
      </c>
      <c r="AY35" s="649"/>
      <c r="AZ35" s="649">
        <f t="shared" ref="AZ35:AZ39" si="48">SUM(AT35:AX35)</f>
        <v>0</v>
      </c>
      <c r="BC35" s="632">
        <f t="shared" si="41"/>
        <v>301</v>
      </c>
    </row>
    <row r="36" spans="1:55" ht="14.5">
      <c r="A36" s="632">
        <f t="shared" si="42"/>
        <v>302</v>
      </c>
      <c r="B36" s="682" t="s">
        <v>1504</v>
      </c>
      <c r="D36" s="626" t="s">
        <v>1505</v>
      </c>
      <c r="F36" s="664">
        <v>0</v>
      </c>
      <c r="G36" s="649"/>
      <c r="H36" s="664">
        <v>0</v>
      </c>
      <c r="I36" s="649"/>
      <c r="J36" s="664">
        <v>0</v>
      </c>
      <c r="N36" s="649">
        <f t="shared" si="43"/>
        <v>0</v>
      </c>
      <c r="O36" s="649"/>
      <c r="P36" s="649">
        <v>0</v>
      </c>
      <c r="Q36" s="649"/>
      <c r="R36" s="649">
        <v>0</v>
      </c>
      <c r="S36" s="649"/>
      <c r="T36" s="649">
        <f t="shared" ref="T36:T39" si="49">SUM(N36:R36)</f>
        <v>0</v>
      </c>
      <c r="U36" s="649"/>
      <c r="V36" s="649"/>
      <c r="W36" s="649"/>
      <c r="X36" s="664"/>
      <c r="Y36" s="649"/>
      <c r="Z36" s="664"/>
      <c r="AA36" s="649"/>
      <c r="AB36" s="649">
        <v>0</v>
      </c>
      <c r="AC36" s="649"/>
      <c r="AD36" s="649"/>
      <c r="AE36" s="649"/>
      <c r="AF36" s="648">
        <f t="shared" si="44"/>
        <v>0</v>
      </c>
      <c r="AG36" s="649"/>
      <c r="AH36" s="648">
        <f t="shared" si="45"/>
        <v>0</v>
      </c>
      <c r="AI36" s="649"/>
      <c r="AJ36" s="648">
        <f t="shared" si="46"/>
        <v>0</v>
      </c>
      <c r="AK36" s="649"/>
      <c r="AL36" s="649">
        <f t="shared" si="47"/>
        <v>0</v>
      </c>
      <c r="AN36" s="664"/>
      <c r="AO36" s="649"/>
      <c r="AP36" s="664"/>
      <c r="AQ36" s="649"/>
      <c r="AR36" s="649">
        <v>0</v>
      </c>
      <c r="AS36" s="649"/>
      <c r="AT36" s="648">
        <f>+AF36-AN36</f>
        <v>0</v>
      </c>
      <c r="AU36" s="649"/>
      <c r="AV36" s="648">
        <f>+AH36-AP36</f>
        <v>0</v>
      </c>
      <c r="AW36" s="649"/>
      <c r="AX36" s="648">
        <f>+AJ36-AR36</f>
        <v>0</v>
      </c>
      <c r="AY36" s="649"/>
      <c r="AZ36" s="649">
        <f t="shared" si="48"/>
        <v>0</v>
      </c>
      <c r="BC36" s="632">
        <f t="shared" si="41"/>
        <v>302</v>
      </c>
    </row>
    <row r="37" spans="1:55" ht="14.5">
      <c r="A37" s="632">
        <f t="shared" si="42"/>
        <v>303</v>
      </c>
      <c r="B37" s="682" t="s">
        <v>1504</v>
      </c>
      <c r="D37" s="626" t="s">
        <v>1505</v>
      </c>
      <c r="F37" s="664">
        <v>0</v>
      </c>
      <c r="G37" s="649"/>
      <c r="H37" s="664">
        <v>0</v>
      </c>
      <c r="I37" s="649"/>
      <c r="J37" s="664">
        <v>0</v>
      </c>
      <c r="N37" s="649">
        <f t="shared" si="43"/>
        <v>0</v>
      </c>
      <c r="O37" s="649"/>
      <c r="P37" s="649">
        <v>0</v>
      </c>
      <c r="Q37" s="649"/>
      <c r="R37" s="649">
        <v>0</v>
      </c>
      <c r="S37" s="649"/>
      <c r="T37" s="649">
        <f t="shared" si="49"/>
        <v>0</v>
      </c>
      <c r="U37" s="649"/>
      <c r="V37" s="649"/>
      <c r="W37" s="649"/>
      <c r="X37" s="664"/>
      <c r="Y37" s="649"/>
      <c r="Z37" s="664"/>
      <c r="AA37" s="649"/>
      <c r="AB37" s="649">
        <v>0</v>
      </c>
      <c r="AC37" s="649"/>
      <c r="AD37" s="649"/>
      <c r="AE37" s="649"/>
      <c r="AF37" s="648">
        <f t="shared" si="44"/>
        <v>0</v>
      </c>
      <c r="AG37" s="649"/>
      <c r="AH37" s="648">
        <f t="shared" si="45"/>
        <v>0</v>
      </c>
      <c r="AI37" s="649"/>
      <c r="AJ37" s="648">
        <f t="shared" si="46"/>
        <v>0</v>
      </c>
      <c r="AK37" s="649"/>
      <c r="AL37" s="649">
        <f t="shared" si="47"/>
        <v>0</v>
      </c>
      <c r="AN37" s="664"/>
      <c r="AO37" s="649"/>
      <c r="AP37" s="664"/>
      <c r="AQ37" s="649"/>
      <c r="AR37" s="649">
        <v>0</v>
      </c>
      <c r="AS37" s="649"/>
      <c r="AT37" s="648">
        <f>+AF37-AN37</f>
        <v>0</v>
      </c>
      <c r="AU37" s="649"/>
      <c r="AV37" s="648">
        <f>+AH37-AP37</f>
        <v>0</v>
      </c>
      <c r="AW37" s="649"/>
      <c r="AX37" s="648">
        <f>+AJ37-AR37</f>
        <v>0</v>
      </c>
      <c r="AY37" s="649"/>
      <c r="AZ37" s="649">
        <f t="shared" si="48"/>
        <v>0</v>
      </c>
      <c r="BC37" s="632">
        <f t="shared" si="41"/>
        <v>303</v>
      </c>
    </row>
    <row r="38" spans="1:55" ht="14.5">
      <c r="A38" s="632">
        <f t="shared" si="42"/>
        <v>304</v>
      </c>
      <c r="B38" s="665"/>
      <c r="F38" s="664"/>
      <c r="G38" s="649"/>
      <c r="H38" s="664"/>
      <c r="I38" s="649"/>
      <c r="J38" s="664"/>
      <c r="N38" s="649">
        <f t="shared" si="43"/>
        <v>0</v>
      </c>
      <c r="O38" s="649"/>
      <c r="P38" s="649">
        <v>0</v>
      </c>
      <c r="Q38" s="649"/>
      <c r="R38" s="649">
        <v>0</v>
      </c>
      <c r="S38" s="649"/>
      <c r="T38" s="649">
        <f t="shared" si="49"/>
        <v>0</v>
      </c>
      <c r="U38" s="649"/>
      <c r="V38" s="649"/>
      <c r="W38" s="649"/>
      <c r="X38" s="664"/>
      <c r="Y38" s="649"/>
      <c r="Z38" s="664"/>
      <c r="AA38" s="649"/>
      <c r="AB38" s="649">
        <v>0</v>
      </c>
      <c r="AC38" s="649"/>
      <c r="AD38" s="649"/>
      <c r="AE38" s="649"/>
      <c r="AF38" s="648">
        <f t="shared" si="44"/>
        <v>0</v>
      </c>
      <c r="AG38" s="649"/>
      <c r="AH38" s="648">
        <f t="shared" si="45"/>
        <v>0</v>
      </c>
      <c r="AI38" s="649"/>
      <c r="AJ38" s="648">
        <f t="shared" si="46"/>
        <v>0</v>
      </c>
      <c r="AK38" s="649"/>
      <c r="AL38" s="649">
        <f t="shared" si="47"/>
        <v>0</v>
      </c>
      <c r="AN38" s="664"/>
      <c r="AO38" s="649"/>
      <c r="AP38" s="664"/>
      <c r="AQ38" s="649"/>
      <c r="AR38" s="649">
        <v>0</v>
      </c>
      <c r="AS38" s="649"/>
      <c r="AT38" s="648">
        <f>+AF38-AN38</f>
        <v>0</v>
      </c>
      <c r="AU38" s="649"/>
      <c r="AV38" s="648">
        <f>+AH38-AP38</f>
        <v>0</v>
      </c>
      <c r="AW38" s="649"/>
      <c r="AX38" s="648">
        <f>+AJ38-AR38</f>
        <v>0</v>
      </c>
      <c r="AY38" s="649"/>
      <c r="AZ38" s="649">
        <f t="shared" si="48"/>
        <v>0</v>
      </c>
      <c r="BC38" s="632">
        <f t="shared" si="41"/>
        <v>304</v>
      </c>
    </row>
    <row r="39" spans="1:55" ht="14.5">
      <c r="A39" s="632">
        <f>+A38+1</f>
        <v>305</v>
      </c>
      <c r="B39" s="665"/>
      <c r="F39" s="664"/>
      <c r="G39" s="649"/>
      <c r="H39" s="664"/>
      <c r="I39" s="649"/>
      <c r="J39" s="664"/>
      <c r="N39" s="649">
        <f t="shared" si="43"/>
        <v>0</v>
      </c>
      <c r="O39" s="649"/>
      <c r="P39" s="649">
        <v>0</v>
      </c>
      <c r="Q39" s="649"/>
      <c r="R39" s="649">
        <v>0</v>
      </c>
      <c r="S39" s="649"/>
      <c r="T39" s="649">
        <f t="shared" si="49"/>
        <v>0</v>
      </c>
      <c r="U39" s="649"/>
      <c r="V39" s="649"/>
      <c r="W39" s="649"/>
      <c r="X39" s="664"/>
      <c r="Y39" s="649"/>
      <c r="Z39" s="664"/>
      <c r="AA39" s="649"/>
      <c r="AB39" s="649">
        <v>0</v>
      </c>
      <c r="AC39" s="649"/>
      <c r="AD39" s="649"/>
      <c r="AE39" s="649"/>
      <c r="AF39" s="648">
        <f t="shared" si="44"/>
        <v>0</v>
      </c>
      <c r="AG39" s="649"/>
      <c r="AH39" s="648">
        <f t="shared" si="45"/>
        <v>0</v>
      </c>
      <c r="AI39" s="649"/>
      <c r="AJ39" s="648">
        <f t="shared" si="46"/>
        <v>0</v>
      </c>
      <c r="AK39" s="649"/>
      <c r="AL39" s="649">
        <f t="shared" si="47"/>
        <v>0</v>
      </c>
      <c r="AN39" s="664"/>
      <c r="AO39" s="649"/>
      <c r="AP39" s="664"/>
      <c r="AQ39" s="649"/>
      <c r="AR39" s="649">
        <v>0</v>
      </c>
      <c r="AS39" s="649"/>
      <c r="AT39" s="648">
        <f>+AF39-AN39</f>
        <v>0</v>
      </c>
      <c r="AU39" s="649"/>
      <c r="AV39" s="648">
        <f>+AH39-AP39</f>
        <v>0</v>
      </c>
      <c r="AW39" s="649"/>
      <c r="AX39" s="648">
        <f>+AJ39-AR39</f>
        <v>0</v>
      </c>
      <c r="AY39" s="649"/>
      <c r="AZ39" s="649">
        <f t="shared" si="48"/>
        <v>0</v>
      </c>
      <c r="BC39" s="632">
        <f t="shared" si="41"/>
        <v>305</v>
      </c>
    </row>
    <row r="40" spans="1:55" ht="14.5">
      <c r="A40" s="632"/>
      <c r="B40" s="638"/>
      <c r="F40" s="649"/>
      <c r="G40" s="649"/>
      <c r="H40" s="649"/>
      <c r="I40" s="649"/>
      <c r="J40" s="649"/>
      <c r="N40" s="649"/>
      <c r="O40" s="649"/>
      <c r="P40" s="649"/>
      <c r="Q40" s="649"/>
      <c r="R40" s="649"/>
      <c r="S40" s="649"/>
      <c r="T40" s="649"/>
      <c r="U40" s="649"/>
      <c r="V40" s="649"/>
      <c r="W40" s="649"/>
      <c r="X40" s="649"/>
      <c r="Y40" s="649"/>
      <c r="Z40" s="649"/>
      <c r="AA40" s="649"/>
      <c r="AB40" s="649"/>
      <c r="AC40" s="649"/>
      <c r="AD40" s="649"/>
      <c r="AE40" s="649"/>
      <c r="AF40" s="649"/>
      <c r="AG40" s="649"/>
      <c r="AH40" s="649"/>
      <c r="AI40" s="649"/>
      <c r="AJ40" s="649"/>
      <c r="AK40" s="649"/>
      <c r="AL40" s="649"/>
      <c r="AN40" s="649"/>
      <c r="AO40" s="649"/>
      <c r="AP40" s="649"/>
      <c r="AQ40" s="649"/>
      <c r="AR40" s="649"/>
      <c r="AS40" s="649"/>
      <c r="AT40" s="649"/>
      <c r="AU40" s="649"/>
      <c r="AV40" s="649"/>
      <c r="AW40" s="649"/>
      <c r="AX40" s="649"/>
      <c r="AY40" s="649"/>
      <c r="AZ40" s="649"/>
      <c r="BC40" s="632"/>
    </row>
    <row r="41" spans="1:55" ht="14.5">
      <c r="A41" s="316" t="s">
        <v>99</v>
      </c>
      <c r="N41" s="649"/>
      <c r="O41" s="649"/>
      <c r="P41" s="649"/>
      <c r="Q41" s="649"/>
      <c r="R41" s="649"/>
      <c r="S41" s="649"/>
      <c r="T41" s="649"/>
      <c r="U41" s="649"/>
      <c r="V41" s="649"/>
      <c r="W41" s="649"/>
      <c r="Y41" s="649"/>
      <c r="AA41" s="649"/>
      <c r="AC41" s="649"/>
      <c r="AD41" s="649"/>
      <c r="AE41" s="649"/>
      <c r="AF41" s="649"/>
      <c r="AG41" s="649"/>
      <c r="AH41" s="649"/>
      <c r="AI41" s="649"/>
      <c r="AJ41" s="649"/>
      <c r="AK41" s="649"/>
      <c r="AL41" s="649"/>
      <c r="AO41" s="649"/>
      <c r="AQ41" s="649"/>
      <c r="AR41" s="626">
        <v>-1</v>
      </c>
      <c r="AS41" s="649"/>
      <c r="AT41" s="649"/>
      <c r="AU41" s="649"/>
      <c r="AV41" s="649"/>
      <c r="AW41" s="649"/>
      <c r="AX41" s="649"/>
      <c r="AY41" s="649"/>
      <c r="AZ41" s="649"/>
      <c r="BC41" s="316" t="s">
        <v>99</v>
      </c>
    </row>
    <row r="42" spans="1:55" ht="14.5">
      <c r="A42" s="632">
        <v>400</v>
      </c>
      <c r="B42" s="630" t="s">
        <v>1506</v>
      </c>
      <c r="F42" s="652">
        <f>ROUND(SUM(F43:F99),0)</f>
        <v>-346763385</v>
      </c>
      <c r="G42" s="649"/>
      <c r="H42" s="652">
        <f>ROUND(SUM(H43:H99),0)</f>
        <v>-206675379</v>
      </c>
      <c r="I42" s="649"/>
      <c r="J42" s="652">
        <f>ROUND(SUM(J43:J99),0)</f>
        <v>-140088006</v>
      </c>
      <c r="K42" s="632"/>
      <c r="L42" s="632"/>
      <c r="M42" s="632"/>
      <c r="N42" s="652">
        <f>ROUND(SUM(N43:N99),0)</f>
        <v>0</v>
      </c>
      <c r="O42" s="649"/>
      <c r="P42" s="652">
        <f>ROUND(SUM(P43:P99),0)</f>
        <v>-140088006</v>
      </c>
      <c r="Q42" s="649"/>
      <c r="R42" s="652">
        <f>ROUND(SUM(R43:R99),0)</f>
        <v>0</v>
      </c>
      <c r="S42" s="649"/>
      <c r="T42" s="652">
        <f>ROUND(SUM(T43:T99),0)</f>
        <v>-140088006</v>
      </c>
      <c r="U42" s="649"/>
      <c r="V42" s="649"/>
      <c r="W42" s="649"/>
      <c r="X42" s="652">
        <f>SUM(X43:X99)</f>
        <v>0</v>
      </c>
      <c r="Y42" s="649"/>
      <c r="Z42" s="652">
        <f>SUM(Z43:Z99)</f>
        <v>-33233414.585294396</v>
      </c>
      <c r="AA42" s="649"/>
      <c r="AB42" s="652">
        <f>SUM(AB43:AB99)</f>
        <v>0</v>
      </c>
      <c r="AC42" s="649"/>
      <c r="AD42" s="649"/>
      <c r="AE42" s="649"/>
      <c r="AF42" s="652">
        <f>SUM(AF43:AF99)</f>
        <v>0</v>
      </c>
      <c r="AG42" s="649"/>
      <c r="AH42" s="652">
        <f>SUM(AH43:AH99)</f>
        <v>-106854591.43577531</v>
      </c>
      <c r="AI42" s="649"/>
      <c r="AJ42" s="652">
        <f>SUM(AJ43:AJ99)</f>
        <v>0</v>
      </c>
      <c r="AK42" s="649"/>
      <c r="AL42" s="652">
        <f>SUM(AL43:AL99)</f>
        <v>-106854591.43577531</v>
      </c>
      <c r="AN42" s="652">
        <f>SUM(AN43:AN99)</f>
        <v>0</v>
      </c>
      <c r="AO42" s="649"/>
      <c r="AP42" s="652">
        <f>SUM(AP43:AP99)</f>
        <v>-2011915.1663569035</v>
      </c>
      <c r="AQ42" s="649"/>
      <c r="AR42" s="652">
        <f>SUM(AR43:AR99)</f>
        <v>0</v>
      </c>
      <c r="AS42" s="649"/>
      <c r="AT42" s="652">
        <f>SUM(AT43:AT99)</f>
        <v>0</v>
      </c>
      <c r="AU42" s="649"/>
      <c r="AV42" s="652">
        <f>SUM(AV43:AV99)</f>
        <v>-104842676.26941842</v>
      </c>
      <c r="AW42" s="649"/>
      <c r="AX42" s="652">
        <f>SUM(AX43:AX99)</f>
        <v>0</v>
      </c>
      <c r="AY42" s="649"/>
      <c r="AZ42" s="652">
        <f>SUM(AZ43:AZ99)</f>
        <v>-104842676.26941842</v>
      </c>
      <c r="BC42" s="632">
        <f t="shared" ref="BC42:BC73" si="50">A42</f>
        <v>400</v>
      </c>
    </row>
    <row r="43" spans="1:55" ht="14.5">
      <c r="A43" s="632">
        <f t="shared" ref="A43:A99" si="51">A42+1</f>
        <v>401</v>
      </c>
      <c r="B43" s="666" t="s">
        <v>1507</v>
      </c>
      <c r="F43" s="664">
        <v>-2434619.1484139045</v>
      </c>
      <c r="G43" s="649"/>
      <c r="H43" s="664">
        <v>-1460771.1451043426</v>
      </c>
      <c r="I43" s="649"/>
      <c r="J43" s="664">
        <v>-973848.00330956175</v>
      </c>
      <c r="L43" s="675"/>
      <c r="N43" s="649">
        <v>0</v>
      </c>
      <c r="O43" s="649"/>
      <c r="P43" s="649">
        <f>J43</f>
        <v>-973848.00330956175</v>
      </c>
      <c r="Q43" s="649"/>
      <c r="R43" s="649">
        <v>0</v>
      </c>
      <c r="S43" s="649"/>
      <c r="T43" s="649">
        <f>SUM(N43:R43)</f>
        <v>-973848.00330956175</v>
      </c>
      <c r="U43" s="649"/>
      <c r="V43" s="649"/>
      <c r="W43" s="649"/>
      <c r="X43" s="649">
        <v>0</v>
      </c>
      <c r="Y43" s="649"/>
      <c r="Z43" s="750">
        <v>-231028.30396615196</v>
      </c>
      <c r="AA43" s="649"/>
      <c r="AB43" s="649">
        <v>0</v>
      </c>
      <c r="AC43" s="649"/>
      <c r="AD43" s="649"/>
      <c r="AE43" s="649"/>
      <c r="AF43" s="648">
        <f t="shared" ref="AF43:AF99" si="52">+N43-X43</f>
        <v>0</v>
      </c>
      <c r="AG43" s="649"/>
      <c r="AH43" s="648">
        <f t="shared" ref="AH43:AH99" si="53">+P43-Z43</f>
        <v>-742819.69934340985</v>
      </c>
      <c r="AI43" s="649"/>
      <c r="AJ43" s="648">
        <f t="shared" ref="AJ43:AJ99" si="54">+R43-AB43</f>
        <v>0</v>
      </c>
      <c r="AK43" s="649"/>
      <c r="AL43" s="649">
        <f t="shared" ref="AL43:AL99" si="55">SUM(AF43:AJ43)</f>
        <v>-742819.69934340985</v>
      </c>
      <c r="AN43" s="649">
        <v>0</v>
      </c>
      <c r="AO43" s="649"/>
      <c r="AP43" s="664">
        <v>-13986.20498096182</v>
      </c>
      <c r="AQ43" s="649"/>
      <c r="AR43" s="649">
        <v>0</v>
      </c>
      <c r="AS43" s="649"/>
      <c r="AT43" s="648">
        <f t="shared" ref="AT43:AT74" si="56">+AF43-AN43</f>
        <v>0</v>
      </c>
      <c r="AU43" s="649"/>
      <c r="AV43" s="648">
        <f t="shared" ref="AV43:AV74" si="57">+AH43-AP43</f>
        <v>-728833.49436244799</v>
      </c>
      <c r="AW43" s="649"/>
      <c r="AX43" s="648">
        <f t="shared" ref="AX43:AX74" si="58">+AJ43-AR43</f>
        <v>0</v>
      </c>
      <c r="AY43" s="649"/>
      <c r="AZ43" s="649">
        <f t="shared" ref="AZ43:AZ99" si="59">SUM(AT43:AX43)</f>
        <v>-728833.49436244799</v>
      </c>
      <c r="BC43" s="632">
        <f t="shared" si="50"/>
        <v>401</v>
      </c>
    </row>
    <row r="44" spans="1:55" ht="14.5">
      <c r="A44" s="632">
        <f t="shared" si="51"/>
        <v>402</v>
      </c>
      <c r="B44" s="666" t="s">
        <v>1508</v>
      </c>
      <c r="F44" s="664">
        <v>-448269.85840000003</v>
      </c>
      <c r="G44" s="649"/>
      <c r="H44" s="664">
        <v>-268961.71440600004</v>
      </c>
      <c r="I44" s="649"/>
      <c r="J44" s="664">
        <v>-179308.14399399998</v>
      </c>
      <c r="L44" s="675"/>
      <c r="N44" s="649">
        <v>0</v>
      </c>
      <c r="O44" s="649"/>
      <c r="P44" s="649">
        <f t="shared" ref="P44:P96" si="60">J44</f>
        <v>-179308.14399399998</v>
      </c>
      <c r="Q44" s="649"/>
      <c r="R44" s="649">
        <v>0</v>
      </c>
      <c r="S44" s="649"/>
      <c r="T44" s="649">
        <f t="shared" ref="T44:T96" si="61">SUM(N44:R44)</f>
        <v>-179308.14399399998</v>
      </c>
      <c r="U44" s="649"/>
      <c r="V44" s="649"/>
      <c r="W44" s="649"/>
      <c r="X44" s="649">
        <v>0</v>
      </c>
      <c r="Y44" s="649"/>
      <c r="Z44" s="750">
        <v>-42537.702242517538</v>
      </c>
      <c r="AA44" s="649"/>
      <c r="AB44" s="649">
        <v>0</v>
      </c>
      <c r="AC44" s="649"/>
      <c r="AD44" s="649"/>
      <c r="AE44" s="649"/>
      <c r="AF44" s="648">
        <f t="shared" si="52"/>
        <v>0</v>
      </c>
      <c r="AG44" s="649"/>
      <c r="AH44" s="648">
        <f t="shared" si="53"/>
        <v>-136770.44175148243</v>
      </c>
      <c r="AI44" s="649"/>
      <c r="AJ44" s="648">
        <f t="shared" si="54"/>
        <v>0</v>
      </c>
      <c r="AK44" s="649"/>
      <c r="AL44" s="649">
        <f t="shared" si="55"/>
        <v>-136770.44175148243</v>
      </c>
      <c r="AN44" s="649">
        <v>0</v>
      </c>
      <c r="AO44" s="649"/>
      <c r="AP44" s="664">
        <v>-2575.1867315362997</v>
      </c>
      <c r="AQ44" s="649"/>
      <c r="AR44" s="649">
        <v>0</v>
      </c>
      <c r="AS44" s="649"/>
      <c r="AT44" s="648">
        <f t="shared" si="56"/>
        <v>0</v>
      </c>
      <c r="AU44" s="649"/>
      <c r="AV44" s="648">
        <f t="shared" si="57"/>
        <v>-134195.25501994614</v>
      </c>
      <c r="AW44" s="649"/>
      <c r="AX44" s="648">
        <f t="shared" si="58"/>
        <v>0</v>
      </c>
      <c r="AY44" s="649"/>
      <c r="AZ44" s="649">
        <f t="shared" si="59"/>
        <v>-134195.25501994614</v>
      </c>
      <c r="BC44" s="632">
        <f t="shared" si="50"/>
        <v>402</v>
      </c>
    </row>
    <row r="45" spans="1:55" ht="14.5">
      <c r="A45" s="632">
        <f t="shared" si="51"/>
        <v>403</v>
      </c>
      <c r="B45" s="666" t="s">
        <v>1509</v>
      </c>
      <c r="F45" s="664">
        <v>-54964684.313400358</v>
      </c>
      <c r="G45" s="649"/>
      <c r="H45" s="664">
        <v>-32978810.784167517</v>
      </c>
      <c r="I45" s="649"/>
      <c r="J45" s="664">
        <v>-21985873.529232834</v>
      </c>
      <c r="L45" s="675"/>
      <c r="N45" s="649">
        <v>0</v>
      </c>
      <c r="O45" s="649"/>
      <c r="P45" s="649">
        <f t="shared" si="60"/>
        <v>-21985873.529232834</v>
      </c>
      <c r="Q45" s="649"/>
      <c r="R45" s="649">
        <v>0</v>
      </c>
      <c r="S45" s="649"/>
      <c r="T45" s="649">
        <f t="shared" si="61"/>
        <v>-21985873.529232834</v>
      </c>
      <c r="U45" s="649"/>
      <c r="V45" s="649"/>
      <c r="W45" s="649"/>
      <c r="X45" s="649">
        <v>0</v>
      </c>
      <c r="Y45" s="649"/>
      <c r="Z45" s="750">
        <v>-5215761.6541915089</v>
      </c>
      <c r="AA45" s="649"/>
      <c r="AB45" s="649">
        <v>0</v>
      </c>
      <c r="AC45" s="649"/>
      <c r="AD45" s="649"/>
      <c r="AE45" s="649"/>
      <c r="AF45" s="648">
        <f t="shared" si="52"/>
        <v>0</v>
      </c>
      <c r="AG45" s="649"/>
      <c r="AH45" s="648">
        <f t="shared" si="53"/>
        <v>-16770111.875041325</v>
      </c>
      <c r="AI45" s="649"/>
      <c r="AJ45" s="648">
        <f t="shared" si="54"/>
        <v>0</v>
      </c>
      <c r="AK45" s="649"/>
      <c r="AL45" s="649">
        <f t="shared" si="55"/>
        <v>-16770111.875041325</v>
      </c>
      <c r="AN45" s="649">
        <v>0</v>
      </c>
      <c r="AO45" s="649"/>
      <c r="AP45" s="664">
        <v>-315756.59940805653</v>
      </c>
      <c r="AQ45" s="649"/>
      <c r="AR45" s="649">
        <v>0</v>
      </c>
      <c r="AS45" s="649"/>
      <c r="AT45" s="648">
        <f t="shared" si="56"/>
        <v>0</v>
      </c>
      <c r="AU45" s="649"/>
      <c r="AV45" s="648">
        <f t="shared" si="57"/>
        <v>-16454355.275633268</v>
      </c>
      <c r="AW45" s="649"/>
      <c r="AX45" s="648">
        <f t="shared" si="58"/>
        <v>0</v>
      </c>
      <c r="AY45" s="649"/>
      <c r="AZ45" s="649">
        <f t="shared" si="59"/>
        <v>-16454355.275633268</v>
      </c>
      <c r="BC45" s="632">
        <f t="shared" si="50"/>
        <v>403</v>
      </c>
    </row>
    <row r="46" spans="1:55" ht="14.5">
      <c r="A46" s="632">
        <f t="shared" si="51"/>
        <v>404</v>
      </c>
      <c r="B46" s="666" t="s">
        <v>1510</v>
      </c>
      <c r="F46" s="664">
        <v>-20602724.375152476</v>
      </c>
      <c r="G46" s="649"/>
      <c r="H46" s="664">
        <v>-12361634.400661021</v>
      </c>
      <c r="I46" s="649"/>
      <c r="J46" s="664">
        <v>-8241089.9744914537</v>
      </c>
      <c r="L46" s="675"/>
      <c r="N46" s="649">
        <v>0</v>
      </c>
      <c r="O46" s="649"/>
      <c r="P46" s="649">
        <f t="shared" si="60"/>
        <v>-8241089.9744914537</v>
      </c>
      <c r="Q46" s="649"/>
      <c r="R46" s="649">
        <v>0</v>
      </c>
      <c r="S46" s="649"/>
      <c r="T46" s="649">
        <f t="shared" si="61"/>
        <v>-8241089.9744914537</v>
      </c>
      <c r="U46" s="649"/>
      <c r="V46" s="649"/>
      <c r="W46" s="649"/>
      <c r="X46" s="649">
        <v>0</v>
      </c>
      <c r="Y46" s="649"/>
      <c r="Z46" s="750">
        <v>-1955053.5947795222</v>
      </c>
      <c r="AA46" s="649"/>
      <c r="AB46" s="649">
        <v>0</v>
      </c>
      <c r="AC46" s="649"/>
      <c r="AD46" s="649"/>
      <c r="AE46" s="649"/>
      <c r="AF46" s="648">
        <f t="shared" si="52"/>
        <v>0</v>
      </c>
      <c r="AG46" s="649"/>
      <c r="AH46" s="648">
        <f t="shared" si="53"/>
        <v>-6286036.3797119316</v>
      </c>
      <c r="AI46" s="649"/>
      <c r="AJ46" s="648">
        <f t="shared" si="54"/>
        <v>0</v>
      </c>
      <c r="AK46" s="649"/>
      <c r="AL46" s="649">
        <f t="shared" si="55"/>
        <v>-6286036.3797119316</v>
      </c>
      <c r="AN46" s="649">
        <v>0</v>
      </c>
      <c r="AO46" s="649"/>
      <c r="AP46" s="664">
        <v>-118356.84137368218</v>
      </c>
      <c r="AQ46" s="649"/>
      <c r="AR46" s="649">
        <v>0</v>
      </c>
      <c r="AS46" s="649"/>
      <c r="AT46" s="648">
        <f t="shared" si="56"/>
        <v>0</v>
      </c>
      <c r="AU46" s="649"/>
      <c r="AV46" s="648">
        <f t="shared" si="57"/>
        <v>-6167679.5383382495</v>
      </c>
      <c r="AW46" s="649"/>
      <c r="AX46" s="648">
        <f t="shared" si="58"/>
        <v>0</v>
      </c>
      <c r="AY46" s="649"/>
      <c r="AZ46" s="649">
        <f t="shared" si="59"/>
        <v>-6167679.5383382495</v>
      </c>
      <c r="BC46" s="632">
        <f t="shared" si="50"/>
        <v>404</v>
      </c>
    </row>
    <row r="47" spans="1:55" ht="14.5">
      <c r="A47" s="632">
        <f t="shared" si="51"/>
        <v>405</v>
      </c>
      <c r="B47" s="666" t="s">
        <v>1511</v>
      </c>
      <c r="F47" s="664">
        <v>-523661.88911936671</v>
      </c>
      <c r="G47" s="649"/>
      <c r="H47" s="664">
        <v>-314197.16501846712</v>
      </c>
      <c r="I47" s="649"/>
      <c r="J47" s="664">
        <v>-209464.72410089959</v>
      </c>
      <c r="L47" s="675"/>
      <c r="N47" s="649">
        <v>0</v>
      </c>
      <c r="O47" s="649"/>
      <c r="P47" s="649">
        <f t="shared" si="60"/>
        <v>-209464.72410089959</v>
      </c>
      <c r="Q47" s="649"/>
      <c r="R47" s="649">
        <v>0</v>
      </c>
      <c r="S47" s="649"/>
      <c r="T47" s="649">
        <f t="shared" si="61"/>
        <v>-209464.72410089959</v>
      </c>
      <c r="U47" s="649"/>
      <c r="V47" s="649"/>
      <c r="W47" s="649"/>
      <c r="X47" s="649">
        <v>0</v>
      </c>
      <c r="Y47" s="649"/>
      <c r="Z47" s="750">
        <v>-49691.820268985131</v>
      </c>
      <c r="AA47" s="649"/>
      <c r="AB47" s="649">
        <v>0</v>
      </c>
      <c r="AC47" s="649"/>
      <c r="AD47" s="649"/>
      <c r="AE47" s="649"/>
      <c r="AF47" s="648">
        <f t="shared" si="52"/>
        <v>0</v>
      </c>
      <c r="AG47" s="649"/>
      <c r="AH47" s="648">
        <f t="shared" si="53"/>
        <v>-159772.90383191447</v>
      </c>
      <c r="AI47" s="649"/>
      <c r="AJ47" s="648">
        <f t="shared" si="54"/>
        <v>0</v>
      </c>
      <c r="AK47" s="649"/>
      <c r="AL47" s="649">
        <f t="shared" si="55"/>
        <v>-159772.90383191447</v>
      </c>
      <c r="AN47" s="649">
        <v>0</v>
      </c>
      <c r="AO47" s="649"/>
      <c r="AP47" s="664">
        <v>-3008.2893404306178</v>
      </c>
      <c r="AQ47" s="649"/>
      <c r="AR47" s="649">
        <v>0</v>
      </c>
      <c r="AS47" s="649"/>
      <c r="AT47" s="648">
        <f t="shared" si="56"/>
        <v>0</v>
      </c>
      <c r="AU47" s="649"/>
      <c r="AV47" s="648">
        <f t="shared" si="57"/>
        <v>-156764.61449148387</v>
      </c>
      <c r="AW47" s="649"/>
      <c r="AX47" s="648">
        <f t="shared" si="58"/>
        <v>0</v>
      </c>
      <c r="AY47" s="649"/>
      <c r="AZ47" s="649">
        <f t="shared" si="59"/>
        <v>-156764.61449148387</v>
      </c>
      <c r="BC47" s="632">
        <f t="shared" si="50"/>
        <v>405</v>
      </c>
    </row>
    <row r="48" spans="1:55" ht="14.5">
      <c r="A48" s="632">
        <f t="shared" si="51"/>
        <v>406</v>
      </c>
      <c r="B48" s="666" t="s">
        <v>1512</v>
      </c>
      <c r="F48" s="664">
        <v>200460.11720000001</v>
      </c>
      <c r="G48" s="649"/>
      <c r="H48" s="664">
        <v>120276.27095399999</v>
      </c>
      <c r="I48" s="649"/>
      <c r="J48" s="664">
        <v>80183.846246000001</v>
      </c>
      <c r="L48" s="675"/>
      <c r="N48" s="649">
        <v>0</v>
      </c>
      <c r="O48" s="649"/>
      <c r="P48" s="649">
        <f t="shared" si="60"/>
        <v>80183.846246000001</v>
      </c>
      <c r="Q48" s="649"/>
      <c r="R48" s="649">
        <v>0</v>
      </c>
      <c r="S48" s="649"/>
      <c r="T48" s="649">
        <f t="shared" si="61"/>
        <v>80183.846246000001</v>
      </c>
      <c r="U48" s="649"/>
      <c r="V48" s="649"/>
      <c r="W48" s="649"/>
      <c r="X48" s="649">
        <v>0</v>
      </c>
      <c r="Y48" s="649"/>
      <c r="Z48" s="750">
        <v>19022.206690100418</v>
      </c>
      <c r="AA48" s="649"/>
      <c r="AB48" s="649">
        <v>0</v>
      </c>
      <c r="AC48" s="649"/>
      <c r="AD48" s="649"/>
      <c r="AE48" s="649"/>
      <c r="AF48" s="648">
        <f t="shared" si="52"/>
        <v>0</v>
      </c>
      <c r="AG48" s="649"/>
      <c r="AH48" s="648">
        <f t="shared" si="53"/>
        <v>61161.639555899586</v>
      </c>
      <c r="AI48" s="649"/>
      <c r="AJ48" s="648">
        <f t="shared" si="54"/>
        <v>0</v>
      </c>
      <c r="AK48" s="649"/>
      <c r="AL48" s="649">
        <f t="shared" si="55"/>
        <v>61161.639555899586</v>
      </c>
      <c r="AN48" s="649">
        <v>0</v>
      </c>
      <c r="AO48" s="649"/>
      <c r="AP48" s="664">
        <v>1151.5839288546508</v>
      </c>
      <c r="AQ48" s="649"/>
      <c r="AR48" s="649">
        <v>0</v>
      </c>
      <c r="AS48" s="649"/>
      <c r="AT48" s="648">
        <f t="shared" si="56"/>
        <v>0</v>
      </c>
      <c r="AU48" s="649"/>
      <c r="AV48" s="648">
        <f t="shared" si="57"/>
        <v>60010.055627044938</v>
      </c>
      <c r="AW48" s="649"/>
      <c r="AX48" s="648">
        <f t="shared" si="58"/>
        <v>0</v>
      </c>
      <c r="AY48" s="649"/>
      <c r="AZ48" s="649">
        <f t="shared" si="59"/>
        <v>60010.055627044938</v>
      </c>
      <c r="BC48" s="632">
        <f t="shared" si="50"/>
        <v>406</v>
      </c>
    </row>
    <row r="49" spans="1:55" ht="14.5">
      <c r="A49" s="632">
        <f t="shared" si="51"/>
        <v>407</v>
      </c>
      <c r="B49" s="666" t="s">
        <v>1513</v>
      </c>
      <c r="F49" s="664">
        <v>-213631.2616</v>
      </c>
      <c r="G49" s="649"/>
      <c r="H49" s="664">
        <v>-128178.642312</v>
      </c>
      <c r="I49" s="649"/>
      <c r="J49" s="664">
        <v>-85452.619288000002</v>
      </c>
      <c r="L49" s="675"/>
      <c r="N49" s="649">
        <v>0</v>
      </c>
      <c r="O49" s="649"/>
      <c r="P49" s="649">
        <f t="shared" si="60"/>
        <v>-85452.619288000002</v>
      </c>
      <c r="Q49" s="649"/>
      <c r="R49" s="649">
        <v>0</v>
      </c>
      <c r="S49" s="649"/>
      <c r="T49" s="649">
        <f t="shared" si="61"/>
        <v>-85452.619288000002</v>
      </c>
      <c r="U49" s="649"/>
      <c r="V49" s="649"/>
      <c r="W49" s="649"/>
      <c r="X49" s="649">
        <v>0</v>
      </c>
      <c r="Y49" s="649"/>
      <c r="Z49" s="750">
        <v>-20272.130390451137</v>
      </c>
      <c r="AA49" s="649"/>
      <c r="AB49" s="649">
        <v>0</v>
      </c>
      <c r="AC49" s="649"/>
      <c r="AD49" s="649"/>
      <c r="AE49" s="649"/>
      <c r="AF49" s="648">
        <f t="shared" si="52"/>
        <v>0</v>
      </c>
      <c r="AG49" s="649"/>
      <c r="AH49" s="648">
        <f t="shared" si="53"/>
        <v>-65180.488897548865</v>
      </c>
      <c r="AI49" s="649"/>
      <c r="AJ49" s="648">
        <f t="shared" si="54"/>
        <v>0</v>
      </c>
      <c r="AK49" s="649"/>
      <c r="AL49" s="649">
        <f t="shared" si="55"/>
        <v>-65180.488897548865</v>
      </c>
      <c r="AN49" s="649">
        <v>0</v>
      </c>
      <c r="AO49" s="649"/>
      <c r="AP49" s="664">
        <v>-1227.2529650010993</v>
      </c>
      <c r="AQ49" s="649"/>
      <c r="AR49" s="649">
        <v>0</v>
      </c>
      <c r="AS49" s="649"/>
      <c r="AT49" s="648">
        <f t="shared" si="56"/>
        <v>0</v>
      </c>
      <c r="AU49" s="649"/>
      <c r="AV49" s="648">
        <f t="shared" si="57"/>
        <v>-63953.235932547766</v>
      </c>
      <c r="AW49" s="649"/>
      <c r="AX49" s="648">
        <f t="shared" si="58"/>
        <v>0</v>
      </c>
      <c r="AY49" s="649"/>
      <c r="AZ49" s="649">
        <f t="shared" si="59"/>
        <v>-63953.235932547766</v>
      </c>
      <c r="BC49" s="632">
        <f t="shared" si="50"/>
        <v>407</v>
      </c>
    </row>
    <row r="50" spans="1:55" ht="14.5">
      <c r="A50" s="632">
        <f t="shared" si="51"/>
        <v>408</v>
      </c>
      <c r="B50" s="666" t="s">
        <v>1514</v>
      </c>
      <c r="F50" s="664">
        <v>2328139.9133534944</v>
      </c>
      <c r="G50" s="649"/>
      <c r="H50" s="664">
        <v>1396884.1244907889</v>
      </c>
      <c r="I50" s="649"/>
      <c r="J50" s="664">
        <v>931255.78886270523</v>
      </c>
      <c r="L50" s="675"/>
      <c r="N50" s="649">
        <v>0</v>
      </c>
      <c r="O50" s="649"/>
      <c r="P50" s="649">
        <f t="shared" si="60"/>
        <v>931255.78886270523</v>
      </c>
      <c r="Q50" s="649"/>
      <c r="R50" s="649">
        <v>0</v>
      </c>
      <c r="S50" s="649"/>
      <c r="T50" s="649">
        <f t="shared" si="61"/>
        <v>931255.78886270523</v>
      </c>
      <c r="U50" s="649"/>
      <c r="V50" s="649"/>
      <c r="W50" s="649"/>
      <c r="X50" s="649">
        <v>0</v>
      </c>
      <c r="Y50" s="649"/>
      <c r="Z50" s="750">
        <v>220924.05049704871</v>
      </c>
      <c r="AA50" s="649"/>
      <c r="AB50" s="649">
        <v>0</v>
      </c>
      <c r="AC50" s="649"/>
      <c r="AD50" s="649"/>
      <c r="AE50" s="649"/>
      <c r="AF50" s="648">
        <f t="shared" si="52"/>
        <v>0</v>
      </c>
      <c r="AG50" s="649"/>
      <c r="AH50" s="648">
        <f t="shared" si="53"/>
        <v>710331.73836565646</v>
      </c>
      <c r="AI50" s="649"/>
      <c r="AJ50" s="648">
        <f t="shared" si="54"/>
        <v>0</v>
      </c>
      <c r="AK50" s="649"/>
      <c r="AL50" s="649">
        <f t="shared" si="55"/>
        <v>710331.73836565646</v>
      </c>
      <c r="AN50" s="649">
        <v>0</v>
      </c>
      <c r="AO50" s="649"/>
      <c r="AP50" s="664">
        <v>13374.504346137543</v>
      </c>
      <c r="AQ50" s="649"/>
      <c r="AR50" s="649">
        <v>0</v>
      </c>
      <c r="AS50" s="649"/>
      <c r="AT50" s="648">
        <f t="shared" si="56"/>
        <v>0</v>
      </c>
      <c r="AU50" s="649"/>
      <c r="AV50" s="648">
        <f t="shared" si="57"/>
        <v>696957.23401951895</v>
      </c>
      <c r="AW50" s="649"/>
      <c r="AX50" s="648">
        <f t="shared" si="58"/>
        <v>0</v>
      </c>
      <c r="AY50" s="649"/>
      <c r="AZ50" s="649">
        <f t="shared" si="59"/>
        <v>696957.23401951895</v>
      </c>
      <c r="BC50" s="632">
        <f t="shared" si="50"/>
        <v>408</v>
      </c>
    </row>
    <row r="51" spans="1:55" ht="14.5">
      <c r="A51" s="632">
        <f t="shared" si="51"/>
        <v>409</v>
      </c>
      <c r="B51" s="666" t="s">
        <v>1515</v>
      </c>
      <c r="F51" s="664">
        <v>-215413.08259999999</v>
      </c>
      <c r="G51" s="649"/>
      <c r="H51" s="664">
        <v>-129247.82089800001</v>
      </c>
      <c r="I51" s="649"/>
      <c r="J51" s="664">
        <v>-86165.261702000003</v>
      </c>
      <c r="L51" s="675"/>
      <c r="N51" s="649">
        <v>0</v>
      </c>
      <c r="O51" s="649"/>
      <c r="P51" s="649">
        <f t="shared" si="60"/>
        <v>-86165.261702000003</v>
      </c>
      <c r="Q51" s="649"/>
      <c r="R51" s="649">
        <v>0</v>
      </c>
      <c r="S51" s="649"/>
      <c r="T51" s="649">
        <f t="shared" si="61"/>
        <v>-86165.261702000003</v>
      </c>
      <c r="U51" s="649"/>
      <c r="V51" s="649"/>
      <c r="W51" s="649"/>
      <c r="X51" s="649">
        <v>0</v>
      </c>
      <c r="Y51" s="649"/>
      <c r="Z51" s="750">
        <v>-20441.192264256126</v>
      </c>
      <c r="AA51" s="649"/>
      <c r="AB51" s="649">
        <v>0</v>
      </c>
      <c r="AC51" s="649"/>
      <c r="AD51" s="649"/>
      <c r="AE51" s="649"/>
      <c r="AF51" s="648">
        <f t="shared" si="52"/>
        <v>0</v>
      </c>
      <c r="AG51" s="649"/>
      <c r="AH51" s="648">
        <f t="shared" si="53"/>
        <v>-65724.069437743878</v>
      </c>
      <c r="AI51" s="649"/>
      <c r="AJ51" s="648">
        <f t="shared" si="54"/>
        <v>0</v>
      </c>
      <c r="AK51" s="649"/>
      <c r="AL51" s="649">
        <f t="shared" si="55"/>
        <v>-65724.069437743878</v>
      </c>
      <c r="AN51" s="649">
        <v>0</v>
      </c>
      <c r="AO51" s="649"/>
      <c r="AP51" s="664">
        <v>-1237.4877889638315</v>
      </c>
      <c r="AQ51" s="649"/>
      <c r="AR51" s="649">
        <v>0</v>
      </c>
      <c r="AS51" s="649"/>
      <c r="AT51" s="648">
        <f t="shared" si="56"/>
        <v>0</v>
      </c>
      <c r="AU51" s="649"/>
      <c r="AV51" s="648">
        <f t="shared" si="57"/>
        <v>-64486.581648780048</v>
      </c>
      <c r="AW51" s="649"/>
      <c r="AX51" s="648">
        <f t="shared" si="58"/>
        <v>0</v>
      </c>
      <c r="AY51" s="649"/>
      <c r="AZ51" s="649">
        <f t="shared" si="59"/>
        <v>-64486.581648780048</v>
      </c>
      <c r="BC51" s="632">
        <f t="shared" si="50"/>
        <v>409</v>
      </c>
    </row>
    <row r="52" spans="1:55" ht="14.5">
      <c r="A52" s="632">
        <f t="shared" si="51"/>
        <v>410</v>
      </c>
      <c r="B52" s="666" t="s">
        <v>1516</v>
      </c>
      <c r="F52" s="664">
        <v>-2118462.1781889452</v>
      </c>
      <c r="G52" s="649"/>
      <c r="H52" s="664">
        <v>-1271077.2434608291</v>
      </c>
      <c r="I52" s="649"/>
      <c r="J52" s="664">
        <v>-847384.9347281158</v>
      </c>
      <c r="L52" s="675"/>
      <c r="N52" s="649">
        <v>0</v>
      </c>
      <c r="O52" s="649"/>
      <c r="P52" s="649">
        <f t="shared" si="60"/>
        <v>-847384.9347281158</v>
      </c>
      <c r="Q52" s="649"/>
      <c r="R52" s="649">
        <v>0</v>
      </c>
      <c r="S52" s="649"/>
      <c r="T52" s="649">
        <f t="shared" si="61"/>
        <v>-847384.9347281158</v>
      </c>
      <c r="U52" s="649"/>
      <c r="V52" s="649"/>
      <c r="W52" s="649"/>
      <c r="X52" s="649">
        <v>0</v>
      </c>
      <c r="Y52" s="649"/>
      <c r="Z52" s="750">
        <v>-201027.16605814578</v>
      </c>
      <c r="AA52" s="649"/>
      <c r="AB52" s="649">
        <v>0</v>
      </c>
      <c r="AC52" s="649"/>
      <c r="AD52" s="649"/>
      <c r="AE52" s="649"/>
      <c r="AF52" s="648">
        <f t="shared" si="52"/>
        <v>0</v>
      </c>
      <c r="AG52" s="649"/>
      <c r="AH52" s="648">
        <f t="shared" si="53"/>
        <v>-646357.76866996998</v>
      </c>
      <c r="AI52" s="649"/>
      <c r="AJ52" s="648">
        <f t="shared" si="54"/>
        <v>0</v>
      </c>
      <c r="AK52" s="649"/>
      <c r="AL52" s="649">
        <f t="shared" si="55"/>
        <v>-646357.76866996998</v>
      </c>
      <c r="AN52" s="649">
        <v>0</v>
      </c>
      <c r="AO52" s="649"/>
      <c r="AP52" s="664">
        <v>-12169.968367352114</v>
      </c>
      <c r="AQ52" s="649"/>
      <c r="AR52" s="649">
        <v>0</v>
      </c>
      <c r="AS52" s="649"/>
      <c r="AT52" s="648">
        <f t="shared" si="56"/>
        <v>0</v>
      </c>
      <c r="AU52" s="649"/>
      <c r="AV52" s="648">
        <f t="shared" si="57"/>
        <v>-634187.80030261783</v>
      </c>
      <c r="AW52" s="649"/>
      <c r="AX52" s="648">
        <f t="shared" si="58"/>
        <v>0</v>
      </c>
      <c r="AY52" s="649"/>
      <c r="AZ52" s="649">
        <f t="shared" si="59"/>
        <v>-634187.80030261783</v>
      </c>
      <c r="BC52" s="632">
        <f t="shared" si="50"/>
        <v>410</v>
      </c>
    </row>
    <row r="53" spans="1:55" ht="14.5">
      <c r="A53" s="632">
        <f t="shared" si="51"/>
        <v>411</v>
      </c>
      <c r="B53" s="666" t="s">
        <v>1517</v>
      </c>
      <c r="F53" s="664">
        <v>-7026118.1700553214</v>
      </c>
      <c r="G53" s="649"/>
      <c r="H53" s="664">
        <v>-4215671.4134425009</v>
      </c>
      <c r="I53" s="649"/>
      <c r="J53" s="664">
        <v>-2810446.7566128215</v>
      </c>
      <c r="L53" s="675"/>
      <c r="N53" s="649">
        <v>0</v>
      </c>
      <c r="O53" s="649"/>
      <c r="P53" s="649">
        <f t="shared" si="60"/>
        <v>-2810446.7566128215</v>
      </c>
      <c r="Q53" s="649"/>
      <c r="R53" s="649">
        <v>0</v>
      </c>
      <c r="S53" s="649"/>
      <c r="T53" s="649">
        <f t="shared" si="61"/>
        <v>-2810446.7566128215</v>
      </c>
      <c r="U53" s="649"/>
      <c r="V53" s="649"/>
      <c r="W53" s="649"/>
      <c r="X53" s="649">
        <v>0</v>
      </c>
      <c r="Y53" s="649"/>
      <c r="Z53" s="750">
        <v>-666729.04330126662</v>
      </c>
      <c r="AA53" s="649"/>
      <c r="AB53" s="649">
        <v>0</v>
      </c>
      <c r="AC53" s="649"/>
      <c r="AD53" s="649"/>
      <c r="AE53" s="649"/>
      <c r="AF53" s="648">
        <f t="shared" si="52"/>
        <v>0</v>
      </c>
      <c r="AG53" s="649"/>
      <c r="AH53" s="648">
        <f t="shared" si="53"/>
        <v>-2143717.7133115549</v>
      </c>
      <c r="AI53" s="649"/>
      <c r="AJ53" s="648">
        <f t="shared" si="54"/>
        <v>0</v>
      </c>
      <c r="AK53" s="649"/>
      <c r="AL53" s="649">
        <f t="shared" si="55"/>
        <v>-2143717.7133115549</v>
      </c>
      <c r="AN53" s="649">
        <v>0</v>
      </c>
      <c r="AO53" s="649"/>
      <c r="AP53" s="664">
        <v>-40363.059011757694</v>
      </c>
      <c r="AQ53" s="649"/>
      <c r="AR53" s="649">
        <v>0</v>
      </c>
      <c r="AS53" s="649"/>
      <c r="AT53" s="648">
        <f t="shared" si="56"/>
        <v>0</v>
      </c>
      <c r="AU53" s="649"/>
      <c r="AV53" s="648">
        <f t="shared" si="57"/>
        <v>-2103354.654299797</v>
      </c>
      <c r="AW53" s="649"/>
      <c r="AX53" s="648">
        <f t="shared" si="58"/>
        <v>0</v>
      </c>
      <c r="AY53" s="649"/>
      <c r="AZ53" s="649">
        <f t="shared" si="59"/>
        <v>-2103354.654299797</v>
      </c>
      <c r="BC53" s="632">
        <f t="shared" si="50"/>
        <v>411</v>
      </c>
    </row>
    <row r="54" spans="1:55" ht="14.5">
      <c r="A54" s="632">
        <f t="shared" si="51"/>
        <v>412</v>
      </c>
      <c r="B54" s="666" t="s">
        <v>1518</v>
      </c>
      <c r="F54" s="664">
        <v>-21209153.518288884</v>
      </c>
      <c r="G54" s="649"/>
      <c r="H54" s="664">
        <v>-12725492.086459177</v>
      </c>
      <c r="I54" s="649"/>
      <c r="J54" s="664">
        <v>-8483661.4318297058</v>
      </c>
      <c r="L54" s="675"/>
      <c r="N54" s="649">
        <v>0</v>
      </c>
      <c r="O54" s="649"/>
      <c r="P54" s="649">
        <f t="shared" si="60"/>
        <v>-8483661.4318297058</v>
      </c>
      <c r="Q54" s="649"/>
      <c r="R54" s="649">
        <v>0</v>
      </c>
      <c r="S54" s="649"/>
      <c r="T54" s="649">
        <f t="shared" si="61"/>
        <v>-8483661.4318297058</v>
      </c>
      <c r="U54" s="649"/>
      <c r="V54" s="649"/>
      <c r="W54" s="649"/>
      <c r="X54" s="649">
        <v>0</v>
      </c>
      <c r="Y54" s="649"/>
      <c r="Z54" s="750">
        <v>-2012599.4049973418</v>
      </c>
      <c r="AA54" s="649"/>
      <c r="AB54" s="649">
        <v>0</v>
      </c>
      <c r="AC54" s="649"/>
      <c r="AD54" s="649"/>
      <c r="AE54" s="649"/>
      <c r="AF54" s="648">
        <f t="shared" si="52"/>
        <v>0</v>
      </c>
      <c r="AG54" s="649"/>
      <c r="AH54" s="648">
        <f t="shared" si="53"/>
        <v>-6471062.0268323645</v>
      </c>
      <c r="AI54" s="649"/>
      <c r="AJ54" s="648">
        <f t="shared" si="54"/>
        <v>0</v>
      </c>
      <c r="AK54" s="649"/>
      <c r="AL54" s="649">
        <f t="shared" si="55"/>
        <v>-6471062.0268323645</v>
      </c>
      <c r="AN54" s="649">
        <v>0</v>
      </c>
      <c r="AO54" s="649"/>
      <c r="AP54" s="664">
        <v>-121840.60281626225</v>
      </c>
      <c r="AQ54" s="649"/>
      <c r="AR54" s="649">
        <v>0</v>
      </c>
      <c r="AS54" s="649"/>
      <c r="AT54" s="648">
        <f t="shared" si="56"/>
        <v>0</v>
      </c>
      <c r="AU54" s="649"/>
      <c r="AV54" s="648">
        <f t="shared" si="57"/>
        <v>-6349221.4240161022</v>
      </c>
      <c r="AW54" s="649"/>
      <c r="AX54" s="648">
        <f t="shared" si="58"/>
        <v>0</v>
      </c>
      <c r="AY54" s="649"/>
      <c r="AZ54" s="649">
        <f t="shared" si="59"/>
        <v>-6349221.4240161022</v>
      </c>
      <c r="BC54" s="632">
        <f t="shared" si="50"/>
        <v>412</v>
      </c>
    </row>
    <row r="55" spans="1:55" ht="14.5">
      <c r="A55" s="632">
        <f t="shared" si="51"/>
        <v>413</v>
      </c>
      <c r="B55" s="666" t="s">
        <v>1519</v>
      </c>
      <c r="F55" s="664">
        <v>-836924.33457711921</v>
      </c>
      <c r="G55" s="649"/>
      <c r="H55" s="664">
        <v>-662647.5181006192</v>
      </c>
      <c r="I55" s="649"/>
      <c r="J55" s="664">
        <v>-174276.81647649998</v>
      </c>
      <c r="L55" s="675"/>
      <c r="N55" s="649">
        <v>0</v>
      </c>
      <c r="O55" s="649"/>
      <c r="P55" s="649">
        <f t="shared" si="60"/>
        <v>-174276.81647649998</v>
      </c>
      <c r="Q55" s="649"/>
      <c r="R55" s="649">
        <v>0</v>
      </c>
      <c r="S55" s="649"/>
      <c r="T55" s="649">
        <f t="shared" si="61"/>
        <v>-174276.81647649998</v>
      </c>
      <c r="U55" s="649"/>
      <c r="V55" s="649"/>
      <c r="W55" s="649"/>
      <c r="X55" s="649">
        <v>0</v>
      </c>
      <c r="Y55" s="649"/>
      <c r="Z55" s="750">
        <v>-41344.108315009362</v>
      </c>
      <c r="AA55" s="649"/>
      <c r="AB55" s="649">
        <v>0</v>
      </c>
      <c r="AC55" s="649"/>
      <c r="AD55" s="649"/>
      <c r="AE55" s="649"/>
      <c r="AF55" s="648">
        <f t="shared" si="52"/>
        <v>0</v>
      </c>
      <c r="AG55" s="649"/>
      <c r="AH55" s="648">
        <f t="shared" si="53"/>
        <v>-132932.70816149062</v>
      </c>
      <c r="AI55" s="649"/>
      <c r="AJ55" s="648">
        <f t="shared" si="54"/>
        <v>0</v>
      </c>
      <c r="AK55" s="649"/>
      <c r="AL55" s="649">
        <f t="shared" si="55"/>
        <v>-132932.70816149062</v>
      </c>
      <c r="AN55" s="649">
        <v>0</v>
      </c>
      <c r="AO55" s="649"/>
      <c r="AP55" s="664">
        <v>-2502.9278392379501</v>
      </c>
      <c r="AQ55" s="649"/>
      <c r="AR55" s="649">
        <v>0</v>
      </c>
      <c r="AS55" s="649"/>
      <c r="AT55" s="648">
        <f t="shared" si="56"/>
        <v>0</v>
      </c>
      <c r="AU55" s="649"/>
      <c r="AV55" s="648">
        <f t="shared" si="57"/>
        <v>-130429.78032225267</v>
      </c>
      <c r="AW55" s="649"/>
      <c r="AX55" s="648">
        <f t="shared" si="58"/>
        <v>0</v>
      </c>
      <c r="AY55" s="649"/>
      <c r="AZ55" s="649">
        <f t="shared" si="59"/>
        <v>-130429.78032225267</v>
      </c>
      <c r="BC55" s="632">
        <f t="shared" si="50"/>
        <v>413</v>
      </c>
    </row>
    <row r="56" spans="1:55" ht="14.5">
      <c r="A56" s="632">
        <f t="shared" si="51"/>
        <v>414</v>
      </c>
      <c r="B56" s="666" t="s">
        <v>1520</v>
      </c>
      <c r="F56" s="664">
        <v>-218308782.94916928</v>
      </c>
      <c r="G56" s="649"/>
      <c r="H56" s="664">
        <v>-129315766.69833358</v>
      </c>
      <c r="I56" s="649"/>
      <c r="J56" s="664">
        <v>-88993016.250835702</v>
      </c>
      <c r="L56" s="675"/>
      <c r="N56" s="649">
        <v>0</v>
      </c>
      <c r="O56" s="649"/>
      <c r="P56" s="649">
        <f t="shared" si="60"/>
        <v>-88993016.250835702</v>
      </c>
      <c r="Q56" s="649"/>
      <c r="R56" s="649">
        <v>0</v>
      </c>
      <c r="S56" s="649"/>
      <c r="T56" s="649">
        <f t="shared" si="61"/>
        <v>-88993016.250835702</v>
      </c>
      <c r="U56" s="649"/>
      <c r="V56" s="649"/>
      <c r="W56" s="649"/>
      <c r="X56" s="649">
        <v>0</v>
      </c>
      <c r="Y56" s="649"/>
      <c r="Z56" s="750">
        <v>-21112027.276732314</v>
      </c>
      <c r="AA56" s="649"/>
      <c r="AB56" s="649">
        <v>0</v>
      </c>
      <c r="AC56" s="649"/>
      <c r="AD56" s="649"/>
      <c r="AE56" s="649"/>
      <c r="AF56" s="648">
        <f t="shared" si="52"/>
        <v>0</v>
      </c>
      <c r="AG56" s="649"/>
      <c r="AH56" s="648">
        <f t="shared" si="53"/>
        <v>-67880988.974103391</v>
      </c>
      <c r="AI56" s="649"/>
      <c r="AJ56" s="648">
        <f t="shared" si="54"/>
        <v>0</v>
      </c>
      <c r="AK56" s="649"/>
      <c r="AL56" s="649">
        <f t="shared" si="55"/>
        <v>-67880988.974103391</v>
      </c>
      <c r="AN56" s="649">
        <v>0</v>
      </c>
      <c r="AO56" s="649"/>
      <c r="AP56" s="664">
        <v>-1278099.4189322214</v>
      </c>
      <c r="AQ56" s="649"/>
      <c r="AR56" s="649">
        <v>0</v>
      </c>
      <c r="AS56" s="649"/>
      <c r="AT56" s="648">
        <f t="shared" si="56"/>
        <v>0</v>
      </c>
      <c r="AU56" s="649"/>
      <c r="AV56" s="648">
        <f t="shared" si="57"/>
        <v>-66602889.555171169</v>
      </c>
      <c r="AW56" s="649"/>
      <c r="AX56" s="648">
        <f t="shared" si="58"/>
        <v>0</v>
      </c>
      <c r="AY56" s="649"/>
      <c r="AZ56" s="649">
        <f t="shared" si="59"/>
        <v>-66602889.555171169</v>
      </c>
      <c r="BC56" s="632">
        <f t="shared" si="50"/>
        <v>414</v>
      </c>
    </row>
    <row r="57" spans="1:55" ht="14.5">
      <c r="A57" s="632">
        <f t="shared" si="51"/>
        <v>415</v>
      </c>
      <c r="B57" s="666" t="s">
        <v>1521</v>
      </c>
      <c r="F57" s="664">
        <v>-14250105.3266</v>
      </c>
      <c r="G57" s="649"/>
      <c r="H57" s="664">
        <v>-8550063.0526500009</v>
      </c>
      <c r="I57" s="649"/>
      <c r="J57" s="664">
        <v>-5700042.2739500003</v>
      </c>
      <c r="L57" s="675"/>
      <c r="N57" s="649">
        <v>0</v>
      </c>
      <c r="O57" s="649"/>
      <c r="P57" s="649">
        <f t="shared" si="60"/>
        <v>-5700042.2739500003</v>
      </c>
      <c r="Q57" s="649"/>
      <c r="R57" s="649">
        <v>0</v>
      </c>
      <c r="S57" s="649"/>
      <c r="T57" s="649">
        <f t="shared" si="61"/>
        <v>-5700042.2739500003</v>
      </c>
      <c r="U57" s="649"/>
      <c r="V57" s="649"/>
      <c r="W57" s="649"/>
      <c r="X57" s="649">
        <v>0</v>
      </c>
      <c r="Y57" s="649"/>
      <c r="Z57" s="750">
        <v>-1352234.7374649146</v>
      </c>
      <c r="AA57" s="649"/>
      <c r="AB57" s="649">
        <v>0</v>
      </c>
      <c r="AC57" s="649"/>
      <c r="AD57" s="649"/>
      <c r="AE57" s="649"/>
      <c r="AF57" s="648">
        <f t="shared" si="52"/>
        <v>0</v>
      </c>
      <c r="AG57" s="649"/>
      <c r="AH57" s="648">
        <f t="shared" si="53"/>
        <v>-4347807.5364850853</v>
      </c>
      <c r="AI57" s="649"/>
      <c r="AJ57" s="648">
        <f t="shared" si="54"/>
        <v>0</v>
      </c>
      <c r="AK57" s="649"/>
      <c r="AL57" s="649">
        <f t="shared" si="55"/>
        <v>-4347807.5364850853</v>
      </c>
      <c r="AN57" s="649">
        <v>0</v>
      </c>
      <c r="AO57" s="649"/>
      <c r="AP57" s="664">
        <v>-81862.83626672985</v>
      </c>
      <c r="AQ57" s="649"/>
      <c r="AR57" s="649">
        <v>0</v>
      </c>
      <c r="AS57" s="649"/>
      <c r="AT57" s="648">
        <f t="shared" si="56"/>
        <v>0</v>
      </c>
      <c r="AU57" s="649"/>
      <c r="AV57" s="648">
        <f t="shared" si="57"/>
        <v>-4265944.7002183553</v>
      </c>
      <c r="AW57" s="649"/>
      <c r="AX57" s="648">
        <f t="shared" si="58"/>
        <v>0</v>
      </c>
      <c r="AY57" s="649"/>
      <c r="AZ57" s="649">
        <f t="shared" si="59"/>
        <v>-4265944.7002183553</v>
      </c>
      <c r="BC57" s="632">
        <f t="shared" si="50"/>
        <v>415</v>
      </c>
    </row>
    <row r="58" spans="1:55" ht="14.5">
      <c r="A58" s="632">
        <f t="shared" si="51"/>
        <v>416</v>
      </c>
      <c r="B58" s="666" t="s">
        <v>1522</v>
      </c>
      <c r="F58" s="664">
        <v>-29782170.194800001</v>
      </c>
      <c r="G58" s="649"/>
      <c r="H58" s="664">
        <v>-17869302.088218</v>
      </c>
      <c r="I58" s="649"/>
      <c r="J58" s="664">
        <v>-11912868.106582003</v>
      </c>
      <c r="L58" s="675"/>
      <c r="N58" s="649">
        <v>0</v>
      </c>
      <c r="O58" s="649"/>
      <c r="P58" s="649">
        <f t="shared" si="60"/>
        <v>-11912868.106582003</v>
      </c>
      <c r="Q58" s="649"/>
      <c r="R58" s="649">
        <v>0</v>
      </c>
      <c r="S58" s="649"/>
      <c r="T58" s="649">
        <f t="shared" si="61"/>
        <v>-11912868.106582003</v>
      </c>
      <c r="U58" s="649"/>
      <c r="V58" s="649"/>
      <c r="W58" s="649"/>
      <c r="X58" s="649">
        <v>0</v>
      </c>
      <c r="Y58" s="649"/>
      <c r="Z58" s="750">
        <v>-2826118.3518196787</v>
      </c>
      <c r="AA58" s="649"/>
      <c r="AB58" s="649">
        <v>0</v>
      </c>
      <c r="AC58" s="649"/>
      <c r="AD58" s="649"/>
      <c r="AE58" s="649"/>
      <c r="AF58" s="648">
        <f t="shared" si="52"/>
        <v>0</v>
      </c>
      <c r="AG58" s="649"/>
      <c r="AH58" s="648">
        <f t="shared" si="53"/>
        <v>-9086749.7547623236</v>
      </c>
      <c r="AI58" s="649"/>
      <c r="AJ58" s="648">
        <f t="shared" si="54"/>
        <v>0</v>
      </c>
      <c r="AK58" s="649"/>
      <c r="AL58" s="649">
        <f t="shared" si="55"/>
        <v>-9086749.7547623236</v>
      </c>
      <c r="AN58" s="649">
        <v>0</v>
      </c>
      <c r="AO58" s="649"/>
      <c r="AP58" s="664">
        <v>-171090.16467003577</v>
      </c>
      <c r="AQ58" s="649"/>
      <c r="AR58" s="649">
        <v>0</v>
      </c>
      <c r="AS58" s="649"/>
      <c r="AT58" s="648">
        <f t="shared" si="56"/>
        <v>0</v>
      </c>
      <c r="AU58" s="649"/>
      <c r="AV58" s="648">
        <f t="shared" si="57"/>
        <v>-8915659.5900922883</v>
      </c>
      <c r="AW58" s="649"/>
      <c r="AX58" s="648">
        <f t="shared" si="58"/>
        <v>0</v>
      </c>
      <c r="AY58" s="649"/>
      <c r="AZ58" s="649">
        <f t="shared" si="59"/>
        <v>-8915659.5900922883</v>
      </c>
      <c r="BC58" s="632">
        <f t="shared" si="50"/>
        <v>416</v>
      </c>
    </row>
    <row r="59" spans="1:55" ht="14.5">
      <c r="A59" s="632">
        <f t="shared" si="51"/>
        <v>417</v>
      </c>
      <c r="B59" s="666" t="s">
        <v>1523</v>
      </c>
      <c r="F59" s="664">
        <v>-3287922.8230146882</v>
      </c>
      <c r="G59" s="649"/>
      <c r="H59" s="664">
        <v>-1972753.6622619657</v>
      </c>
      <c r="I59" s="649"/>
      <c r="J59" s="664">
        <v>-1315169.1607527225</v>
      </c>
      <c r="L59" s="675"/>
      <c r="N59" s="649">
        <v>0</v>
      </c>
      <c r="O59" s="649"/>
      <c r="P59" s="649">
        <f t="shared" si="60"/>
        <v>-1315169.1607527225</v>
      </c>
      <c r="Q59" s="649"/>
      <c r="R59" s="649">
        <v>0</v>
      </c>
      <c r="S59" s="649"/>
      <c r="T59" s="649">
        <f t="shared" si="61"/>
        <v>-1315169.1607527225</v>
      </c>
      <c r="U59" s="649"/>
      <c r="V59" s="649"/>
      <c r="W59" s="649"/>
      <c r="X59" s="649">
        <v>0</v>
      </c>
      <c r="Y59" s="649"/>
      <c r="Z59" s="750">
        <v>-312000.74303659628</v>
      </c>
      <c r="AA59" s="649"/>
      <c r="AB59" s="649">
        <v>0</v>
      </c>
      <c r="AC59" s="649"/>
      <c r="AD59" s="649"/>
      <c r="AE59" s="649"/>
      <c r="AF59" s="648">
        <f t="shared" si="52"/>
        <v>0</v>
      </c>
      <c r="AG59" s="649"/>
      <c r="AH59" s="648">
        <f t="shared" si="53"/>
        <v>-1003168.4177161262</v>
      </c>
      <c r="AI59" s="649"/>
      <c r="AJ59" s="648">
        <f t="shared" si="54"/>
        <v>0</v>
      </c>
      <c r="AK59" s="649"/>
      <c r="AL59" s="649">
        <f t="shared" si="55"/>
        <v>-1003168.4177161262</v>
      </c>
      <c r="AN59" s="649">
        <v>0</v>
      </c>
      <c r="AO59" s="649"/>
      <c r="AP59" s="664">
        <v>-18888.189331821271</v>
      </c>
      <c r="AQ59" s="649"/>
      <c r="AR59" s="649">
        <v>0</v>
      </c>
      <c r="AS59" s="649"/>
      <c r="AT59" s="648">
        <f t="shared" si="56"/>
        <v>0</v>
      </c>
      <c r="AU59" s="649"/>
      <c r="AV59" s="648">
        <f t="shared" si="57"/>
        <v>-984280.22838430491</v>
      </c>
      <c r="AW59" s="649"/>
      <c r="AX59" s="648">
        <f t="shared" si="58"/>
        <v>0</v>
      </c>
      <c r="AY59" s="649"/>
      <c r="AZ59" s="649">
        <f t="shared" si="59"/>
        <v>-984280.22838430491</v>
      </c>
      <c r="BC59" s="632">
        <f t="shared" si="50"/>
        <v>417</v>
      </c>
    </row>
    <row r="60" spans="1:55" ht="14.5">
      <c r="A60" s="632">
        <f t="shared" si="51"/>
        <v>418</v>
      </c>
      <c r="B60" s="666" t="s">
        <v>1524</v>
      </c>
      <c r="F60" s="664">
        <v>-1300270.1541934409</v>
      </c>
      <c r="G60" s="649"/>
      <c r="H60" s="664">
        <v>-780162.11054283439</v>
      </c>
      <c r="I60" s="649"/>
      <c r="J60" s="664">
        <v>-520108.04365060659</v>
      </c>
      <c r="L60" s="675"/>
      <c r="N60" s="649">
        <v>0</v>
      </c>
      <c r="O60" s="649"/>
      <c r="P60" s="649">
        <f t="shared" si="60"/>
        <v>-520108.04365060659</v>
      </c>
      <c r="Q60" s="649"/>
      <c r="R60" s="649">
        <v>0</v>
      </c>
      <c r="S60" s="649"/>
      <c r="T60" s="649">
        <f t="shared" si="61"/>
        <v>-520108.04365060659</v>
      </c>
      <c r="U60" s="649"/>
      <c r="V60" s="649"/>
      <c r="W60" s="649"/>
      <c r="X60" s="649">
        <v>0</v>
      </c>
      <c r="Y60" s="649"/>
      <c r="Z60" s="750">
        <v>-123386.48207461307</v>
      </c>
      <c r="AA60" s="649"/>
      <c r="AB60" s="649">
        <v>0</v>
      </c>
      <c r="AC60" s="649"/>
      <c r="AD60" s="649"/>
      <c r="AE60" s="649"/>
      <c r="AF60" s="648">
        <f t="shared" si="52"/>
        <v>0</v>
      </c>
      <c r="AG60" s="649"/>
      <c r="AH60" s="648">
        <f t="shared" si="53"/>
        <v>-396721.56157599355</v>
      </c>
      <c r="AI60" s="649"/>
      <c r="AJ60" s="648">
        <f t="shared" si="54"/>
        <v>0</v>
      </c>
      <c r="AK60" s="649"/>
      <c r="AL60" s="649">
        <f t="shared" si="55"/>
        <v>-396721.56157599355</v>
      </c>
      <c r="AN60" s="649">
        <v>0</v>
      </c>
      <c r="AO60" s="649"/>
      <c r="AP60" s="664">
        <v>-7469.6848851391997</v>
      </c>
      <c r="AQ60" s="649"/>
      <c r="AR60" s="649">
        <v>0</v>
      </c>
      <c r="AS60" s="649"/>
      <c r="AT60" s="648">
        <f t="shared" si="56"/>
        <v>0</v>
      </c>
      <c r="AU60" s="649"/>
      <c r="AV60" s="648">
        <f t="shared" si="57"/>
        <v>-389251.87669085432</v>
      </c>
      <c r="AW60" s="649"/>
      <c r="AX60" s="648">
        <f t="shared" si="58"/>
        <v>0</v>
      </c>
      <c r="AY60" s="649"/>
      <c r="AZ60" s="649">
        <f t="shared" si="59"/>
        <v>-389251.87669085432</v>
      </c>
      <c r="BC60" s="632">
        <f t="shared" si="50"/>
        <v>418</v>
      </c>
    </row>
    <row r="61" spans="1:55" ht="14.5">
      <c r="A61" s="632">
        <f t="shared" si="51"/>
        <v>419</v>
      </c>
      <c r="B61" s="666" t="s">
        <v>1525</v>
      </c>
      <c r="F61" s="664">
        <v>-9402052.2694172058</v>
      </c>
      <c r="G61" s="649"/>
      <c r="H61" s="664">
        <v>-5641231.3075700132</v>
      </c>
      <c r="I61" s="649"/>
      <c r="J61" s="664">
        <v>-3760820.9618471917</v>
      </c>
      <c r="L61" s="675"/>
      <c r="N61" s="649">
        <v>0</v>
      </c>
      <c r="O61" s="649"/>
      <c r="P61" s="649">
        <f t="shared" si="60"/>
        <v>-3760820.9618471917</v>
      </c>
      <c r="Q61" s="649"/>
      <c r="R61" s="649">
        <v>0</v>
      </c>
      <c r="S61" s="649"/>
      <c r="T61" s="649">
        <f t="shared" si="61"/>
        <v>-3760820.9618471917</v>
      </c>
      <c r="U61" s="649"/>
      <c r="V61" s="649"/>
      <c r="W61" s="649"/>
      <c r="X61" s="649">
        <v>0</v>
      </c>
      <c r="Y61" s="649"/>
      <c r="Z61" s="750">
        <v>-892188.6016946747</v>
      </c>
      <c r="AA61" s="649"/>
      <c r="AB61" s="649">
        <v>0</v>
      </c>
      <c r="AC61" s="649"/>
      <c r="AD61" s="649"/>
      <c r="AE61" s="649"/>
      <c r="AF61" s="648">
        <f t="shared" si="52"/>
        <v>0</v>
      </c>
      <c r="AG61" s="649"/>
      <c r="AH61" s="648">
        <f t="shared" si="53"/>
        <v>-2868632.360152517</v>
      </c>
      <c r="AI61" s="649"/>
      <c r="AJ61" s="648">
        <f t="shared" si="54"/>
        <v>0</v>
      </c>
      <c r="AK61" s="649"/>
      <c r="AL61" s="649">
        <f t="shared" si="55"/>
        <v>-2868632.360152517</v>
      </c>
      <c r="AN61" s="649">
        <v>0</v>
      </c>
      <c r="AO61" s="649"/>
      <c r="AP61" s="664">
        <v>-54012.13812662378</v>
      </c>
      <c r="AQ61" s="649"/>
      <c r="AR61" s="649">
        <v>0</v>
      </c>
      <c r="AS61" s="649"/>
      <c r="AT61" s="648">
        <f t="shared" si="56"/>
        <v>0</v>
      </c>
      <c r="AU61" s="649"/>
      <c r="AV61" s="648">
        <f t="shared" si="57"/>
        <v>-2814620.2220258932</v>
      </c>
      <c r="AW61" s="649"/>
      <c r="AX61" s="648">
        <f t="shared" si="58"/>
        <v>0</v>
      </c>
      <c r="AY61" s="649"/>
      <c r="AZ61" s="649">
        <f t="shared" si="59"/>
        <v>-2814620.2220258932</v>
      </c>
      <c r="BC61" s="632">
        <f t="shared" si="50"/>
        <v>419</v>
      </c>
    </row>
    <row r="62" spans="1:55" ht="14.5">
      <c r="A62" s="632">
        <f t="shared" si="51"/>
        <v>420</v>
      </c>
      <c r="B62" s="666" t="s">
        <v>1526</v>
      </c>
      <c r="F62" s="664">
        <v>-940821.10647100396</v>
      </c>
      <c r="G62" s="649"/>
      <c r="H62" s="664">
        <v>-564492.76789537212</v>
      </c>
      <c r="I62" s="649"/>
      <c r="J62" s="664">
        <v>-376328.33857563185</v>
      </c>
      <c r="L62" s="675"/>
      <c r="N62" s="649">
        <v>0</v>
      </c>
      <c r="O62" s="649"/>
      <c r="P62" s="649">
        <f t="shared" si="60"/>
        <v>-376328.33857563185</v>
      </c>
      <c r="Q62" s="649"/>
      <c r="R62" s="649">
        <v>0</v>
      </c>
      <c r="S62" s="649"/>
      <c r="T62" s="649">
        <f t="shared" si="61"/>
        <v>-376328.33857563185</v>
      </c>
      <c r="U62" s="649"/>
      <c r="V62" s="649"/>
      <c r="W62" s="649"/>
      <c r="X62" s="649">
        <v>0</v>
      </c>
      <c r="Y62" s="649"/>
      <c r="Z62" s="750">
        <v>-89277.276844085893</v>
      </c>
      <c r="AA62" s="649"/>
      <c r="AB62" s="649">
        <v>0</v>
      </c>
      <c r="AC62" s="649"/>
      <c r="AD62" s="649"/>
      <c r="AE62" s="649"/>
      <c r="AF62" s="648">
        <f t="shared" si="52"/>
        <v>0</v>
      </c>
      <c r="AG62" s="649"/>
      <c r="AH62" s="648">
        <f t="shared" si="53"/>
        <v>-287051.06173154595</v>
      </c>
      <c r="AI62" s="649"/>
      <c r="AJ62" s="648">
        <f t="shared" si="54"/>
        <v>0</v>
      </c>
      <c r="AK62" s="649"/>
      <c r="AL62" s="649">
        <f t="shared" si="55"/>
        <v>-287051.06173154595</v>
      </c>
      <c r="AN62" s="649">
        <v>0</v>
      </c>
      <c r="AO62" s="649"/>
      <c r="AP62" s="664">
        <v>-5404.7502952988916</v>
      </c>
      <c r="AQ62" s="649"/>
      <c r="AR62" s="649">
        <v>0</v>
      </c>
      <c r="AS62" s="649"/>
      <c r="AT62" s="648">
        <f t="shared" si="56"/>
        <v>0</v>
      </c>
      <c r="AU62" s="649"/>
      <c r="AV62" s="648">
        <f t="shared" si="57"/>
        <v>-281646.31143624708</v>
      </c>
      <c r="AW62" s="649"/>
      <c r="AX62" s="648">
        <f t="shared" si="58"/>
        <v>0</v>
      </c>
      <c r="AY62" s="649"/>
      <c r="AZ62" s="649">
        <f t="shared" si="59"/>
        <v>-281646.31143624708</v>
      </c>
      <c r="BC62" s="632">
        <f t="shared" si="50"/>
        <v>420</v>
      </c>
    </row>
    <row r="63" spans="1:55" ht="14.5">
      <c r="A63" s="632">
        <f t="shared" si="51"/>
        <v>421</v>
      </c>
      <c r="B63" s="666" t="s">
        <v>1527</v>
      </c>
      <c r="F63" s="664">
        <v>-97065.292183923128</v>
      </c>
      <c r="G63" s="649"/>
      <c r="H63" s="664">
        <v>-58239.170803661436</v>
      </c>
      <c r="I63" s="649"/>
      <c r="J63" s="664">
        <v>-38826.121380261699</v>
      </c>
      <c r="L63" s="675"/>
      <c r="N63" s="649">
        <v>0</v>
      </c>
      <c r="O63" s="649"/>
      <c r="P63" s="649">
        <f t="shared" si="60"/>
        <v>-38826.121380261699</v>
      </c>
      <c r="Q63" s="649"/>
      <c r="R63" s="649">
        <v>0</v>
      </c>
      <c r="S63" s="649"/>
      <c r="T63" s="649">
        <f t="shared" si="61"/>
        <v>-38826.121380261699</v>
      </c>
      <c r="U63" s="649"/>
      <c r="V63" s="649"/>
      <c r="W63" s="649"/>
      <c r="X63" s="649">
        <v>0</v>
      </c>
      <c r="Y63" s="649"/>
      <c r="Z63" s="750">
        <v>-9210.8141533196685</v>
      </c>
      <c r="AA63" s="649"/>
      <c r="AB63" s="649">
        <v>0</v>
      </c>
      <c r="AC63" s="649"/>
      <c r="AD63" s="649"/>
      <c r="AE63" s="649"/>
      <c r="AF63" s="648">
        <f t="shared" si="52"/>
        <v>0</v>
      </c>
      <c r="AG63" s="649"/>
      <c r="AH63" s="648">
        <f t="shared" si="53"/>
        <v>-29615.30722694203</v>
      </c>
      <c r="AI63" s="649"/>
      <c r="AJ63" s="648">
        <f t="shared" si="54"/>
        <v>0</v>
      </c>
      <c r="AK63" s="649"/>
      <c r="AL63" s="649">
        <f t="shared" si="55"/>
        <v>-29615.30722694203</v>
      </c>
      <c r="AN63" s="649">
        <v>0</v>
      </c>
      <c r="AO63" s="649"/>
      <c r="AP63" s="664">
        <v>-557.61277981224032</v>
      </c>
      <c r="AQ63" s="649"/>
      <c r="AR63" s="649">
        <v>0</v>
      </c>
      <c r="AS63" s="649"/>
      <c r="AT63" s="648">
        <f t="shared" si="56"/>
        <v>0</v>
      </c>
      <c r="AU63" s="649"/>
      <c r="AV63" s="648">
        <f t="shared" si="57"/>
        <v>-29057.69444712979</v>
      </c>
      <c r="AW63" s="649"/>
      <c r="AX63" s="648">
        <f t="shared" si="58"/>
        <v>0</v>
      </c>
      <c r="AY63" s="649"/>
      <c r="AZ63" s="649">
        <f t="shared" si="59"/>
        <v>-29057.69444712979</v>
      </c>
      <c r="BC63" s="632">
        <f t="shared" si="50"/>
        <v>421</v>
      </c>
    </row>
    <row r="64" spans="1:55" ht="14.5">
      <c r="A64" s="632">
        <f t="shared" si="51"/>
        <v>422</v>
      </c>
      <c r="B64" s="666" t="s">
        <v>1528</v>
      </c>
      <c r="F64" s="664">
        <v>-261.08771586334626</v>
      </c>
      <c r="G64" s="649"/>
      <c r="H64" s="664">
        <v>-156.63009605576406</v>
      </c>
      <c r="I64" s="649"/>
      <c r="J64" s="664">
        <v>-104.45761980758219</v>
      </c>
      <c r="L64" s="675"/>
      <c r="N64" s="649">
        <v>0</v>
      </c>
      <c r="O64" s="649"/>
      <c r="P64" s="649">
        <f t="shared" si="60"/>
        <v>-104.45761980758219</v>
      </c>
      <c r="Q64" s="649"/>
      <c r="R64" s="649">
        <v>0</v>
      </c>
      <c r="S64" s="649"/>
      <c r="T64" s="649">
        <f t="shared" si="61"/>
        <v>-104.45761980758219</v>
      </c>
      <c r="U64" s="649"/>
      <c r="V64" s="649"/>
      <c r="W64" s="649"/>
      <c r="X64" s="649">
        <v>0</v>
      </c>
      <c r="Y64" s="649"/>
      <c r="Z64" s="750">
        <v>-24.780732371451673</v>
      </c>
      <c r="AA64" s="649"/>
      <c r="AB64" s="649">
        <v>0</v>
      </c>
      <c r="AC64" s="649"/>
      <c r="AD64" s="649"/>
      <c r="AE64" s="649"/>
      <c r="AF64" s="648">
        <f t="shared" si="52"/>
        <v>0</v>
      </c>
      <c r="AG64" s="649"/>
      <c r="AH64" s="648">
        <f t="shared" si="53"/>
        <v>-79.676887436130514</v>
      </c>
      <c r="AI64" s="649"/>
      <c r="AJ64" s="648">
        <f t="shared" si="54"/>
        <v>0</v>
      </c>
      <c r="AK64" s="649"/>
      <c r="AL64" s="649">
        <f t="shared" si="55"/>
        <v>-79.676887436130514</v>
      </c>
      <c r="AN64" s="649">
        <v>0</v>
      </c>
      <c r="AO64" s="649"/>
      <c r="AP64" s="664">
        <v>-1.5001988785593046</v>
      </c>
      <c r="AQ64" s="649"/>
      <c r="AR64" s="649">
        <v>0</v>
      </c>
      <c r="AS64" s="649"/>
      <c r="AT64" s="648">
        <f t="shared" si="56"/>
        <v>0</v>
      </c>
      <c r="AU64" s="649"/>
      <c r="AV64" s="648">
        <f t="shared" si="57"/>
        <v>-78.176688557571211</v>
      </c>
      <c r="AW64" s="649"/>
      <c r="AX64" s="648">
        <f t="shared" si="58"/>
        <v>0</v>
      </c>
      <c r="AY64" s="649"/>
      <c r="AZ64" s="649">
        <f t="shared" si="59"/>
        <v>-78.176688557571211</v>
      </c>
      <c r="BC64" s="632">
        <f t="shared" si="50"/>
        <v>422</v>
      </c>
    </row>
    <row r="65" spans="1:55" ht="14.5">
      <c r="A65" s="632">
        <f t="shared" si="51"/>
        <v>423</v>
      </c>
      <c r="B65" s="666" t="s">
        <v>1529</v>
      </c>
      <c r="F65" s="664">
        <v>371735.72841851</v>
      </c>
      <c r="G65" s="649"/>
      <c r="H65" s="664">
        <v>223041.47761133805</v>
      </c>
      <c r="I65" s="649"/>
      <c r="J65" s="664">
        <v>148694.25080717195</v>
      </c>
      <c r="L65" s="675"/>
      <c r="N65" s="649">
        <v>0</v>
      </c>
      <c r="O65" s="649"/>
      <c r="P65" s="649">
        <f t="shared" si="60"/>
        <v>148694.25080717195</v>
      </c>
      <c r="Q65" s="649"/>
      <c r="R65" s="649">
        <v>0</v>
      </c>
      <c r="S65" s="649"/>
      <c r="T65" s="649">
        <f t="shared" si="61"/>
        <v>148694.25080717195</v>
      </c>
      <c r="U65" s="649"/>
      <c r="V65" s="649"/>
      <c r="W65" s="649"/>
      <c r="X65" s="649">
        <v>0</v>
      </c>
      <c r="Y65" s="649"/>
      <c r="Z65" s="750">
        <v>35275.094734243379</v>
      </c>
      <c r="AA65" s="649"/>
      <c r="AB65" s="649">
        <v>0</v>
      </c>
      <c r="AC65" s="649"/>
      <c r="AD65" s="649"/>
      <c r="AE65" s="649"/>
      <c r="AF65" s="648">
        <f t="shared" si="52"/>
        <v>0</v>
      </c>
      <c r="AG65" s="649"/>
      <c r="AH65" s="648">
        <f t="shared" si="53"/>
        <v>113419.15607292857</v>
      </c>
      <c r="AI65" s="649"/>
      <c r="AJ65" s="648">
        <f t="shared" si="54"/>
        <v>0</v>
      </c>
      <c r="AK65" s="649"/>
      <c r="AL65" s="649">
        <f t="shared" si="55"/>
        <v>113419.15607292857</v>
      </c>
      <c r="AN65" s="649">
        <v>0</v>
      </c>
      <c r="AO65" s="649"/>
      <c r="AP65" s="664">
        <v>2135.5162861268204</v>
      </c>
      <c r="AQ65" s="649"/>
      <c r="AR65" s="649">
        <v>0</v>
      </c>
      <c r="AS65" s="649"/>
      <c r="AT65" s="648">
        <f t="shared" si="56"/>
        <v>0</v>
      </c>
      <c r="AU65" s="649"/>
      <c r="AV65" s="648">
        <f t="shared" si="57"/>
        <v>111283.63978680175</v>
      </c>
      <c r="AW65" s="649"/>
      <c r="AX65" s="648">
        <f t="shared" si="58"/>
        <v>0</v>
      </c>
      <c r="AY65" s="649"/>
      <c r="AZ65" s="649">
        <f t="shared" si="59"/>
        <v>111283.63978680175</v>
      </c>
      <c r="BC65" s="632">
        <f t="shared" si="50"/>
        <v>423</v>
      </c>
    </row>
    <row r="66" spans="1:55" ht="14.5">
      <c r="A66" s="632">
        <f t="shared" si="51"/>
        <v>424</v>
      </c>
      <c r="B66" s="666" t="s">
        <v>1530</v>
      </c>
      <c r="F66" s="664">
        <v>39627.125800000002</v>
      </c>
      <c r="G66" s="649"/>
      <c r="H66" s="664">
        <v>23771.092473216002</v>
      </c>
      <c r="I66" s="649"/>
      <c r="J66" s="664">
        <v>15856.033326784</v>
      </c>
      <c r="L66" s="675"/>
      <c r="N66" s="649">
        <v>0</v>
      </c>
      <c r="O66" s="649"/>
      <c r="P66" s="649">
        <f t="shared" si="60"/>
        <v>15856.033326784</v>
      </c>
      <c r="Q66" s="649"/>
      <c r="R66" s="649">
        <v>0</v>
      </c>
      <c r="S66" s="649"/>
      <c r="T66" s="649">
        <f t="shared" si="61"/>
        <v>15856.033326784</v>
      </c>
      <c r="U66" s="649"/>
      <c r="V66" s="649"/>
      <c r="W66" s="649"/>
      <c r="X66" s="649">
        <v>0</v>
      </c>
      <c r="Y66" s="649"/>
      <c r="Z66" s="750">
        <v>3761.5649204686542</v>
      </c>
      <c r="AA66" s="649"/>
      <c r="AB66" s="649">
        <v>0</v>
      </c>
      <c r="AC66" s="649"/>
      <c r="AD66" s="649"/>
      <c r="AE66" s="649"/>
      <c r="AF66" s="648">
        <f t="shared" si="52"/>
        <v>0</v>
      </c>
      <c r="AG66" s="649"/>
      <c r="AH66" s="648">
        <f t="shared" si="53"/>
        <v>12094.468406315345</v>
      </c>
      <c r="AI66" s="649"/>
      <c r="AJ66" s="648">
        <f t="shared" si="54"/>
        <v>0</v>
      </c>
      <c r="AK66" s="649"/>
      <c r="AL66" s="649">
        <f t="shared" si="55"/>
        <v>12094.468406315345</v>
      </c>
      <c r="AN66" s="649">
        <v>0</v>
      </c>
      <c r="AO66" s="649"/>
      <c r="AP66" s="664">
        <v>227.72109357898356</v>
      </c>
      <c r="AQ66" s="649"/>
      <c r="AR66" s="649">
        <v>0</v>
      </c>
      <c r="AS66" s="649"/>
      <c r="AT66" s="648">
        <f t="shared" si="56"/>
        <v>0</v>
      </c>
      <c r="AU66" s="649"/>
      <c r="AV66" s="648">
        <f t="shared" si="57"/>
        <v>11866.747312736361</v>
      </c>
      <c r="AW66" s="649"/>
      <c r="AX66" s="648">
        <f t="shared" si="58"/>
        <v>0</v>
      </c>
      <c r="AY66" s="649"/>
      <c r="AZ66" s="649">
        <f t="shared" si="59"/>
        <v>11866.747312736361</v>
      </c>
      <c r="BC66" s="632">
        <f t="shared" si="50"/>
        <v>424</v>
      </c>
    </row>
    <row r="67" spans="1:55" ht="14.5">
      <c r="A67" s="632">
        <f t="shared" si="51"/>
        <v>425</v>
      </c>
      <c r="B67" s="666" t="s">
        <v>1531</v>
      </c>
      <c r="F67" s="664">
        <v>4858877.9765368579</v>
      </c>
      <c r="G67" s="649"/>
      <c r="H67" s="664">
        <v>2914698.7054959484</v>
      </c>
      <c r="I67" s="649"/>
      <c r="J67" s="664">
        <v>1944179.2710409102</v>
      </c>
      <c r="L67" s="675"/>
      <c r="N67" s="649">
        <v>0</v>
      </c>
      <c r="O67" s="649"/>
      <c r="P67" s="649">
        <f t="shared" si="60"/>
        <v>1944179.2710409102</v>
      </c>
      <c r="Q67" s="649"/>
      <c r="R67" s="649">
        <v>0</v>
      </c>
      <c r="S67" s="649"/>
      <c r="T67" s="649">
        <f t="shared" si="61"/>
        <v>1944179.2710409102</v>
      </c>
      <c r="U67" s="649"/>
      <c r="V67" s="649"/>
      <c r="W67" s="649"/>
      <c r="X67" s="649">
        <v>0</v>
      </c>
      <c r="Y67" s="649"/>
      <c r="Z67" s="750">
        <v>461222.32429320319</v>
      </c>
      <c r="AA67" s="649"/>
      <c r="AB67" s="649">
        <v>0</v>
      </c>
      <c r="AC67" s="649"/>
      <c r="AD67" s="649"/>
      <c r="AE67" s="649"/>
      <c r="AF67" s="648">
        <f t="shared" si="52"/>
        <v>0</v>
      </c>
      <c r="AG67" s="649"/>
      <c r="AH67" s="648">
        <f t="shared" si="53"/>
        <v>1482956.946747707</v>
      </c>
      <c r="AI67" s="649"/>
      <c r="AJ67" s="648">
        <f t="shared" si="54"/>
        <v>0</v>
      </c>
      <c r="AK67" s="649"/>
      <c r="AL67" s="649">
        <f t="shared" si="55"/>
        <v>1482956.946747707</v>
      </c>
      <c r="AN67" s="649">
        <v>0</v>
      </c>
      <c r="AO67" s="649"/>
      <c r="AP67" s="664">
        <v>27921.903327938078</v>
      </c>
      <c r="AQ67" s="649"/>
      <c r="AR67" s="649">
        <v>0</v>
      </c>
      <c r="AS67" s="649"/>
      <c r="AT67" s="648">
        <f t="shared" si="56"/>
        <v>0</v>
      </c>
      <c r="AU67" s="649"/>
      <c r="AV67" s="648">
        <f t="shared" si="57"/>
        <v>1455035.0434197688</v>
      </c>
      <c r="AW67" s="649"/>
      <c r="AX67" s="648">
        <f t="shared" si="58"/>
        <v>0</v>
      </c>
      <c r="AY67" s="649"/>
      <c r="AZ67" s="649">
        <f t="shared" si="59"/>
        <v>1455035.0434197688</v>
      </c>
      <c r="BC67" s="632">
        <f t="shared" si="50"/>
        <v>425</v>
      </c>
    </row>
    <row r="68" spans="1:55" ht="14.5">
      <c r="A68" s="632">
        <f t="shared" si="51"/>
        <v>426</v>
      </c>
      <c r="B68" s="666" t="s">
        <v>1532</v>
      </c>
      <c r="F68" s="664">
        <v>1290770.57171274</v>
      </c>
      <c r="G68" s="649"/>
      <c r="H68" s="664">
        <v>774295.40260003391</v>
      </c>
      <c r="I68" s="649"/>
      <c r="J68" s="664">
        <v>516475.16911270609</v>
      </c>
      <c r="L68" s="675"/>
      <c r="N68" s="649">
        <v>0</v>
      </c>
      <c r="O68" s="649"/>
      <c r="P68" s="649">
        <f t="shared" si="60"/>
        <v>516475.16911270609</v>
      </c>
      <c r="Q68" s="649"/>
      <c r="R68" s="649">
        <v>0</v>
      </c>
      <c r="S68" s="649"/>
      <c r="T68" s="649">
        <f t="shared" si="61"/>
        <v>516475.16911270609</v>
      </c>
      <c r="U68" s="649"/>
      <c r="V68" s="649"/>
      <c r="W68" s="649"/>
      <c r="X68" s="649">
        <v>0</v>
      </c>
      <c r="Y68" s="649"/>
      <c r="Z68" s="750">
        <v>122524.64651078722</v>
      </c>
      <c r="AA68" s="649"/>
      <c r="AB68" s="649">
        <v>0</v>
      </c>
      <c r="AC68" s="649"/>
      <c r="AD68" s="649"/>
      <c r="AE68" s="649"/>
      <c r="AF68" s="648">
        <f t="shared" si="52"/>
        <v>0</v>
      </c>
      <c r="AG68" s="649"/>
      <c r="AH68" s="648">
        <f t="shared" si="53"/>
        <v>393950.5226019189</v>
      </c>
      <c r="AI68" s="649"/>
      <c r="AJ68" s="648">
        <f t="shared" si="54"/>
        <v>0</v>
      </c>
      <c r="AK68" s="649"/>
      <c r="AL68" s="649">
        <f t="shared" si="55"/>
        <v>393950.5226019189</v>
      </c>
      <c r="AN68" s="649">
        <v>0</v>
      </c>
      <c r="AO68" s="649"/>
      <c r="AP68" s="664">
        <v>7417.5102872712396</v>
      </c>
      <c r="AQ68" s="649"/>
      <c r="AR68" s="649">
        <v>0</v>
      </c>
      <c r="AS68" s="649"/>
      <c r="AT68" s="648">
        <f t="shared" si="56"/>
        <v>0</v>
      </c>
      <c r="AU68" s="649"/>
      <c r="AV68" s="648">
        <f t="shared" si="57"/>
        <v>386533.01231464767</v>
      </c>
      <c r="AW68" s="649"/>
      <c r="AX68" s="648">
        <f t="shared" si="58"/>
        <v>0</v>
      </c>
      <c r="AY68" s="649"/>
      <c r="AZ68" s="649">
        <f t="shared" si="59"/>
        <v>386533.01231464767</v>
      </c>
      <c r="BC68" s="632">
        <f t="shared" si="50"/>
        <v>426</v>
      </c>
    </row>
    <row r="69" spans="1:55" ht="14.5">
      <c r="A69" s="632">
        <f t="shared" si="51"/>
        <v>427</v>
      </c>
      <c r="B69" s="666" t="s">
        <v>1533</v>
      </c>
      <c r="F69" s="664">
        <v>1949491.3032683765</v>
      </c>
      <c r="G69" s="649"/>
      <c r="H69" s="664">
        <v>1169442.4782304987</v>
      </c>
      <c r="I69" s="649"/>
      <c r="J69" s="664">
        <v>780048.82503787789</v>
      </c>
      <c r="L69" s="675"/>
      <c r="N69" s="649">
        <v>0</v>
      </c>
      <c r="O69" s="649"/>
      <c r="P69" s="649">
        <f t="shared" si="60"/>
        <v>780048.82503787789</v>
      </c>
      <c r="Q69" s="649"/>
      <c r="R69" s="649">
        <v>0</v>
      </c>
      <c r="S69" s="649"/>
      <c r="T69" s="649">
        <f t="shared" si="61"/>
        <v>780048.82503787789</v>
      </c>
      <c r="U69" s="649"/>
      <c r="V69" s="649"/>
      <c r="W69" s="649"/>
      <c r="X69" s="649">
        <v>0</v>
      </c>
      <c r="Y69" s="649"/>
      <c r="Z69" s="750">
        <v>185052.85881045775</v>
      </c>
      <c r="AA69" s="649"/>
      <c r="AB69" s="649">
        <v>0</v>
      </c>
      <c r="AC69" s="649"/>
      <c r="AD69" s="649"/>
      <c r="AE69" s="649"/>
      <c r="AF69" s="648">
        <f t="shared" si="52"/>
        <v>0</v>
      </c>
      <c r="AG69" s="649"/>
      <c r="AH69" s="648">
        <f t="shared" si="53"/>
        <v>594995.96622742014</v>
      </c>
      <c r="AI69" s="649"/>
      <c r="AJ69" s="648">
        <f t="shared" si="54"/>
        <v>0</v>
      </c>
      <c r="AK69" s="649"/>
      <c r="AL69" s="649">
        <f t="shared" si="55"/>
        <v>594995.96622742014</v>
      </c>
      <c r="AN69" s="649">
        <v>0</v>
      </c>
      <c r="AO69" s="649"/>
      <c r="AP69" s="664">
        <v>11202.900991799021</v>
      </c>
      <c r="AQ69" s="649"/>
      <c r="AR69" s="649">
        <v>0</v>
      </c>
      <c r="AS69" s="649"/>
      <c r="AT69" s="648">
        <f t="shared" si="56"/>
        <v>0</v>
      </c>
      <c r="AU69" s="649"/>
      <c r="AV69" s="648">
        <f t="shared" si="57"/>
        <v>583793.06523562106</v>
      </c>
      <c r="AW69" s="649"/>
      <c r="AX69" s="648">
        <f t="shared" si="58"/>
        <v>0</v>
      </c>
      <c r="AY69" s="649"/>
      <c r="AZ69" s="649">
        <f t="shared" si="59"/>
        <v>583793.06523562106</v>
      </c>
      <c r="BC69" s="632">
        <f t="shared" si="50"/>
        <v>427</v>
      </c>
    </row>
    <row r="70" spans="1:55" ht="14.5">
      <c r="A70" s="632">
        <f t="shared" si="51"/>
        <v>428</v>
      </c>
      <c r="B70" s="666" t="s">
        <v>1534</v>
      </c>
      <c r="F70" s="664">
        <v>46022.343286475691</v>
      </c>
      <c r="G70" s="649"/>
      <c r="H70" s="664">
        <v>27769.044679727383</v>
      </c>
      <c r="I70" s="649"/>
      <c r="J70" s="664">
        <v>18253.298606748307</v>
      </c>
      <c r="L70" s="675"/>
      <c r="N70" s="649">
        <v>0</v>
      </c>
      <c r="O70" s="649"/>
      <c r="P70" s="649">
        <f t="shared" si="60"/>
        <v>18253.298606748307</v>
      </c>
      <c r="Q70" s="649"/>
      <c r="R70" s="649">
        <v>0</v>
      </c>
      <c r="S70" s="649"/>
      <c r="T70" s="649">
        <f t="shared" si="61"/>
        <v>18253.298606748307</v>
      </c>
      <c r="U70" s="649"/>
      <c r="V70" s="649"/>
      <c r="W70" s="649"/>
      <c r="X70" s="649">
        <v>0</v>
      </c>
      <c r="Y70" s="649"/>
      <c r="Z70" s="750">
        <v>4330.273928347624</v>
      </c>
      <c r="AA70" s="649"/>
      <c r="AB70" s="649">
        <v>0</v>
      </c>
      <c r="AC70" s="649"/>
      <c r="AD70" s="649"/>
      <c r="AE70" s="649"/>
      <c r="AF70" s="648">
        <f t="shared" si="52"/>
        <v>0</v>
      </c>
      <c r="AG70" s="649"/>
      <c r="AH70" s="648">
        <f t="shared" si="53"/>
        <v>13923.024678400683</v>
      </c>
      <c r="AI70" s="649"/>
      <c r="AJ70" s="648">
        <f t="shared" si="54"/>
        <v>0</v>
      </c>
      <c r="AK70" s="649"/>
      <c r="AL70" s="649">
        <f t="shared" si="55"/>
        <v>13923.024678400683</v>
      </c>
      <c r="AN70" s="649">
        <v>0</v>
      </c>
      <c r="AO70" s="649"/>
      <c r="AP70" s="664">
        <v>262.15012509661125</v>
      </c>
      <c r="AQ70" s="649"/>
      <c r="AR70" s="649">
        <v>0</v>
      </c>
      <c r="AS70" s="649"/>
      <c r="AT70" s="648">
        <f t="shared" si="56"/>
        <v>0</v>
      </c>
      <c r="AU70" s="649"/>
      <c r="AV70" s="648">
        <f t="shared" si="57"/>
        <v>13660.874553304071</v>
      </c>
      <c r="AW70" s="649"/>
      <c r="AX70" s="648">
        <f t="shared" si="58"/>
        <v>0</v>
      </c>
      <c r="AY70" s="649"/>
      <c r="AZ70" s="649">
        <f t="shared" si="59"/>
        <v>13660.874553304071</v>
      </c>
      <c r="BC70" s="632">
        <f t="shared" si="50"/>
        <v>428</v>
      </c>
    </row>
    <row r="71" spans="1:55" ht="14.5">
      <c r="A71" s="632">
        <f t="shared" si="51"/>
        <v>429</v>
      </c>
      <c r="B71" s="666" t="s">
        <v>1535</v>
      </c>
      <c r="F71" s="664">
        <v>10.21516955046464</v>
      </c>
      <c r="G71" s="649"/>
      <c r="H71" s="664">
        <v>6.1868835363948245</v>
      </c>
      <c r="I71" s="649"/>
      <c r="J71" s="664">
        <v>4.028286014069816</v>
      </c>
      <c r="L71" s="675"/>
      <c r="N71" s="649">
        <v>0</v>
      </c>
      <c r="O71" s="649"/>
      <c r="P71" s="649">
        <f t="shared" si="60"/>
        <v>4.028286014069816</v>
      </c>
      <c r="Q71" s="649"/>
      <c r="R71" s="649">
        <v>0</v>
      </c>
      <c r="S71" s="649"/>
      <c r="T71" s="649">
        <f t="shared" si="61"/>
        <v>4.028286014069816</v>
      </c>
      <c r="U71" s="649"/>
      <c r="V71" s="649"/>
      <c r="W71" s="649"/>
      <c r="X71" s="649">
        <v>0</v>
      </c>
      <c r="Y71" s="649"/>
      <c r="Z71" s="750">
        <v>0.95563997929694433</v>
      </c>
      <c r="AA71" s="649"/>
      <c r="AB71" s="649">
        <v>0</v>
      </c>
      <c r="AC71" s="649"/>
      <c r="AD71" s="649"/>
      <c r="AE71" s="649"/>
      <c r="AF71" s="648">
        <f t="shared" si="52"/>
        <v>0</v>
      </c>
      <c r="AG71" s="649"/>
      <c r="AH71" s="648">
        <f t="shared" si="53"/>
        <v>3.0726460347728715</v>
      </c>
      <c r="AI71" s="649"/>
      <c r="AJ71" s="648">
        <f t="shared" si="54"/>
        <v>0</v>
      </c>
      <c r="AK71" s="649"/>
      <c r="AL71" s="649">
        <f t="shared" si="55"/>
        <v>3.0726460347728715</v>
      </c>
      <c r="AN71" s="649">
        <v>0</v>
      </c>
      <c r="AO71" s="649"/>
      <c r="AP71" s="664">
        <v>5.7853416265426068E-2</v>
      </c>
      <c r="AQ71" s="649"/>
      <c r="AR71" s="649">
        <v>0</v>
      </c>
      <c r="AS71" s="649"/>
      <c r="AT71" s="648">
        <f t="shared" si="56"/>
        <v>0</v>
      </c>
      <c r="AU71" s="649"/>
      <c r="AV71" s="648">
        <f t="shared" si="57"/>
        <v>3.0147926185074452</v>
      </c>
      <c r="AW71" s="649"/>
      <c r="AX71" s="648">
        <f t="shared" si="58"/>
        <v>0</v>
      </c>
      <c r="AY71" s="649"/>
      <c r="AZ71" s="649">
        <f t="shared" si="59"/>
        <v>3.0147926185074452</v>
      </c>
      <c r="BC71" s="632">
        <f t="shared" si="50"/>
        <v>429</v>
      </c>
    </row>
    <row r="72" spans="1:55" ht="14.5">
      <c r="A72" s="632">
        <f t="shared" si="51"/>
        <v>430</v>
      </c>
      <c r="B72" s="666" t="s">
        <v>1536</v>
      </c>
      <c r="F72" s="664">
        <v>79588.641600000003</v>
      </c>
      <c r="G72" s="649"/>
      <c r="H72" s="664">
        <v>47742.789596543997</v>
      </c>
      <c r="I72" s="649"/>
      <c r="J72" s="664">
        <v>31845.852003456002</v>
      </c>
      <c r="L72" s="675"/>
      <c r="N72" s="649">
        <v>0</v>
      </c>
      <c r="O72" s="649"/>
      <c r="P72" s="649">
        <f t="shared" si="60"/>
        <v>31845.852003456002</v>
      </c>
      <c r="Q72" s="649"/>
      <c r="R72" s="649">
        <v>0</v>
      </c>
      <c r="S72" s="649"/>
      <c r="T72" s="649">
        <f t="shared" si="61"/>
        <v>31845.852003456002</v>
      </c>
      <c r="U72" s="649"/>
      <c r="V72" s="649"/>
      <c r="W72" s="649"/>
      <c r="X72" s="649">
        <v>0</v>
      </c>
      <c r="Y72" s="649"/>
      <c r="Z72" s="750">
        <v>7554.8680612500302</v>
      </c>
      <c r="AA72" s="649"/>
      <c r="AB72" s="649">
        <v>0</v>
      </c>
      <c r="AC72" s="649"/>
      <c r="AD72" s="649"/>
      <c r="AE72" s="649"/>
      <c r="AF72" s="648">
        <f t="shared" si="52"/>
        <v>0</v>
      </c>
      <c r="AG72" s="649"/>
      <c r="AH72" s="648">
        <f t="shared" si="53"/>
        <v>24290.983942205974</v>
      </c>
      <c r="AI72" s="649"/>
      <c r="AJ72" s="648">
        <f t="shared" si="54"/>
        <v>0</v>
      </c>
      <c r="AK72" s="649"/>
      <c r="AL72" s="649">
        <f t="shared" si="55"/>
        <v>24290.983942205974</v>
      </c>
      <c r="AN72" s="649">
        <v>0</v>
      </c>
      <c r="AO72" s="649"/>
      <c r="AP72" s="664">
        <v>457.36358487159845</v>
      </c>
      <c r="AQ72" s="649"/>
      <c r="AR72" s="649">
        <v>0</v>
      </c>
      <c r="AS72" s="649"/>
      <c r="AT72" s="648">
        <f t="shared" si="56"/>
        <v>0</v>
      </c>
      <c r="AU72" s="649"/>
      <c r="AV72" s="648">
        <f t="shared" si="57"/>
        <v>23833.620357334377</v>
      </c>
      <c r="AW72" s="649"/>
      <c r="AX72" s="648">
        <f t="shared" si="58"/>
        <v>0</v>
      </c>
      <c r="AY72" s="649"/>
      <c r="AZ72" s="649">
        <f t="shared" si="59"/>
        <v>23833.620357334377</v>
      </c>
      <c r="BC72" s="632">
        <f t="shared" si="50"/>
        <v>430</v>
      </c>
    </row>
    <row r="73" spans="1:55" ht="14.5">
      <c r="A73" s="632">
        <f t="shared" si="51"/>
        <v>431</v>
      </c>
      <c r="B73" s="666" t="s">
        <v>1537</v>
      </c>
      <c r="F73" s="664">
        <v>138316.12419999999</v>
      </c>
      <c r="G73" s="649"/>
      <c r="H73" s="664">
        <v>82971.771394048003</v>
      </c>
      <c r="I73" s="649"/>
      <c r="J73" s="664">
        <v>55344.352805952003</v>
      </c>
      <c r="L73" s="675"/>
      <c r="N73" s="649">
        <v>0</v>
      </c>
      <c r="O73" s="649"/>
      <c r="P73" s="649">
        <f t="shared" si="60"/>
        <v>55344.352805952003</v>
      </c>
      <c r="Q73" s="649"/>
      <c r="R73" s="649">
        <v>0</v>
      </c>
      <c r="S73" s="649"/>
      <c r="T73" s="649">
        <f t="shared" si="61"/>
        <v>55344.352805952003</v>
      </c>
      <c r="U73" s="649"/>
      <c r="V73" s="649"/>
      <c r="W73" s="649"/>
      <c r="X73" s="649">
        <v>0</v>
      </c>
      <c r="Y73" s="649"/>
      <c r="Z73" s="750">
        <v>13129.473921403165</v>
      </c>
      <c r="AA73" s="649"/>
      <c r="AB73" s="649">
        <v>0</v>
      </c>
      <c r="AC73" s="649"/>
      <c r="AD73" s="649"/>
      <c r="AE73" s="649"/>
      <c r="AF73" s="648">
        <f t="shared" si="52"/>
        <v>0</v>
      </c>
      <c r="AG73" s="649"/>
      <c r="AH73" s="648">
        <f t="shared" si="53"/>
        <v>42214.878884548838</v>
      </c>
      <c r="AI73" s="649"/>
      <c r="AJ73" s="648">
        <f t="shared" si="54"/>
        <v>0</v>
      </c>
      <c r="AK73" s="649"/>
      <c r="AL73" s="649">
        <f t="shared" si="55"/>
        <v>42214.878884548838</v>
      </c>
      <c r="AN73" s="649">
        <v>0</v>
      </c>
      <c r="AO73" s="649"/>
      <c r="AP73" s="664">
        <v>794.84422646257758</v>
      </c>
      <c r="AQ73" s="649"/>
      <c r="AR73" s="649">
        <v>0</v>
      </c>
      <c r="AS73" s="649"/>
      <c r="AT73" s="648">
        <f t="shared" si="56"/>
        <v>0</v>
      </c>
      <c r="AU73" s="649"/>
      <c r="AV73" s="648">
        <f t="shared" si="57"/>
        <v>41420.034658086261</v>
      </c>
      <c r="AW73" s="649"/>
      <c r="AX73" s="648">
        <f t="shared" si="58"/>
        <v>0</v>
      </c>
      <c r="AY73" s="649"/>
      <c r="AZ73" s="649">
        <f t="shared" si="59"/>
        <v>41420.034658086261</v>
      </c>
      <c r="BC73" s="632">
        <f t="shared" si="50"/>
        <v>431</v>
      </c>
    </row>
    <row r="74" spans="1:55" ht="14.5">
      <c r="A74" s="632">
        <f t="shared" si="51"/>
        <v>432</v>
      </c>
      <c r="B74" s="666" t="s">
        <v>1538</v>
      </c>
      <c r="F74" s="664">
        <v>42824.849600000001</v>
      </c>
      <c r="G74" s="649"/>
      <c r="H74" s="664">
        <v>25839.92877952</v>
      </c>
      <c r="I74" s="649"/>
      <c r="J74" s="664">
        <v>16984.920820480002</v>
      </c>
      <c r="L74" s="675"/>
      <c r="N74" s="649">
        <v>0</v>
      </c>
      <c r="O74" s="649"/>
      <c r="P74" s="649">
        <f t="shared" si="60"/>
        <v>16984.920820480002</v>
      </c>
      <c r="Q74" s="649"/>
      <c r="R74" s="649">
        <v>0</v>
      </c>
      <c r="S74" s="649"/>
      <c r="T74" s="649">
        <f t="shared" si="61"/>
        <v>16984.920820480002</v>
      </c>
      <c r="U74" s="649"/>
      <c r="V74" s="649"/>
      <c r="W74" s="649"/>
      <c r="X74" s="649">
        <v>0</v>
      </c>
      <c r="Y74" s="649"/>
      <c r="Z74" s="750">
        <v>4029.3736156149789</v>
      </c>
      <c r="AA74" s="649"/>
      <c r="AB74" s="649">
        <v>0</v>
      </c>
      <c r="AC74" s="649"/>
      <c r="AD74" s="649"/>
      <c r="AE74" s="649"/>
      <c r="AF74" s="648">
        <f t="shared" si="52"/>
        <v>0</v>
      </c>
      <c r="AG74" s="649"/>
      <c r="AH74" s="648">
        <f t="shared" si="53"/>
        <v>12955.547204865023</v>
      </c>
      <c r="AI74" s="649"/>
      <c r="AJ74" s="648">
        <f t="shared" si="54"/>
        <v>0</v>
      </c>
      <c r="AK74" s="649"/>
      <c r="AL74" s="649">
        <f t="shared" si="55"/>
        <v>12955.547204865023</v>
      </c>
      <c r="AN74" s="649">
        <v>0</v>
      </c>
      <c r="AO74" s="649"/>
      <c r="AP74" s="664">
        <v>243.93394387350503</v>
      </c>
      <c r="AQ74" s="649"/>
      <c r="AR74" s="649">
        <v>0</v>
      </c>
      <c r="AS74" s="649"/>
      <c r="AT74" s="648">
        <f t="shared" si="56"/>
        <v>0</v>
      </c>
      <c r="AU74" s="649"/>
      <c r="AV74" s="648">
        <f t="shared" si="57"/>
        <v>12711.613260991518</v>
      </c>
      <c r="AW74" s="649"/>
      <c r="AX74" s="648">
        <f t="shared" si="58"/>
        <v>0</v>
      </c>
      <c r="AY74" s="649"/>
      <c r="AZ74" s="649">
        <f t="shared" si="59"/>
        <v>12711.613260991518</v>
      </c>
      <c r="BC74" s="632">
        <f t="shared" ref="BC74:BC99" si="62">A74</f>
        <v>432</v>
      </c>
    </row>
    <row r="75" spans="1:55" ht="14.5">
      <c r="A75" s="632">
        <f t="shared" si="51"/>
        <v>433</v>
      </c>
      <c r="B75" s="666" t="s">
        <v>1539</v>
      </c>
      <c r="F75" s="664">
        <v>-176949.63399999999</v>
      </c>
      <c r="G75" s="649"/>
      <c r="H75" s="664">
        <v>-106152.043895808</v>
      </c>
      <c r="I75" s="649"/>
      <c r="J75" s="664">
        <v>-70797.590104192001</v>
      </c>
      <c r="L75" s="675"/>
      <c r="N75" s="649">
        <v>0</v>
      </c>
      <c r="O75" s="649"/>
      <c r="P75" s="649">
        <f t="shared" si="60"/>
        <v>-70797.590104192001</v>
      </c>
      <c r="Q75" s="649"/>
      <c r="R75" s="649">
        <v>0</v>
      </c>
      <c r="S75" s="649"/>
      <c r="T75" s="649">
        <f t="shared" si="61"/>
        <v>-70797.590104192001</v>
      </c>
      <c r="U75" s="649"/>
      <c r="V75" s="649"/>
      <c r="W75" s="649"/>
      <c r="X75" s="649">
        <v>0</v>
      </c>
      <c r="Y75" s="649"/>
      <c r="Z75" s="750">
        <v>-16795.482571280747</v>
      </c>
      <c r="AA75" s="649"/>
      <c r="AB75" s="649">
        <v>0</v>
      </c>
      <c r="AC75" s="649"/>
      <c r="AD75" s="649"/>
      <c r="AE75" s="649"/>
      <c r="AF75" s="648">
        <f t="shared" si="52"/>
        <v>0</v>
      </c>
      <c r="AG75" s="649"/>
      <c r="AH75" s="648">
        <f t="shared" si="53"/>
        <v>-54002.10753291125</v>
      </c>
      <c r="AI75" s="649"/>
      <c r="AJ75" s="648">
        <f t="shared" si="54"/>
        <v>0</v>
      </c>
      <c r="AK75" s="649"/>
      <c r="AL75" s="649">
        <f t="shared" si="55"/>
        <v>-54002.10753291125</v>
      </c>
      <c r="AN75" s="649">
        <v>0</v>
      </c>
      <c r="AO75" s="649"/>
      <c r="AP75" s="664">
        <v>-1016.780446219786</v>
      </c>
      <c r="AQ75" s="649"/>
      <c r="AR75" s="649">
        <v>0</v>
      </c>
      <c r="AS75" s="649"/>
      <c r="AT75" s="648">
        <f t="shared" ref="AT75:AT99" si="63">+AF75-AN75</f>
        <v>0</v>
      </c>
      <c r="AU75" s="649"/>
      <c r="AV75" s="648">
        <f t="shared" ref="AV75:AV99" si="64">+AH75-AP75</f>
        <v>-52985.327086691461</v>
      </c>
      <c r="AW75" s="649"/>
      <c r="AX75" s="648">
        <f t="shared" ref="AX75:AX99" si="65">+AJ75-AR75</f>
        <v>0</v>
      </c>
      <c r="AY75" s="649"/>
      <c r="AZ75" s="649">
        <f t="shared" si="59"/>
        <v>-52985.327086691461</v>
      </c>
      <c r="BC75" s="632">
        <f t="shared" si="62"/>
        <v>433</v>
      </c>
    </row>
    <row r="76" spans="1:55" ht="14.5">
      <c r="A76" s="632">
        <f t="shared" si="51"/>
        <v>434</v>
      </c>
      <c r="B76" s="666" t="s">
        <v>1540</v>
      </c>
      <c r="F76" s="664">
        <v>19042.077400000002</v>
      </c>
      <c r="G76" s="649"/>
      <c r="H76" s="664">
        <v>11423.045504128</v>
      </c>
      <c r="I76" s="649"/>
      <c r="J76" s="664">
        <v>7619.0318958720009</v>
      </c>
      <c r="L76" s="675"/>
      <c r="N76" s="649">
        <v>0</v>
      </c>
      <c r="O76" s="649"/>
      <c r="P76" s="649">
        <f t="shared" si="60"/>
        <v>7619.0318958720009</v>
      </c>
      <c r="Q76" s="649"/>
      <c r="R76" s="649">
        <v>0</v>
      </c>
      <c r="S76" s="649"/>
      <c r="T76" s="649">
        <f t="shared" si="61"/>
        <v>7619.0318958720009</v>
      </c>
      <c r="U76" s="649"/>
      <c r="V76" s="649"/>
      <c r="W76" s="649"/>
      <c r="X76" s="649">
        <v>0</v>
      </c>
      <c r="Y76" s="649"/>
      <c r="Z76" s="750">
        <v>1807.4812607155868</v>
      </c>
      <c r="AA76" s="649"/>
      <c r="AB76" s="649">
        <v>0</v>
      </c>
      <c r="AC76" s="649"/>
      <c r="AD76" s="649"/>
      <c r="AE76" s="649"/>
      <c r="AF76" s="648">
        <f t="shared" si="52"/>
        <v>0</v>
      </c>
      <c r="AG76" s="649"/>
      <c r="AH76" s="648">
        <f t="shared" si="53"/>
        <v>5811.5506351564145</v>
      </c>
      <c r="AI76" s="649"/>
      <c r="AJ76" s="648">
        <f t="shared" si="54"/>
        <v>0</v>
      </c>
      <c r="AK76" s="649"/>
      <c r="AL76" s="649">
        <f t="shared" si="55"/>
        <v>5811.5506351564145</v>
      </c>
      <c r="AN76" s="649">
        <v>0</v>
      </c>
      <c r="AO76" s="649"/>
      <c r="AP76" s="664">
        <v>109.42297102834314</v>
      </c>
      <c r="AQ76" s="649"/>
      <c r="AR76" s="649">
        <v>0</v>
      </c>
      <c r="AS76" s="649"/>
      <c r="AT76" s="648">
        <f t="shared" si="63"/>
        <v>0</v>
      </c>
      <c r="AU76" s="649"/>
      <c r="AV76" s="648">
        <f t="shared" si="64"/>
        <v>5702.127664128071</v>
      </c>
      <c r="AW76" s="649"/>
      <c r="AX76" s="648">
        <f t="shared" si="65"/>
        <v>0</v>
      </c>
      <c r="AY76" s="649"/>
      <c r="AZ76" s="649">
        <f t="shared" si="59"/>
        <v>5702.127664128071</v>
      </c>
      <c r="BC76" s="632">
        <f t="shared" si="62"/>
        <v>434</v>
      </c>
    </row>
    <row r="77" spans="1:55" ht="14.5">
      <c r="A77" s="632">
        <f t="shared" si="51"/>
        <v>435</v>
      </c>
      <c r="B77" s="666" t="s">
        <v>1541</v>
      </c>
      <c r="F77" s="664">
        <v>186182.91084647487</v>
      </c>
      <c r="G77" s="649"/>
      <c r="H77" s="664">
        <v>112339.01732682377</v>
      </c>
      <c r="I77" s="649"/>
      <c r="J77" s="664">
        <v>73843.893519651116</v>
      </c>
      <c r="L77" s="675"/>
      <c r="N77" s="649">
        <v>0</v>
      </c>
      <c r="O77" s="649"/>
      <c r="P77" s="649">
        <f t="shared" si="60"/>
        <v>73843.893519651116</v>
      </c>
      <c r="Q77" s="649"/>
      <c r="R77" s="649">
        <v>0</v>
      </c>
      <c r="S77" s="649"/>
      <c r="T77" s="649">
        <f t="shared" si="61"/>
        <v>73843.893519651116</v>
      </c>
      <c r="U77" s="649"/>
      <c r="V77" s="649"/>
      <c r="W77" s="649"/>
      <c r="X77" s="649">
        <v>0</v>
      </c>
      <c r="Y77" s="649"/>
      <c r="Z77" s="750">
        <v>17518.164457004244</v>
      </c>
      <c r="AA77" s="649"/>
      <c r="AB77" s="649">
        <v>0</v>
      </c>
      <c r="AC77" s="649"/>
      <c r="AD77" s="649"/>
      <c r="AE77" s="649"/>
      <c r="AF77" s="648">
        <f t="shared" si="52"/>
        <v>0</v>
      </c>
      <c r="AG77" s="649"/>
      <c r="AH77" s="648">
        <f t="shared" si="53"/>
        <v>56325.729062646875</v>
      </c>
      <c r="AI77" s="649"/>
      <c r="AJ77" s="648">
        <f t="shared" si="54"/>
        <v>0</v>
      </c>
      <c r="AK77" s="649"/>
      <c r="AL77" s="649">
        <f t="shared" si="55"/>
        <v>56325.729062646875</v>
      </c>
      <c r="AN77" s="649">
        <v>0</v>
      </c>
      <c r="AO77" s="649"/>
      <c r="AP77" s="664">
        <v>1060.5308301174996</v>
      </c>
      <c r="AQ77" s="649"/>
      <c r="AR77" s="649">
        <v>0</v>
      </c>
      <c r="AS77" s="649"/>
      <c r="AT77" s="648">
        <f t="shared" si="63"/>
        <v>0</v>
      </c>
      <c r="AU77" s="649"/>
      <c r="AV77" s="648">
        <f t="shared" si="64"/>
        <v>55265.198232529372</v>
      </c>
      <c r="AW77" s="649"/>
      <c r="AX77" s="648">
        <f t="shared" si="65"/>
        <v>0</v>
      </c>
      <c r="AY77" s="649"/>
      <c r="AZ77" s="649">
        <f t="shared" si="59"/>
        <v>55265.198232529372</v>
      </c>
      <c r="BC77" s="632">
        <f t="shared" si="62"/>
        <v>435</v>
      </c>
    </row>
    <row r="78" spans="1:55" ht="14.5">
      <c r="A78" s="632">
        <f t="shared" si="51"/>
        <v>436</v>
      </c>
      <c r="B78" s="666" t="s">
        <v>1542</v>
      </c>
      <c r="F78" s="664">
        <v>-44233.094088579019</v>
      </c>
      <c r="G78" s="649"/>
      <c r="H78" s="664">
        <v>-26689.47596975568</v>
      </c>
      <c r="I78" s="649"/>
      <c r="J78" s="664">
        <v>-17543.618118823335</v>
      </c>
      <c r="L78" s="675"/>
      <c r="N78" s="649">
        <v>0</v>
      </c>
      <c r="O78" s="649"/>
      <c r="P78" s="649">
        <f t="shared" si="60"/>
        <v>-17543.618118823335</v>
      </c>
      <c r="Q78" s="649"/>
      <c r="R78" s="649">
        <v>0</v>
      </c>
      <c r="S78" s="649"/>
      <c r="T78" s="649">
        <f t="shared" si="61"/>
        <v>-17543.618118823335</v>
      </c>
      <c r="U78" s="649"/>
      <c r="V78" s="649"/>
      <c r="W78" s="649"/>
      <c r="X78" s="649">
        <v>0</v>
      </c>
      <c r="Y78" s="649"/>
      <c r="Z78" s="750">
        <v>-4161.9147193889539</v>
      </c>
      <c r="AA78" s="649"/>
      <c r="AB78" s="649">
        <v>0</v>
      </c>
      <c r="AC78" s="649"/>
      <c r="AD78" s="649"/>
      <c r="AE78" s="649"/>
      <c r="AF78" s="648">
        <f t="shared" si="52"/>
        <v>0</v>
      </c>
      <c r="AG78" s="649"/>
      <c r="AH78" s="648">
        <f t="shared" si="53"/>
        <v>-13381.70339943438</v>
      </c>
      <c r="AI78" s="649"/>
      <c r="AJ78" s="648">
        <f t="shared" si="54"/>
        <v>0</v>
      </c>
      <c r="AK78" s="649"/>
      <c r="AL78" s="649">
        <f t="shared" si="55"/>
        <v>-13381.70339943438</v>
      </c>
      <c r="AN78" s="649">
        <v>0</v>
      </c>
      <c r="AO78" s="649"/>
      <c r="AP78" s="664">
        <v>-251.95783970774599</v>
      </c>
      <c r="AQ78" s="649"/>
      <c r="AR78" s="649">
        <v>0</v>
      </c>
      <c r="AS78" s="649"/>
      <c r="AT78" s="648">
        <f t="shared" si="63"/>
        <v>0</v>
      </c>
      <c r="AU78" s="649"/>
      <c r="AV78" s="648">
        <f t="shared" si="64"/>
        <v>-13129.745559726634</v>
      </c>
      <c r="AW78" s="649"/>
      <c r="AX78" s="648">
        <f t="shared" si="65"/>
        <v>0</v>
      </c>
      <c r="AY78" s="649"/>
      <c r="AZ78" s="649">
        <f t="shared" si="59"/>
        <v>-13129.745559726634</v>
      </c>
      <c r="BC78" s="632">
        <f t="shared" si="62"/>
        <v>436</v>
      </c>
    </row>
    <row r="79" spans="1:55" ht="14.5">
      <c r="A79" s="632">
        <f t="shared" si="51"/>
        <v>437</v>
      </c>
      <c r="B79" s="666" t="s">
        <v>1543</v>
      </c>
      <c r="F79" s="664">
        <v>617494.83598150895</v>
      </c>
      <c r="G79" s="649"/>
      <c r="H79" s="664">
        <v>372585.0544452038</v>
      </c>
      <c r="I79" s="649"/>
      <c r="J79" s="664">
        <v>244909.78153630506</v>
      </c>
      <c r="L79" s="675"/>
      <c r="N79" s="649">
        <v>0</v>
      </c>
      <c r="O79" s="649"/>
      <c r="P79" s="649">
        <f t="shared" si="60"/>
        <v>244909.78153630506</v>
      </c>
      <c r="Q79" s="649"/>
      <c r="R79" s="649">
        <v>0</v>
      </c>
      <c r="S79" s="649"/>
      <c r="T79" s="649">
        <f t="shared" si="61"/>
        <v>244909.78153630506</v>
      </c>
      <c r="U79" s="649"/>
      <c r="V79" s="649"/>
      <c r="W79" s="649"/>
      <c r="X79" s="649">
        <v>0</v>
      </c>
      <c r="Y79" s="649"/>
      <c r="Z79" s="750">
        <v>58100.536491080784</v>
      </c>
      <c r="AA79" s="649"/>
      <c r="AB79" s="649">
        <v>0</v>
      </c>
      <c r="AC79" s="649"/>
      <c r="AD79" s="649"/>
      <c r="AE79" s="649"/>
      <c r="AF79" s="648">
        <f t="shared" si="52"/>
        <v>0</v>
      </c>
      <c r="AG79" s="649"/>
      <c r="AH79" s="648">
        <f t="shared" si="53"/>
        <v>186809.24504522426</v>
      </c>
      <c r="AI79" s="649"/>
      <c r="AJ79" s="648">
        <f t="shared" si="54"/>
        <v>0</v>
      </c>
      <c r="AK79" s="649"/>
      <c r="AL79" s="649">
        <f t="shared" si="55"/>
        <v>186809.24504522426</v>
      </c>
      <c r="AN79" s="649">
        <v>0</v>
      </c>
      <c r="AO79" s="649"/>
      <c r="AP79" s="664">
        <v>3517.3439743866343</v>
      </c>
      <c r="AQ79" s="649"/>
      <c r="AR79" s="649">
        <v>0</v>
      </c>
      <c r="AS79" s="649"/>
      <c r="AT79" s="648">
        <f t="shared" si="63"/>
        <v>0</v>
      </c>
      <c r="AU79" s="649"/>
      <c r="AV79" s="648">
        <f t="shared" si="64"/>
        <v>183291.90107083763</v>
      </c>
      <c r="AW79" s="649"/>
      <c r="AX79" s="648">
        <f t="shared" si="65"/>
        <v>0</v>
      </c>
      <c r="AY79" s="649"/>
      <c r="AZ79" s="649">
        <f t="shared" si="59"/>
        <v>183291.90107083763</v>
      </c>
      <c r="BC79" s="632">
        <f t="shared" si="62"/>
        <v>437</v>
      </c>
    </row>
    <row r="80" spans="1:55" ht="14.5">
      <c r="A80" s="632">
        <f t="shared" si="51"/>
        <v>438</v>
      </c>
      <c r="B80" s="666" t="s">
        <v>1544</v>
      </c>
      <c r="F80" s="664">
        <v>1864201.3516246921</v>
      </c>
      <c r="G80" s="649"/>
      <c r="H80" s="664">
        <v>1124691.1101175349</v>
      </c>
      <c r="I80" s="649"/>
      <c r="J80" s="664">
        <v>739510.24150715722</v>
      </c>
      <c r="L80" s="675"/>
      <c r="N80" s="649">
        <v>0</v>
      </c>
      <c r="O80" s="649"/>
      <c r="P80" s="649">
        <f t="shared" si="60"/>
        <v>739510.24150715722</v>
      </c>
      <c r="Q80" s="649"/>
      <c r="R80" s="649">
        <v>0</v>
      </c>
      <c r="S80" s="649"/>
      <c r="T80" s="649">
        <f t="shared" si="61"/>
        <v>739510.24150715722</v>
      </c>
      <c r="U80" s="649"/>
      <c r="V80" s="649"/>
      <c r="W80" s="649"/>
      <c r="X80" s="649">
        <v>0</v>
      </c>
      <c r="Y80" s="649"/>
      <c r="Z80" s="750">
        <v>175435.79314264894</v>
      </c>
      <c r="AA80" s="649"/>
      <c r="AB80" s="649">
        <v>0</v>
      </c>
      <c r="AC80" s="649"/>
      <c r="AD80" s="649"/>
      <c r="AE80" s="649"/>
      <c r="AF80" s="648">
        <f t="shared" si="52"/>
        <v>0</v>
      </c>
      <c r="AG80" s="649"/>
      <c r="AH80" s="648">
        <f t="shared" si="53"/>
        <v>564074.44836450834</v>
      </c>
      <c r="AI80" s="649"/>
      <c r="AJ80" s="648">
        <f t="shared" si="54"/>
        <v>0</v>
      </c>
      <c r="AK80" s="649"/>
      <c r="AL80" s="649">
        <f t="shared" si="55"/>
        <v>564074.44836450834</v>
      </c>
      <c r="AN80" s="649">
        <v>0</v>
      </c>
      <c r="AO80" s="649"/>
      <c r="AP80" s="664">
        <v>10620.69418234657</v>
      </c>
      <c r="AQ80" s="649"/>
      <c r="AR80" s="649">
        <v>0</v>
      </c>
      <c r="AS80" s="649"/>
      <c r="AT80" s="648">
        <f t="shared" si="63"/>
        <v>0</v>
      </c>
      <c r="AU80" s="649"/>
      <c r="AV80" s="648">
        <f t="shared" si="64"/>
        <v>553453.75418216176</v>
      </c>
      <c r="AW80" s="649"/>
      <c r="AX80" s="648">
        <f t="shared" si="65"/>
        <v>0</v>
      </c>
      <c r="AY80" s="649"/>
      <c r="AZ80" s="649">
        <f t="shared" si="59"/>
        <v>553453.75418216176</v>
      </c>
      <c r="BC80" s="632">
        <f t="shared" si="62"/>
        <v>438</v>
      </c>
    </row>
    <row r="81" spans="1:55" ht="14.5">
      <c r="A81" s="632">
        <f t="shared" si="51"/>
        <v>439</v>
      </c>
      <c r="B81" s="666" t="s">
        <v>1545</v>
      </c>
      <c r="F81" s="664">
        <v>-122080.81916864363</v>
      </c>
      <c r="G81" s="649"/>
      <c r="H81" s="664">
        <v>-73662.261069185886</v>
      </c>
      <c r="I81" s="649"/>
      <c r="J81" s="664">
        <v>-48418.558099457739</v>
      </c>
      <c r="L81" s="675"/>
      <c r="N81" s="649">
        <v>0</v>
      </c>
      <c r="O81" s="649"/>
      <c r="P81" s="649">
        <f t="shared" si="60"/>
        <v>-48418.558099457739</v>
      </c>
      <c r="Q81" s="649"/>
      <c r="R81" s="649">
        <v>0</v>
      </c>
      <c r="S81" s="649"/>
      <c r="T81" s="649">
        <f t="shared" si="61"/>
        <v>-48418.558099457739</v>
      </c>
      <c r="U81" s="649"/>
      <c r="V81" s="649"/>
      <c r="W81" s="649"/>
      <c r="X81" s="649">
        <v>0</v>
      </c>
      <c r="Y81" s="649"/>
      <c r="Z81" s="750">
        <v>-11486.450986385136</v>
      </c>
      <c r="AA81" s="649"/>
      <c r="AB81" s="649">
        <v>0</v>
      </c>
      <c r="AC81" s="649"/>
      <c r="AD81" s="649"/>
      <c r="AE81" s="649"/>
      <c r="AF81" s="648">
        <f t="shared" si="52"/>
        <v>0</v>
      </c>
      <c r="AG81" s="649"/>
      <c r="AH81" s="648">
        <f t="shared" si="53"/>
        <v>-36932.107113072605</v>
      </c>
      <c r="AI81" s="649"/>
      <c r="AJ81" s="648">
        <f t="shared" si="54"/>
        <v>0</v>
      </c>
      <c r="AK81" s="649"/>
      <c r="AL81" s="649">
        <f t="shared" si="55"/>
        <v>-36932.107113072605</v>
      </c>
      <c r="AN81" s="649">
        <v>0</v>
      </c>
      <c r="AO81" s="649"/>
      <c r="AP81" s="664">
        <v>-695.37738554705754</v>
      </c>
      <c r="AQ81" s="649"/>
      <c r="AR81" s="649">
        <v>0</v>
      </c>
      <c r="AS81" s="649"/>
      <c r="AT81" s="648">
        <f t="shared" si="63"/>
        <v>0</v>
      </c>
      <c r="AU81" s="649"/>
      <c r="AV81" s="648">
        <f t="shared" si="64"/>
        <v>-36236.729727525548</v>
      </c>
      <c r="AW81" s="649"/>
      <c r="AX81" s="648">
        <f t="shared" si="65"/>
        <v>0</v>
      </c>
      <c r="AY81" s="649"/>
      <c r="AZ81" s="649">
        <f t="shared" si="59"/>
        <v>-36236.729727525548</v>
      </c>
      <c r="BC81" s="632">
        <f t="shared" si="62"/>
        <v>439</v>
      </c>
    </row>
    <row r="82" spans="1:55" ht="14.5">
      <c r="A82" s="632">
        <f t="shared" si="51"/>
        <v>440</v>
      </c>
      <c r="B82" s="666" t="s">
        <v>1546</v>
      </c>
      <c r="F82" s="664">
        <v>-34475.896786654914</v>
      </c>
      <c r="G82" s="649"/>
      <c r="H82" s="664">
        <v>-20681.103871194482</v>
      </c>
      <c r="I82" s="649"/>
      <c r="J82" s="664">
        <v>-13794.792915460432</v>
      </c>
      <c r="L82" s="675"/>
      <c r="N82" s="649">
        <v>0</v>
      </c>
      <c r="O82" s="649"/>
      <c r="P82" s="649">
        <f t="shared" si="60"/>
        <v>-13794.792915460432</v>
      </c>
      <c r="Q82" s="649"/>
      <c r="R82" s="649">
        <v>0</v>
      </c>
      <c r="S82" s="649"/>
      <c r="T82" s="649">
        <f t="shared" si="61"/>
        <v>-13794.792915460432</v>
      </c>
      <c r="U82" s="649"/>
      <c r="V82" s="649"/>
      <c r="W82" s="649"/>
      <c r="X82" s="649">
        <v>0</v>
      </c>
      <c r="Y82" s="649"/>
      <c r="Z82" s="750">
        <v>-3272.5719003297572</v>
      </c>
      <c r="AA82" s="649"/>
      <c r="AB82" s="649">
        <v>0</v>
      </c>
      <c r="AC82" s="649"/>
      <c r="AD82" s="649"/>
      <c r="AE82" s="649"/>
      <c r="AF82" s="648">
        <f t="shared" si="52"/>
        <v>0</v>
      </c>
      <c r="AG82" s="649"/>
      <c r="AH82" s="648">
        <f t="shared" si="53"/>
        <v>-10522.221015130675</v>
      </c>
      <c r="AI82" s="649"/>
      <c r="AJ82" s="648">
        <f t="shared" si="54"/>
        <v>0</v>
      </c>
      <c r="AK82" s="649"/>
      <c r="AL82" s="649">
        <f t="shared" si="55"/>
        <v>-10522.221015130675</v>
      </c>
      <c r="AN82" s="649">
        <v>0</v>
      </c>
      <c r="AO82" s="649"/>
      <c r="AP82" s="664">
        <v>-198.11798220036994</v>
      </c>
      <c r="AQ82" s="649"/>
      <c r="AR82" s="649">
        <v>0</v>
      </c>
      <c r="AS82" s="649"/>
      <c r="AT82" s="648">
        <f t="shared" si="63"/>
        <v>0</v>
      </c>
      <c r="AU82" s="649"/>
      <c r="AV82" s="648">
        <f t="shared" si="64"/>
        <v>-10324.103032930305</v>
      </c>
      <c r="AW82" s="649"/>
      <c r="AX82" s="648">
        <f t="shared" si="65"/>
        <v>0</v>
      </c>
      <c r="AY82" s="649"/>
      <c r="AZ82" s="649">
        <f t="shared" si="59"/>
        <v>-10324.103032930305</v>
      </c>
      <c r="BC82" s="632">
        <f t="shared" si="62"/>
        <v>440</v>
      </c>
    </row>
    <row r="83" spans="1:55" ht="14.5">
      <c r="A83" s="632">
        <f t="shared" si="51"/>
        <v>441</v>
      </c>
      <c r="B83" s="666" t="s">
        <v>1547</v>
      </c>
      <c r="F83" s="664">
        <v>73984.116584648276</v>
      </c>
      <c r="G83" s="649"/>
      <c r="H83" s="664">
        <v>58565.418742607122</v>
      </c>
      <c r="I83" s="649"/>
      <c r="J83" s="664">
        <v>15418.697842041158</v>
      </c>
      <c r="L83" s="675"/>
      <c r="N83" s="649">
        <v>0</v>
      </c>
      <c r="O83" s="649"/>
      <c r="P83" s="649">
        <f t="shared" si="60"/>
        <v>15418.697842041158</v>
      </c>
      <c r="Q83" s="649"/>
      <c r="R83" s="649">
        <v>0</v>
      </c>
      <c r="S83" s="649"/>
      <c r="T83" s="649">
        <f t="shared" si="61"/>
        <v>15418.697842041158</v>
      </c>
      <c r="U83" s="649"/>
      <c r="V83" s="649"/>
      <c r="W83" s="649"/>
      <c r="X83" s="649">
        <v>0</v>
      </c>
      <c r="Y83" s="649"/>
      <c r="Z83" s="750">
        <v>3657.8147716148433</v>
      </c>
      <c r="AA83" s="649"/>
      <c r="AB83" s="649">
        <v>0</v>
      </c>
      <c r="AC83" s="649"/>
      <c r="AD83" s="649"/>
      <c r="AE83" s="649"/>
      <c r="AF83" s="648">
        <f t="shared" si="52"/>
        <v>0</v>
      </c>
      <c r="AG83" s="649"/>
      <c r="AH83" s="648">
        <f t="shared" si="53"/>
        <v>11760.883070426315</v>
      </c>
      <c r="AI83" s="649"/>
      <c r="AJ83" s="648">
        <f t="shared" si="54"/>
        <v>0</v>
      </c>
      <c r="AK83" s="649"/>
      <c r="AL83" s="649">
        <f t="shared" si="55"/>
        <v>11760.883070426315</v>
      </c>
      <c r="AN83" s="649">
        <v>0</v>
      </c>
      <c r="AO83" s="649"/>
      <c r="AP83" s="664">
        <v>221.44017118218804</v>
      </c>
      <c r="AQ83" s="649"/>
      <c r="AR83" s="649">
        <v>0</v>
      </c>
      <c r="AS83" s="649"/>
      <c r="AT83" s="648">
        <f t="shared" si="63"/>
        <v>0</v>
      </c>
      <c r="AU83" s="649"/>
      <c r="AV83" s="648">
        <f t="shared" si="64"/>
        <v>11539.442899244126</v>
      </c>
      <c r="AW83" s="649"/>
      <c r="AX83" s="648">
        <f t="shared" si="65"/>
        <v>0</v>
      </c>
      <c r="AY83" s="649"/>
      <c r="AZ83" s="649">
        <f t="shared" si="59"/>
        <v>11539.442899244126</v>
      </c>
      <c r="BC83" s="632">
        <f t="shared" si="62"/>
        <v>441</v>
      </c>
    </row>
    <row r="84" spans="1:55" ht="14.5">
      <c r="A84" s="632">
        <f t="shared" si="51"/>
        <v>442</v>
      </c>
      <c r="B84" s="666" t="s">
        <v>1548</v>
      </c>
      <c r="F84" s="664">
        <v>928.07819827603748</v>
      </c>
      <c r="G84" s="649"/>
      <c r="H84" s="664">
        <v>556.76096732724022</v>
      </c>
      <c r="I84" s="649"/>
      <c r="J84" s="664">
        <v>371.31723094879726</v>
      </c>
      <c r="L84" s="675"/>
      <c r="N84" s="649">
        <v>0</v>
      </c>
      <c r="O84" s="649"/>
      <c r="P84" s="649">
        <f t="shared" si="60"/>
        <v>371.31723094879726</v>
      </c>
      <c r="Q84" s="649"/>
      <c r="R84" s="649">
        <v>0</v>
      </c>
      <c r="S84" s="649"/>
      <c r="T84" s="649">
        <f t="shared" si="61"/>
        <v>371.31723094879726</v>
      </c>
      <c r="U84" s="649"/>
      <c r="V84" s="649"/>
      <c r="W84" s="649"/>
      <c r="X84" s="649">
        <v>0</v>
      </c>
      <c r="Y84" s="649"/>
      <c r="Z84" s="750">
        <v>88.088479729869874</v>
      </c>
      <c r="AA84" s="649"/>
      <c r="AB84" s="649">
        <v>0</v>
      </c>
      <c r="AC84" s="649"/>
      <c r="AD84" s="649"/>
      <c r="AE84" s="649"/>
      <c r="AF84" s="648">
        <f t="shared" si="52"/>
        <v>0</v>
      </c>
      <c r="AG84" s="649"/>
      <c r="AH84" s="648">
        <f t="shared" si="53"/>
        <v>283.22875121892741</v>
      </c>
      <c r="AI84" s="649"/>
      <c r="AJ84" s="648">
        <f t="shared" si="54"/>
        <v>0</v>
      </c>
      <c r="AK84" s="649"/>
      <c r="AL84" s="649">
        <f t="shared" si="55"/>
        <v>283.22875121892741</v>
      </c>
      <c r="AN84" s="649">
        <v>0</v>
      </c>
      <c r="AO84" s="649"/>
      <c r="AP84" s="664">
        <v>5.3327817969168176</v>
      </c>
      <c r="AQ84" s="649"/>
      <c r="AR84" s="649">
        <v>0</v>
      </c>
      <c r="AS84" s="649"/>
      <c r="AT84" s="648">
        <f t="shared" si="63"/>
        <v>0</v>
      </c>
      <c r="AU84" s="649"/>
      <c r="AV84" s="648">
        <f t="shared" si="64"/>
        <v>277.89596942201058</v>
      </c>
      <c r="AW84" s="649"/>
      <c r="AX84" s="648">
        <f t="shared" si="65"/>
        <v>0</v>
      </c>
      <c r="AY84" s="649"/>
      <c r="AZ84" s="649">
        <f t="shared" si="59"/>
        <v>277.89596942201058</v>
      </c>
      <c r="BC84" s="632">
        <f t="shared" si="62"/>
        <v>442</v>
      </c>
    </row>
    <row r="85" spans="1:55" ht="14.5">
      <c r="A85" s="632">
        <f t="shared" si="51"/>
        <v>443</v>
      </c>
      <c r="B85" s="666" t="s">
        <v>1549</v>
      </c>
      <c r="F85" s="664">
        <v>19298495.997185547</v>
      </c>
      <c r="G85" s="649"/>
      <c r="H85" s="664">
        <v>11429050.618671767</v>
      </c>
      <c r="I85" s="649"/>
      <c r="J85" s="664">
        <v>7869445.3785137795</v>
      </c>
      <c r="L85" s="675"/>
      <c r="N85" s="649">
        <v>0</v>
      </c>
      <c r="O85" s="649"/>
      <c r="P85" s="649">
        <f t="shared" si="60"/>
        <v>7869445.3785137795</v>
      </c>
      <c r="Q85" s="649"/>
      <c r="R85" s="649">
        <v>0</v>
      </c>
      <c r="S85" s="649"/>
      <c r="T85" s="649">
        <f t="shared" si="61"/>
        <v>7869445.3785137795</v>
      </c>
      <c r="U85" s="649"/>
      <c r="V85" s="649"/>
      <c r="W85" s="649"/>
      <c r="X85" s="649">
        <v>0</v>
      </c>
      <c r="Y85" s="649"/>
      <c r="Z85" s="750">
        <v>1866887.4534565271</v>
      </c>
      <c r="AA85" s="649"/>
      <c r="AB85" s="649">
        <v>0</v>
      </c>
      <c r="AC85" s="649"/>
      <c r="AD85" s="649"/>
      <c r="AE85" s="649"/>
      <c r="AF85" s="648">
        <f t="shared" si="52"/>
        <v>0</v>
      </c>
      <c r="AG85" s="649"/>
      <c r="AH85" s="648">
        <f t="shared" si="53"/>
        <v>6002557.9250572529</v>
      </c>
      <c r="AI85" s="649"/>
      <c r="AJ85" s="648">
        <f t="shared" si="54"/>
        <v>0</v>
      </c>
      <c r="AK85" s="649"/>
      <c r="AL85" s="649">
        <f t="shared" si="55"/>
        <v>6002557.9250572529</v>
      </c>
      <c r="AN85" s="649">
        <v>0</v>
      </c>
      <c r="AO85" s="649"/>
      <c r="AP85" s="664">
        <v>113019.35802746618</v>
      </c>
      <c r="AQ85" s="649"/>
      <c r="AR85" s="649">
        <v>0</v>
      </c>
      <c r="AS85" s="649"/>
      <c r="AT85" s="648">
        <f t="shared" si="63"/>
        <v>0</v>
      </c>
      <c r="AU85" s="649"/>
      <c r="AV85" s="648">
        <f t="shared" si="64"/>
        <v>5889538.5670297863</v>
      </c>
      <c r="AW85" s="649"/>
      <c r="AX85" s="648">
        <f t="shared" si="65"/>
        <v>0</v>
      </c>
      <c r="AY85" s="649"/>
      <c r="AZ85" s="649">
        <f t="shared" si="59"/>
        <v>5889538.5670297863</v>
      </c>
      <c r="BC85" s="632">
        <f t="shared" si="62"/>
        <v>443</v>
      </c>
    </row>
    <row r="86" spans="1:55" ht="14.5">
      <c r="A86" s="632">
        <f t="shared" si="51"/>
        <v>444</v>
      </c>
      <c r="B86" s="666" t="s">
        <v>1550</v>
      </c>
      <c r="F86" s="664">
        <v>1257231.8788000001</v>
      </c>
      <c r="G86" s="649"/>
      <c r="H86" s="664">
        <v>755662.71551040001</v>
      </c>
      <c r="I86" s="649"/>
      <c r="J86" s="664">
        <v>501569.16328959999</v>
      </c>
      <c r="L86" s="675"/>
      <c r="N86" s="649">
        <v>0</v>
      </c>
      <c r="O86" s="649"/>
      <c r="P86" s="649">
        <f t="shared" si="60"/>
        <v>501569.16328959999</v>
      </c>
      <c r="Q86" s="649"/>
      <c r="R86" s="649">
        <v>0</v>
      </c>
      <c r="S86" s="649"/>
      <c r="T86" s="649">
        <f t="shared" si="61"/>
        <v>501569.16328959999</v>
      </c>
      <c r="U86" s="649"/>
      <c r="V86" s="649"/>
      <c r="W86" s="649"/>
      <c r="X86" s="649">
        <v>0</v>
      </c>
      <c r="Y86" s="649"/>
      <c r="Z86" s="750">
        <v>118988.4588998679</v>
      </c>
      <c r="AA86" s="649"/>
      <c r="AB86" s="649">
        <v>0</v>
      </c>
      <c r="AC86" s="649"/>
      <c r="AD86" s="649"/>
      <c r="AE86" s="649"/>
      <c r="AF86" s="648">
        <f t="shared" si="52"/>
        <v>0</v>
      </c>
      <c r="AG86" s="649"/>
      <c r="AH86" s="648">
        <f t="shared" si="53"/>
        <v>382580.7043897321</v>
      </c>
      <c r="AI86" s="649"/>
      <c r="AJ86" s="648">
        <f t="shared" si="54"/>
        <v>0</v>
      </c>
      <c r="AK86" s="649"/>
      <c r="AL86" s="649">
        <f t="shared" si="55"/>
        <v>382580.7043897321</v>
      </c>
      <c r="AN86" s="649">
        <v>0</v>
      </c>
      <c r="AO86" s="649"/>
      <c r="AP86" s="664">
        <v>7203.4332935505845</v>
      </c>
      <c r="AQ86" s="649"/>
      <c r="AR86" s="649">
        <v>0</v>
      </c>
      <c r="AS86" s="649"/>
      <c r="AT86" s="648">
        <f t="shared" si="63"/>
        <v>0</v>
      </c>
      <c r="AU86" s="649"/>
      <c r="AV86" s="648">
        <f t="shared" si="64"/>
        <v>375377.27109618153</v>
      </c>
      <c r="AW86" s="649"/>
      <c r="AX86" s="648">
        <f t="shared" si="65"/>
        <v>0</v>
      </c>
      <c r="AY86" s="649"/>
      <c r="AZ86" s="649">
        <f t="shared" si="59"/>
        <v>375377.27109618153</v>
      </c>
      <c r="BC86" s="632">
        <f t="shared" si="62"/>
        <v>444</v>
      </c>
    </row>
    <row r="87" spans="1:55" ht="14.5">
      <c r="A87" s="632">
        <f t="shared" si="51"/>
        <v>445</v>
      </c>
      <c r="B87" s="666" t="s">
        <v>1551</v>
      </c>
      <c r="F87" s="664">
        <v>1143941.5022</v>
      </c>
      <c r="G87" s="649"/>
      <c r="H87" s="664">
        <v>687601.58116902411</v>
      </c>
      <c r="I87" s="649"/>
      <c r="J87" s="664">
        <v>456339.92103097605</v>
      </c>
      <c r="L87" s="675"/>
      <c r="N87" s="649">
        <v>0</v>
      </c>
      <c r="O87" s="649"/>
      <c r="P87" s="649">
        <f t="shared" si="60"/>
        <v>456339.92103097605</v>
      </c>
      <c r="Q87" s="649"/>
      <c r="R87" s="649">
        <v>0</v>
      </c>
      <c r="S87" s="649"/>
      <c r="T87" s="649">
        <f t="shared" si="61"/>
        <v>456339.92103097605</v>
      </c>
      <c r="U87" s="649"/>
      <c r="V87" s="649"/>
      <c r="W87" s="649"/>
      <c r="X87" s="649">
        <v>0</v>
      </c>
      <c r="Y87" s="649"/>
      <c r="Z87" s="750">
        <v>108258.61698082814</v>
      </c>
      <c r="AA87" s="649"/>
      <c r="AB87" s="649">
        <v>0</v>
      </c>
      <c r="AC87" s="649"/>
      <c r="AD87" s="649"/>
      <c r="AE87" s="649"/>
      <c r="AF87" s="648">
        <f t="shared" si="52"/>
        <v>0</v>
      </c>
      <c r="AG87" s="649"/>
      <c r="AH87" s="648">
        <f t="shared" si="53"/>
        <v>348081.30405014788</v>
      </c>
      <c r="AI87" s="649"/>
      <c r="AJ87" s="648">
        <f t="shared" si="54"/>
        <v>0</v>
      </c>
      <c r="AK87" s="649"/>
      <c r="AL87" s="649">
        <f t="shared" si="55"/>
        <v>348081.30405014788</v>
      </c>
      <c r="AN87" s="649">
        <v>0</v>
      </c>
      <c r="AO87" s="649"/>
      <c r="AP87" s="664">
        <v>6553.8602069776371</v>
      </c>
      <c r="AQ87" s="649"/>
      <c r="AR87" s="649">
        <v>0</v>
      </c>
      <c r="AS87" s="649"/>
      <c r="AT87" s="648">
        <f t="shared" si="63"/>
        <v>0</v>
      </c>
      <c r="AU87" s="649"/>
      <c r="AV87" s="648">
        <f t="shared" si="64"/>
        <v>341527.44384317024</v>
      </c>
      <c r="AW87" s="649"/>
      <c r="AX87" s="648">
        <f t="shared" si="65"/>
        <v>0</v>
      </c>
      <c r="AY87" s="649"/>
      <c r="AZ87" s="649">
        <f t="shared" si="59"/>
        <v>341527.44384317024</v>
      </c>
      <c r="BC87" s="632">
        <f t="shared" si="62"/>
        <v>445</v>
      </c>
    </row>
    <row r="88" spans="1:55" ht="14.5">
      <c r="A88" s="632">
        <f t="shared" si="51"/>
        <v>446</v>
      </c>
      <c r="B88" s="666" t="s">
        <v>1552</v>
      </c>
      <c r="F88" s="664">
        <v>-474400.43319827609</v>
      </c>
      <c r="G88" s="649"/>
      <c r="H88" s="664">
        <v>-284579.21883587126</v>
      </c>
      <c r="I88" s="649"/>
      <c r="J88" s="664">
        <v>-189821.21436240477</v>
      </c>
      <c r="L88" s="675"/>
      <c r="N88" s="649">
        <v>0</v>
      </c>
      <c r="O88" s="649"/>
      <c r="P88" s="649">
        <f t="shared" si="60"/>
        <v>-189821.21436240477</v>
      </c>
      <c r="Q88" s="649"/>
      <c r="R88" s="649">
        <v>0</v>
      </c>
      <c r="S88" s="649"/>
      <c r="T88" s="649">
        <f t="shared" si="61"/>
        <v>-189821.21436240477</v>
      </c>
      <c r="U88" s="649"/>
      <c r="V88" s="649"/>
      <c r="W88" s="649"/>
      <c r="X88" s="649">
        <v>0</v>
      </c>
      <c r="Y88" s="649"/>
      <c r="Z88" s="750">
        <v>-45031.743210343302</v>
      </c>
      <c r="AA88" s="649"/>
      <c r="AB88" s="649">
        <v>0</v>
      </c>
      <c r="AC88" s="649"/>
      <c r="AD88" s="649"/>
      <c r="AE88" s="649"/>
      <c r="AF88" s="648">
        <f t="shared" si="52"/>
        <v>0</v>
      </c>
      <c r="AG88" s="649"/>
      <c r="AH88" s="648">
        <f t="shared" si="53"/>
        <v>-144789.47115206148</v>
      </c>
      <c r="AI88" s="649"/>
      <c r="AJ88" s="648">
        <f t="shared" si="54"/>
        <v>0</v>
      </c>
      <c r="AK88" s="649"/>
      <c r="AL88" s="649">
        <f t="shared" si="55"/>
        <v>-144789.47115206148</v>
      </c>
      <c r="AN88" s="649">
        <v>0</v>
      </c>
      <c r="AO88" s="649"/>
      <c r="AP88" s="664">
        <v>-2726.1732886294872</v>
      </c>
      <c r="AQ88" s="649"/>
      <c r="AR88" s="649">
        <v>0</v>
      </c>
      <c r="AS88" s="649"/>
      <c r="AT88" s="648">
        <f t="shared" si="63"/>
        <v>0</v>
      </c>
      <c r="AU88" s="649"/>
      <c r="AV88" s="648">
        <f t="shared" si="64"/>
        <v>-142063.297863432</v>
      </c>
      <c r="AW88" s="649"/>
      <c r="AX88" s="648">
        <f t="shared" si="65"/>
        <v>0</v>
      </c>
      <c r="AY88" s="649"/>
      <c r="AZ88" s="649">
        <f t="shared" si="59"/>
        <v>-142063.297863432</v>
      </c>
      <c r="BC88" s="632">
        <f t="shared" si="62"/>
        <v>446</v>
      </c>
    </row>
    <row r="89" spans="1:55" ht="14.5">
      <c r="A89" s="632">
        <f t="shared" si="51"/>
        <v>447</v>
      </c>
      <c r="B89" s="666" t="s">
        <v>1553</v>
      </c>
      <c r="F89" s="664">
        <v>4916762.5998</v>
      </c>
      <c r="G89" s="649"/>
      <c r="H89" s="664">
        <v>2949422.0079276799</v>
      </c>
      <c r="I89" s="649"/>
      <c r="J89" s="664">
        <v>1967340.59187232</v>
      </c>
      <c r="L89" s="675"/>
      <c r="N89" s="649">
        <v>0</v>
      </c>
      <c r="O89" s="649"/>
      <c r="P89" s="649">
        <f t="shared" si="60"/>
        <v>1967340.59187232</v>
      </c>
      <c r="Q89" s="649"/>
      <c r="R89" s="649">
        <v>0</v>
      </c>
      <c r="S89" s="649"/>
      <c r="T89" s="649">
        <f t="shared" si="61"/>
        <v>1967340.59187232</v>
      </c>
      <c r="U89" s="649"/>
      <c r="V89" s="649"/>
      <c r="W89" s="649"/>
      <c r="X89" s="649">
        <v>0</v>
      </c>
      <c r="Y89" s="649"/>
      <c r="Z89" s="750">
        <v>466716.94013788505</v>
      </c>
      <c r="AA89" s="649"/>
      <c r="AB89" s="649">
        <v>0</v>
      </c>
      <c r="AC89" s="649"/>
      <c r="AD89" s="649"/>
      <c r="AE89" s="649"/>
      <c r="AF89" s="648">
        <f t="shared" si="52"/>
        <v>0</v>
      </c>
      <c r="AG89" s="649"/>
      <c r="AH89" s="648">
        <f t="shared" si="53"/>
        <v>1500623.651734435</v>
      </c>
      <c r="AI89" s="649"/>
      <c r="AJ89" s="648">
        <f t="shared" si="54"/>
        <v>0</v>
      </c>
      <c r="AK89" s="649"/>
      <c r="AL89" s="649">
        <f t="shared" si="55"/>
        <v>1500623.651734435</v>
      </c>
      <c r="AN89" s="649">
        <v>0</v>
      </c>
      <c r="AO89" s="649"/>
      <c r="AP89" s="664">
        <v>28254.541460045995</v>
      </c>
      <c r="AQ89" s="649"/>
      <c r="AR89" s="649">
        <v>0</v>
      </c>
      <c r="AS89" s="649"/>
      <c r="AT89" s="648">
        <f t="shared" si="63"/>
        <v>0</v>
      </c>
      <c r="AU89" s="649"/>
      <c r="AV89" s="648">
        <f t="shared" si="64"/>
        <v>1472369.1102743889</v>
      </c>
      <c r="AW89" s="649"/>
      <c r="AX89" s="648">
        <f t="shared" si="65"/>
        <v>0</v>
      </c>
      <c r="AY89" s="649"/>
      <c r="AZ89" s="649">
        <f t="shared" si="59"/>
        <v>1472369.1102743889</v>
      </c>
      <c r="BC89" s="632">
        <f t="shared" si="62"/>
        <v>447</v>
      </c>
    </row>
    <row r="90" spans="1:55" ht="14.5">
      <c r="A90" s="632">
        <f t="shared" si="51"/>
        <v>448</v>
      </c>
      <c r="B90" s="666" t="s">
        <v>1554</v>
      </c>
      <c r="F90" s="664">
        <v>290428.08638158668</v>
      </c>
      <c r="G90" s="649"/>
      <c r="H90" s="664">
        <v>174353.84748372421</v>
      </c>
      <c r="I90" s="649"/>
      <c r="J90" s="664">
        <v>116074.23889786248</v>
      </c>
      <c r="L90" s="675"/>
      <c r="N90" s="649">
        <v>0</v>
      </c>
      <c r="O90" s="649"/>
      <c r="P90" s="649">
        <f t="shared" si="60"/>
        <v>116074.23889786248</v>
      </c>
      <c r="Q90" s="649"/>
      <c r="R90" s="649">
        <v>0</v>
      </c>
      <c r="S90" s="649"/>
      <c r="T90" s="649">
        <f t="shared" si="61"/>
        <v>116074.23889786248</v>
      </c>
      <c r="U90" s="649"/>
      <c r="V90" s="649"/>
      <c r="W90" s="649"/>
      <c r="X90" s="649">
        <v>0</v>
      </c>
      <c r="Y90" s="649"/>
      <c r="Z90" s="750">
        <v>27536.570856644084</v>
      </c>
      <c r="AA90" s="649"/>
      <c r="AB90" s="649">
        <v>0</v>
      </c>
      <c r="AC90" s="649"/>
      <c r="AD90" s="649"/>
      <c r="AE90" s="649"/>
      <c r="AF90" s="648">
        <f t="shared" si="52"/>
        <v>0</v>
      </c>
      <c r="AG90" s="649"/>
      <c r="AH90" s="648">
        <f t="shared" si="53"/>
        <v>88537.668041218392</v>
      </c>
      <c r="AI90" s="649"/>
      <c r="AJ90" s="648">
        <f t="shared" si="54"/>
        <v>0</v>
      </c>
      <c r="AK90" s="649"/>
      <c r="AL90" s="649">
        <f t="shared" si="55"/>
        <v>88537.668041218392</v>
      </c>
      <c r="AN90" s="649">
        <v>0</v>
      </c>
      <c r="AO90" s="649"/>
      <c r="AP90" s="664">
        <v>1667.0343757110797</v>
      </c>
      <c r="AQ90" s="649"/>
      <c r="AR90" s="649">
        <v>0</v>
      </c>
      <c r="AS90" s="649"/>
      <c r="AT90" s="648">
        <f t="shared" si="63"/>
        <v>0</v>
      </c>
      <c r="AU90" s="649"/>
      <c r="AV90" s="648">
        <f t="shared" si="64"/>
        <v>86870.63366550731</v>
      </c>
      <c r="AW90" s="649"/>
      <c r="AX90" s="648">
        <f t="shared" si="65"/>
        <v>0</v>
      </c>
      <c r="AY90" s="649"/>
      <c r="AZ90" s="649">
        <f t="shared" si="59"/>
        <v>86870.63366550731</v>
      </c>
      <c r="BC90" s="632">
        <f t="shared" si="62"/>
        <v>448</v>
      </c>
    </row>
    <row r="91" spans="1:55" ht="14.5">
      <c r="A91" s="632">
        <f t="shared" si="51"/>
        <v>449</v>
      </c>
      <c r="B91" s="666" t="s">
        <v>1555</v>
      </c>
      <c r="F91" s="664">
        <v>114943.94202037899</v>
      </c>
      <c r="G91" s="649"/>
      <c r="H91" s="664">
        <v>68951.470341309556</v>
      </c>
      <c r="I91" s="649"/>
      <c r="J91" s="664">
        <v>45992.471679069444</v>
      </c>
      <c r="L91" s="675"/>
      <c r="N91" s="649">
        <v>0</v>
      </c>
      <c r="O91" s="649"/>
      <c r="P91" s="649">
        <f t="shared" si="60"/>
        <v>45992.471679069444</v>
      </c>
      <c r="Q91" s="649"/>
      <c r="R91" s="649">
        <v>0</v>
      </c>
      <c r="S91" s="649"/>
      <c r="T91" s="649">
        <f t="shared" si="61"/>
        <v>45992.471679069444</v>
      </c>
      <c r="U91" s="649"/>
      <c r="V91" s="649"/>
      <c r="W91" s="649"/>
      <c r="X91" s="649">
        <v>0</v>
      </c>
      <c r="Y91" s="649"/>
      <c r="Z91" s="750">
        <v>10910.904670047457</v>
      </c>
      <c r="AA91" s="649"/>
      <c r="AB91" s="649">
        <v>0</v>
      </c>
      <c r="AC91" s="649"/>
      <c r="AD91" s="649"/>
      <c r="AE91" s="649"/>
      <c r="AF91" s="648">
        <f t="shared" si="52"/>
        <v>0</v>
      </c>
      <c r="AG91" s="649"/>
      <c r="AH91" s="648">
        <f t="shared" si="53"/>
        <v>35081.567009021986</v>
      </c>
      <c r="AI91" s="649"/>
      <c r="AJ91" s="648">
        <f t="shared" si="54"/>
        <v>0</v>
      </c>
      <c r="AK91" s="649"/>
      <c r="AL91" s="649">
        <f t="shared" si="55"/>
        <v>35081.567009021986</v>
      </c>
      <c r="AN91" s="649">
        <v>0</v>
      </c>
      <c r="AO91" s="649"/>
      <c r="AP91" s="664">
        <v>660.53443073094286</v>
      </c>
      <c r="AQ91" s="649"/>
      <c r="AR91" s="649">
        <v>0</v>
      </c>
      <c r="AS91" s="649"/>
      <c r="AT91" s="648">
        <f t="shared" si="63"/>
        <v>0</v>
      </c>
      <c r="AU91" s="649"/>
      <c r="AV91" s="648">
        <f t="shared" si="64"/>
        <v>34421.032578291044</v>
      </c>
      <c r="AW91" s="649"/>
      <c r="AX91" s="648">
        <f t="shared" si="65"/>
        <v>0</v>
      </c>
      <c r="AY91" s="649"/>
      <c r="AZ91" s="649">
        <f t="shared" si="59"/>
        <v>34421.032578291044</v>
      </c>
      <c r="BC91" s="632">
        <f t="shared" si="62"/>
        <v>449</v>
      </c>
    </row>
    <row r="92" spans="1:55" ht="14.5">
      <c r="A92" s="632">
        <f t="shared" si="51"/>
        <v>450</v>
      </c>
      <c r="B92" s="666" t="s">
        <v>1556</v>
      </c>
      <c r="F92" s="664">
        <v>831141.34682690329</v>
      </c>
      <c r="G92" s="649"/>
      <c r="H92" s="664">
        <v>498577.39556428313</v>
      </c>
      <c r="I92" s="649"/>
      <c r="J92" s="664">
        <v>332563.9512626201</v>
      </c>
      <c r="L92" s="675"/>
      <c r="N92" s="649">
        <v>0</v>
      </c>
      <c r="O92" s="649"/>
      <c r="P92" s="649">
        <f t="shared" si="60"/>
        <v>332563.9512626201</v>
      </c>
      <c r="Q92" s="649"/>
      <c r="R92" s="649">
        <v>0</v>
      </c>
      <c r="S92" s="649"/>
      <c r="T92" s="649">
        <f t="shared" si="61"/>
        <v>332563.9512626201</v>
      </c>
      <c r="U92" s="649"/>
      <c r="V92" s="649"/>
      <c r="W92" s="649"/>
      <c r="X92" s="649">
        <v>0</v>
      </c>
      <c r="Y92" s="649"/>
      <c r="Z92" s="750">
        <v>78894.945986824881</v>
      </c>
      <c r="AA92" s="649"/>
      <c r="AB92" s="649">
        <v>0</v>
      </c>
      <c r="AC92" s="649"/>
      <c r="AD92" s="649"/>
      <c r="AE92" s="649"/>
      <c r="AF92" s="648">
        <f t="shared" si="52"/>
        <v>0</v>
      </c>
      <c r="AG92" s="649"/>
      <c r="AH92" s="648">
        <f t="shared" si="53"/>
        <v>253669.00527579524</v>
      </c>
      <c r="AI92" s="649"/>
      <c r="AJ92" s="648">
        <f t="shared" si="54"/>
        <v>0</v>
      </c>
      <c r="AK92" s="649"/>
      <c r="AL92" s="649">
        <f t="shared" si="55"/>
        <v>253669.00527579524</v>
      </c>
      <c r="AN92" s="649">
        <v>0</v>
      </c>
      <c r="AO92" s="649"/>
      <c r="AP92" s="664">
        <v>4776.2151545522738</v>
      </c>
      <c r="AQ92" s="649"/>
      <c r="AR92" s="649">
        <v>0</v>
      </c>
      <c r="AS92" s="649"/>
      <c r="AT92" s="648">
        <f t="shared" si="63"/>
        <v>0</v>
      </c>
      <c r="AU92" s="649"/>
      <c r="AV92" s="648">
        <f t="shared" si="64"/>
        <v>248892.79012124296</v>
      </c>
      <c r="AW92" s="649"/>
      <c r="AX92" s="648">
        <f t="shared" si="65"/>
        <v>0</v>
      </c>
      <c r="AY92" s="649"/>
      <c r="AZ92" s="649">
        <f t="shared" si="59"/>
        <v>248892.79012124296</v>
      </c>
      <c r="BC92" s="632">
        <f t="shared" si="62"/>
        <v>450</v>
      </c>
    </row>
    <row r="93" spans="1:55" ht="14.5">
      <c r="A93" s="632">
        <f t="shared" si="51"/>
        <v>451</v>
      </c>
      <c r="B93" s="666" t="s">
        <v>1557</v>
      </c>
      <c r="F93" s="664">
        <v>8456.3577108052286</v>
      </c>
      <c r="G93" s="649"/>
      <c r="H93" s="664">
        <v>5072.7008124667409</v>
      </c>
      <c r="I93" s="649"/>
      <c r="J93" s="664">
        <v>3383.6568983384873</v>
      </c>
      <c r="L93" s="675"/>
      <c r="N93" s="649">
        <v>0</v>
      </c>
      <c r="O93" s="649"/>
      <c r="P93" s="649">
        <f t="shared" si="60"/>
        <v>3383.6568983384873</v>
      </c>
      <c r="Q93" s="649"/>
      <c r="R93" s="649">
        <v>0</v>
      </c>
      <c r="S93" s="649"/>
      <c r="T93" s="649">
        <f t="shared" si="61"/>
        <v>3383.6568983384873</v>
      </c>
      <c r="U93" s="649"/>
      <c r="V93" s="649"/>
      <c r="W93" s="649"/>
      <c r="X93" s="649">
        <v>0</v>
      </c>
      <c r="Y93" s="649"/>
      <c r="Z93" s="750">
        <v>802.7130638147662</v>
      </c>
      <c r="AA93" s="649"/>
      <c r="AB93" s="649">
        <v>0</v>
      </c>
      <c r="AC93" s="649"/>
      <c r="AD93" s="649"/>
      <c r="AE93" s="649"/>
      <c r="AF93" s="648">
        <f t="shared" si="52"/>
        <v>0</v>
      </c>
      <c r="AG93" s="649"/>
      <c r="AH93" s="648">
        <f t="shared" si="53"/>
        <v>2580.9438345237213</v>
      </c>
      <c r="AI93" s="649"/>
      <c r="AJ93" s="648">
        <f t="shared" si="54"/>
        <v>0</v>
      </c>
      <c r="AK93" s="649"/>
      <c r="AL93" s="649">
        <f t="shared" si="55"/>
        <v>2580.9438345237213</v>
      </c>
      <c r="AN93" s="649">
        <v>0</v>
      </c>
      <c r="AO93" s="649"/>
      <c r="AP93" s="664">
        <v>48.595385321506193</v>
      </c>
      <c r="AQ93" s="649"/>
      <c r="AR93" s="649">
        <v>0</v>
      </c>
      <c r="AS93" s="649"/>
      <c r="AT93" s="648">
        <f t="shared" si="63"/>
        <v>0</v>
      </c>
      <c r="AU93" s="649"/>
      <c r="AV93" s="648">
        <f t="shared" si="64"/>
        <v>2532.3484492022153</v>
      </c>
      <c r="AW93" s="649"/>
      <c r="AX93" s="648">
        <f t="shared" si="65"/>
        <v>0</v>
      </c>
      <c r="AY93" s="649"/>
      <c r="AZ93" s="649">
        <f t="shared" si="59"/>
        <v>2532.3484492022153</v>
      </c>
      <c r="BC93" s="632">
        <f t="shared" si="62"/>
        <v>451</v>
      </c>
    </row>
    <row r="94" spans="1:55" ht="14.5">
      <c r="A94" s="632">
        <f t="shared" si="51"/>
        <v>452</v>
      </c>
      <c r="B94" s="666" t="s">
        <v>1558</v>
      </c>
      <c r="F94" s="664">
        <v>-244.71339996627793</v>
      </c>
      <c r="G94" s="649"/>
      <c r="H94" s="664">
        <v>-146.77328667097626</v>
      </c>
      <c r="I94" s="649"/>
      <c r="J94" s="664">
        <v>-97.940113295301657</v>
      </c>
      <c r="L94" s="675"/>
      <c r="N94" s="649">
        <v>0</v>
      </c>
      <c r="O94" s="649"/>
      <c r="P94" s="649">
        <f t="shared" si="60"/>
        <v>-97.940113295301657</v>
      </c>
      <c r="Q94" s="649"/>
      <c r="R94" s="649">
        <v>0</v>
      </c>
      <c r="S94" s="649"/>
      <c r="T94" s="649">
        <f t="shared" si="61"/>
        <v>-97.940113295301657</v>
      </c>
      <c r="U94" s="649"/>
      <c r="V94" s="649"/>
      <c r="W94" s="649"/>
      <c r="X94" s="649">
        <v>0</v>
      </c>
      <c r="Y94" s="649"/>
      <c r="Z94" s="750">
        <v>-23.23456862669541</v>
      </c>
      <c r="AA94" s="649"/>
      <c r="AB94" s="649">
        <v>0</v>
      </c>
      <c r="AC94" s="649"/>
      <c r="AD94" s="649"/>
      <c r="AE94" s="649"/>
      <c r="AF94" s="648">
        <f t="shared" si="52"/>
        <v>0</v>
      </c>
      <c r="AG94" s="649"/>
      <c r="AH94" s="648">
        <f t="shared" si="53"/>
        <v>-74.705544668606251</v>
      </c>
      <c r="AI94" s="649"/>
      <c r="AJ94" s="648">
        <f t="shared" si="54"/>
        <v>0</v>
      </c>
      <c r="AK94" s="649"/>
      <c r="AL94" s="649">
        <f t="shared" si="55"/>
        <v>-74.705544668606251</v>
      </c>
      <c r="AN94" s="649">
        <v>0</v>
      </c>
      <c r="AO94" s="649"/>
      <c r="AP94" s="664">
        <v>-1.4065957888207377</v>
      </c>
      <c r="AQ94" s="649"/>
      <c r="AR94" s="649">
        <v>0</v>
      </c>
      <c r="AS94" s="649"/>
      <c r="AT94" s="648">
        <f t="shared" si="63"/>
        <v>0</v>
      </c>
      <c r="AU94" s="649"/>
      <c r="AV94" s="648">
        <f t="shared" si="64"/>
        <v>-73.298948879785513</v>
      </c>
      <c r="AW94" s="649"/>
      <c r="AX94" s="648">
        <f t="shared" si="65"/>
        <v>0</v>
      </c>
      <c r="AY94" s="649"/>
      <c r="AZ94" s="649">
        <f t="shared" si="59"/>
        <v>-73.298948879785513</v>
      </c>
      <c r="BC94" s="632">
        <f t="shared" si="62"/>
        <v>452</v>
      </c>
    </row>
    <row r="95" spans="1:55" ht="14.5">
      <c r="A95" s="632">
        <f t="shared" si="51"/>
        <v>453</v>
      </c>
      <c r="B95" s="666" t="s">
        <v>1559</v>
      </c>
      <c r="F95" s="664">
        <v>82964.600265615823</v>
      </c>
      <c r="G95" s="649"/>
      <c r="H95" s="664">
        <v>49768.042533099309</v>
      </c>
      <c r="I95" s="649"/>
      <c r="J95" s="664">
        <v>33196.557732516521</v>
      </c>
      <c r="L95" s="675"/>
      <c r="N95" s="649">
        <v>0</v>
      </c>
      <c r="O95" s="649"/>
      <c r="P95" s="649">
        <f t="shared" si="60"/>
        <v>33196.557732516521</v>
      </c>
      <c r="Q95" s="649"/>
      <c r="R95" s="649">
        <v>0</v>
      </c>
      <c r="S95" s="649"/>
      <c r="T95" s="649">
        <f t="shared" si="61"/>
        <v>33196.557732516521</v>
      </c>
      <c r="U95" s="649"/>
      <c r="V95" s="649"/>
      <c r="W95" s="649"/>
      <c r="X95" s="649">
        <v>0</v>
      </c>
      <c r="Y95" s="649"/>
      <c r="Z95" s="750">
        <v>7875.2992298530662</v>
      </c>
      <c r="AA95" s="649"/>
      <c r="AB95" s="649">
        <v>0</v>
      </c>
      <c r="AC95" s="649"/>
      <c r="AD95" s="649"/>
      <c r="AE95" s="649"/>
      <c r="AF95" s="648">
        <f t="shared" si="52"/>
        <v>0</v>
      </c>
      <c r="AG95" s="649"/>
      <c r="AH95" s="648">
        <f t="shared" si="53"/>
        <v>25321.258502663455</v>
      </c>
      <c r="AI95" s="649"/>
      <c r="AJ95" s="648">
        <f t="shared" si="54"/>
        <v>0</v>
      </c>
      <c r="AK95" s="649"/>
      <c r="AL95" s="649">
        <f t="shared" si="55"/>
        <v>25321.258502663455</v>
      </c>
      <c r="AN95" s="649">
        <v>0</v>
      </c>
      <c r="AO95" s="649"/>
      <c r="AP95" s="664">
        <v>476.76214309772735</v>
      </c>
      <c r="AQ95" s="649"/>
      <c r="AR95" s="649">
        <v>0</v>
      </c>
      <c r="AS95" s="649"/>
      <c r="AT95" s="648">
        <f t="shared" si="63"/>
        <v>0</v>
      </c>
      <c r="AU95" s="649"/>
      <c r="AV95" s="648">
        <f t="shared" si="64"/>
        <v>24844.496359565728</v>
      </c>
      <c r="AW95" s="649"/>
      <c r="AX95" s="648">
        <f t="shared" si="65"/>
        <v>0</v>
      </c>
      <c r="AY95" s="649"/>
      <c r="AZ95" s="649">
        <f t="shared" si="59"/>
        <v>24844.496359565728</v>
      </c>
      <c r="BC95" s="632">
        <f t="shared" si="62"/>
        <v>453</v>
      </c>
    </row>
    <row r="96" spans="1:55" ht="14.5">
      <c r="A96" s="632">
        <f t="shared" si="51"/>
        <v>454</v>
      </c>
      <c r="B96" s="666" t="s">
        <v>1560</v>
      </c>
      <c r="F96" s="664">
        <v>-2.5537923876161601</v>
      </c>
      <c r="G96" s="649"/>
      <c r="H96" s="664">
        <v>-1.5613586211721953</v>
      </c>
      <c r="I96" s="649"/>
      <c r="J96" s="664">
        <v>-0.99243376644396486</v>
      </c>
      <c r="L96" s="675"/>
      <c r="N96" s="649">
        <v>0</v>
      </c>
      <c r="O96" s="649"/>
      <c r="P96" s="649">
        <f t="shared" si="60"/>
        <v>-0.99243376644396486</v>
      </c>
      <c r="Q96" s="649"/>
      <c r="R96" s="649">
        <v>0</v>
      </c>
      <c r="S96" s="649"/>
      <c r="T96" s="649">
        <f t="shared" si="61"/>
        <v>-0.99243376644396486</v>
      </c>
      <c r="U96" s="649"/>
      <c r="V96" s="649"/>
      <c r="W96" s="649"/>
      <c r="X96" s="649">
        <v>0</v>
      </c>
      <c r="Y96" s="649"/>
      <c r="Z96" s="750">
        <v>-0.2354374492539848</v>
      </c>
      <c r="AA96" s="649"/>
      <c r="AB96" s="649">
        <v>0</v>
      </c>
      <c r="AC96" s="649"/>
      <c r="AD96" s="649"/>
      <c r="AE96" s="649"/>
      <c r="AF96" s="648">
        <f t="shared" si="52"/>
        <v>0</v>
      </c>
      <c r="AG96" s="649"/>
      <c r="AH96" s="648">
        <f t="shared" si="53"/>
        <v>-0.75699631718998006</v>
      </c>
      <c r="AI96" s="649"/>
      <c r="AJ96" s="648">
        <f t="shared" si="54"/>
        <v>0</v>
      </c>
      <c r="AK96" s="649"/>
      <c r="AL96" s="649">
        <f t="shared" si="55"/>
        <v>-0.75699631718998006</v>
      </c>
      <c r="AN96" s="649">
        <v>0</v>
      </c>
      <c r="AO96" s="649"/>
      <c r="AP96" s="664">
        <v>-1.4253129893311553E-2</v>
      </c>
      <c r="AQ96" s="649"/>
      <c r="AR96" s="649">
        <v>0</v>
      </c>
      <c r="AS96" s="649"/>
      <c r="AT96" s="648">
        <f t="shared" si="63"/>
        <v>0</v>
      </c>
      <c r="AU96" s="649"/>
      <c r="AV96" s="648">
        <f t="shared" si="64"/>
        <v>-0.74274318729666855</v>
      </c>
      <c r="AW96" s="649"/>
      <c r="AX96" s="648">
        <f t="shared" si="65"/>
        <v>0</v>
      </c>
      <c r="AY96" s="649"/>
      <c r="AZ96" s="649">
        <f t="shared" si="59"/>
        <v>-0.74274318729666855</v>
      </c>
      <c r="BC96" s="632">
        <f t="shared" si="62"/>
        <v>454</v>
      </c>
    </row>
    <row r="97" spans="1:55" ht="14.5">
      <c r="A97" s="632">
        <f t="shared" si="51"/>
        <v>455</v>
      </c>
      <c r="B97" s="666" t="s">
        <v>1561</v>
      </c>
      <c r="F97" s="664">
        <v>50.62517850744976</v>
      </c>
      <c r="G97" s="649"/>
      <c r="H97" s="664">
        <v>30.560806869050776</v>
      </c>
      <c r="I97" s="649"/>
      <c r="J97" s="664">
        <v>20.064371638398988</v>
      </c>
      <c r="L97" s="675"/>
      <c r="N97" s="649">
        <v>0</v>
      </c>
      <c r="O97" s="649"/>
      <c r="P97" s="649">
        <f t="shared" ref="P97" si="66">J97</f>
        <v>20.064371638398988</v>
      </c>
      <c r="Q97" s="649"/>
      <c r="R97" s="649">
        <v>0</v>
      </c>
      <c r="S97" s="649"/>
      <c r="T97" s="649">
        <f t="shared" ref="T97" si="67">SUM(N97:R97)</f>
        <v>20.064371638398988</v>
      </c>
      <c r="U97" s="649"/>
      <c r="V97" s="649"/>
      <c r="W97" s="649"/>
      <c r="X97" s="649">
        <v>0</v>
      </c>
      <c r="Y97" s="649"/>
      <c r="Z97" s="750">
        <v>4.7599191393447784</v>
      </c>
      <c r="AA97" s="649"/>
      <c r="AB97" s="649">
        <v>0</v>
      </c>
      <c r="AC97" s="649"/>
      <c r="AD97" s="649"/>
      <c r="AE97" s="649"/>
      <c r="AF97" s="648">
        <f t="shared" si="52"/>
        <v>0</v>
      </c>
      <c r="AG97" s="649"/>
      <c r="AH97" s="648">
        <f t="shared" si="53"/>
        <v>15.304452499054211</v>
      </c>
      <c r="AI97" s="649"/>
      <c r="AJ97" s="648">
        <f t="shared" si="54"/>
        <v>0</v>
      </c>
      <c r="AK97" s="649"/>
      <c r="AL97" s="649">
        <f t="shared" si="55"/>
        <v>15.304452499054211</v>
      </c>
      <c r="AN97" s="649">
        <v>0</v>
      </c>
      <c r="AO97" s="649"/>
      <c r="AP97" s="664">
        <v>0.28816038395638793</v>
      </c>
      <c r="AQ97" s="649"/>
      <c r="AR97" s="649">
        <v>0</v>
      </c>
      <c r="AS97" s="649"/>
      <c r="AT97" s="648">
        <f t="shared" si="63"/>
        <v>0</v>
      </c>
      <c r="AU97" s="649"/>
      <c r="AV97" s="648">
        <f t="shared" si="64"/>
        <v>15.016292115097823</v>
      </c>
      <c r="AW97" s="649"/>
      <c r="AX97" s="648">
        <f t="shared" si="65"/>
        <v>0</v>
      </c>
      <c r="AY97" s="649"/>
      <c r="AZ97" s="649">
        <f t="shared" si="59"/>
        <v>15.016292115097823</v>
      </c>
      <c r="BC97" s="632">
        <f t="shared" si="62"/>
        <v>455</v>
      </c>
    </row>
    <row r="98" spans="1:55" ht="14.5">
      <c r="A98" s="632">
        <f t="shared" si="51"/>
        <v>456</v>
      </c>
      <c r="B98" s="665"/>
      <c r="F98" s="664"/>
      <c r="G98" s="649"/>
      <c r="H98" s="664"/>
      <c r="I98" s="649"/>
      <c r="J98" s="664"/>
      <c r="L98" s="675"/>
      <c r="N98" s="649">
        <v>0</v>
      </c>
      <c r="O98" s="649"/>
      <c r="P98" s="649">
        <f t="shared" ref="P98" si="68">J98</f>
        <v>0</v>
      </c>
      <c r="Q98" s="649"/>
      <c r="R98" s="649">
        <v>0</v>
      </c>
      <c r="S98" s="649"/>
      <c r="T98" s="649">
        <f t="shared" ref="T98" si="69">SUM(N98:R98)</f>
        <v>0</v>
      </c>
      <c r="U98" s="649"/>
      <c r="V98" s="649"/>
      <c r="W98" s="649"/>
      <c r="X98" s="649">
        <v>0</v>
      </c>
      <c r="Y98" s="649"/>
      <c r="Z98" s="750">
        <v>0</v>
      </c>
      <c r="AA98" s="649"/>
      <c r="AB98" s="649">
        <v>0</v>
      </c>
      <c r="AC98" s="649"/>
      <c r="AD98" s="649"/>
      <c r="AE98" s="649"/>
      <c r="AF98" s="648">
        <f t="shared" si="52"/>
        <v>0</v>
      </c>
      <c r="AG98" s="649"/>
      <c r="AH98" s="648">
        <f t="shared" si="53"/>
        <v>0</v>
      </c>
      <c r="AI98" s="649"/>
      <c r="AJ98" s="648">
        <f t="shared" si="54"/>
        <v>0</v>
      </c>
      <c r="AK98" s="649"/>
      <c r="AL98" s="649">
        <f t="shared" si="55"/>
        <v>0</v>
      </c>
      <c r="AN98" s="649">
        <v>0</v>
      </c>
      <c r="AO98" s="649"/>
      <c r="AP98" s="664"/>
      <c r="AQ98" s="649"/>
      <c r="AR98" s="649">
        <v>0</v>
      </c>
      <c r="AS98" s="649"/>
      <c r="AT98" s="648">
        <f t="shared" si="63"/>
        <v>0</v>
      </c>
      <c r="AU98" s="649"/>
      <c r="AV98" s="648">
        <f t="shared" si="64"/>
        <v>0</v>
      </c>
      <c r="AW98" s="649"/>
      <c r="AX98" s="648">
        <f t="shared" si="65"/>
        <v>0</v>
      </c>
      <c r="AY98" s="649"/>
      <c r="AZ98" s="649">
        <f t="shared" si="59"/>
        <v>0</v>
      </c>
      <c r="BC98" s="632">
        <f t="shared" si="62"/>
        <v>456</v>
      </c>
    </row>
    <row r="99" spans="1:55" ht="14.5">
      <c r="A99" s="632">
        <f t="shared" si="51"/>
        <v>457</v>
      </c>
      <c r="B99" s="665"/>
      <c r="F99" s="664"/>
      <c r="G99" s="649"/>
      <c r="H99" s="664"/>
      <c r="I99" s="649"/>
      <c r="J99" s="664"/>
      <c r="L99" s="675"/>
      <c r="N99" s="649">
        <v>0</v>
      </c>
      <c r="O99" s="649"/>
      <c r="P99" s="649">
        <f t="shared" ref="P99" si="70">J99</f>
        <v>0</v>
      </c>
      <c r="Q99" s="649"/>
      <c r="R99" s="649">
        <v>0</v>
      </c>
      <c r="S99" s="649"/>
      <c r="T99" s="649">
        <f t="shared" ref="T99:T104" si="71">SUM(N99:R99)</f>
        <v>0</v>
      </c>
      <c r="U99" s="649"/>
      <c r="V99" s="649"/>
      <c r="W99" s="649"/>
      <c r="X99" s="649">
        <v>0</v>
      </c>
      <c r="Y99" s="649"/>
      <c r="Z99" s="750">
        <v>0</v>
      </c>
      <c r="AA99" s="649"/>
      <c r="AB99" s="649">
        <v>0</v>
      </c>
      <c r="AC99" s="649"/>
      <c r="AD99" s="649"/>
      <c r="AE99" s="649"/>
      <c r="AF99" s="648">
        <f t="shared" si="52"/>
        <v>0</v>
      </c>
      <c r="AG99" s="649"/>
      <c r="AH99" s="648">
        <f t="shared" si="53"/>
        <v>0</v>
      </c>
      <c r="AI99" s="649"/>
      <c r="AJ99" s="648">
        <f t="shared" si="54"/>
        <v>0</v>
      </c>
      <c r="AK99" s="649"/>
      <c r="AL99" s="649">
        <f t="shared" si="55"/>
        <v>0</v>
      </c>
      <c r="AN99" s="649">
        <v>0</v>
      </c>
      <c r="AO99" s="649"/>
      <c r="AP99" s="664"/>
      <c r="AQ99" s="649"/>
      <c r="AR99" s="649">
        <v>0</v>
      </c>
      <c r="AS99" s="649"/>
      <c r="AT99" s="648">
        <f t="shared" si="63"/>
        <v>0</v>
      </c>
      <c r="AU99" s="649"/>
      <c r="AV99" s="648">
        <f t="shared" si="64"/>
        <v>0</v>
      </c>
      <c r="AW99" s="649"/>
      <c r="AX99" s="648">
        <f t="shared" si="65"/>
        <v>0</v>
      </c>
      <c r="AY99" s="649"/>
      <c r="AZ99" s="649">
        <f t="shared" si="59"/>
        <v>0</v>
      </c>
      <c r="BC99" s="632">
        <f t="shared" si="62"/>
        <v>457</v>
      </c>
    </row>
    <row r="100" spans="1:55" ht="14.5">
      <c r="A100" s="632"/>
      <c r="B100" s="638"/>
      <c r="F100" s="649"/>
      <c r="G100" s="649"/>
      <c r="H100" s="649"/>
      <c r="I100" s="649"/>
      <c r="J100" s="649"/>
      <c r="L100" s="675"/>
      <c r="N100" s="649"/>
      <c r="O100" s="649"/>
      <c r="P100" s="649"/>
      <c r="Q100" s="649"/>
      <c r="R100" s="649"/>
      <c r="S100" s="649"/>
      <c r="T100" s="649"/>
      <c r="U100" s="649"/>
      <c r="V100" s="649"/>
      <c r="W100" s="649"/>
      <c r="X100" s="649"/>
      <c r="Y100" s="649"/>
      <c r="Z100" s="649"/>
      <c r="AA100" s="649"/>
      <c r="AB100" s="649"/>
      <c r="AC100" s="649"/>
      <c r="AD100" s="649"/>
      <c r="AE100" s="649"/>
      <c r="AF100" s="649"/>
      <c r="AG100" s="649"/>
      <c r="AH100" s="649"/>
      <c r="AI100" s="649"/>
      <c r="AJ100" s="649"/>
      <c r="AK100" s="649"/>
      <c r="AL100" s="649"/>
      <c r="AN100" s="649"/>
      <c r="AO100" s="649"/>
      <c r="AP100" s="649"/>
      <c r="AQ100" s="649"/>
      <c r="AR100" s="649"/>
      <c r="AS100" s="649"/>
      <c r="AT100" s="649"/>
      <c r="AU100" s="649"/>
      <c r="AV100" s="649"/>
      <c r="AW100" s="649"/>
      <c r="AX100" s="649"/>
      <c r="AY100" s="649"/>
      <c r="AZ100" s="649"/>
      <c r="BC100" s="632"/>
    </row>
    <row r="101" spans="1:55" ht="14.5">
      <c r="A101" s="316" t="s">
        <v>99</v>
      </c>
      <c r="L101" s="675"/>
      <c r="T101" s="649"/>
      <c r="BC101" s="660" t="s">
        <v>99</v>
      </c>
    </row>
    <row r="102" spans="1:55" ht="14.5">
      <c r="A102" s="632">
        <v>500</v>
      </c>
      <c r="B102" s="630" t="s">
        <v>1562</v>
      </c>
      <c r="F102" s="652">
        <f>ROUND(SUM(F103:F113),0)</f>
        <v>9730734</v>
      </c>
      <c r="G102" s="649"/>
      <c r="H102" s="652">
        <f>ROUND(SUM(H103:H113),0)</f>
        <v>5840030</v>
      </c>
      <c r="I102" s="649"/>
      <c r="J102" s="652">
        <f>ROUND(SUM(J103:J113),0)</f>
        <v>3890704</v>
      </c>
      <c r="K102" s="632"/>
      <c r="L102" s="675"/>
      <c r="M102" s="632"/>
      <c r="N102" s="652">
        <f>ROUND(SUM(N103:N113),0)</f>
        <v>0</v>
      </c>
      <c r="O102" s="649"/>
      <c r="P102" s="652">
        <f>ROUND(SUM(P103:P113),0)</f>
        <v>0</v>
      </c>
      <c r="Q102" s="649"/>
      <c r="R102" s="652">
        <f>ROUND(SUM(R103:R113),0)</f>
        <v>3890704</v>
      </c>
      <c r="S102" s="649"/>
      <c r="T102" s="652">
        <f>ROUND(SUM(T103:T113),0)</f>
        <v>3890704</v>
      </c>
      <c r="U102" s="649"/>
      <c r="V102" s="649"/>
      <c r="W102" s="649"/>
      <c r="X102" s="652">
        <f>SUM(X103:X113)</f>
        <v>0</v>
      </c>
      <c r="Y102" s="649"/>
      <c r="Z102" s="652">
        <f>SUM(Z103:Z113)</f>
        <v>0</v>
      </c>
      <c r="AA102" s="649"/>
      <c r="AB102" s="652">
        <f>SUM(AB103:AB113)</f>
        <v>-280186.2902949811</v>
      </c>
      <c r="AC102" s="649"/>
      <c r="AD102" s="649"/>
      <c r="AE102" s="649"/>
      <c r="AF102" s="652">
        <f>SUM(AF103:AF113)</f>
        <v>0</v>
      </c>
      <c r="AG102" s="649"/>
      <c r="AH102" s="652">
        <f>SUM(AH103:AH113)</f>
        <v>0</v>
      </c>
      <c r="AI102" s="649"/>
      <c r="AJ102" s="652">
        <f>SUM(AJ103:AJ113)</f>
        <v>4170890.4261382692</v>
      </c>
      <c r="AK102" s="649"/>
      <c r="AL102" s="652">
        <f>SUM(AL103:AL113)</f>
        <v>4170890.4261382692</v>
      </c>
      <c r="AN102" s="652">
        <f>SUM(AN103:AN113)</f>
        <v>0</v>
      </c>
      <c r="AO102" s="649"/>
      <c r="AP102" s="652">
        <f>SUM(AP103:AP113)</f>
        <v>0</v>
      </c>
      <c r="AQ102" s="649"/>
      <c r="AR102" s="652">
        <f>SUM(AR103:AR113)</f>
        <v>78531.685090638581</v>
      </c>
      <c r="AS102" s="649"/>
      <c r="AT102" s="652">
        <f>SUM(AT103:AT113)</f>
        <v>0</v>
      </c>
      <c r="AU102" s="649"/>
      <c r="AV102" s="652">
        <f>SUM(AV103:AV113)</f>
        <v>0</v>
      </c>
      <c r="AW102" s="649"/>
      <c r="AX102" s="652">
        <f>SUM(AX103:AX113)</f>
        <v>4092358.741047631</v>
      </c>
      <c r="AY102" s="649"/>
      <c r="AZ102" s="652">
        <f>SUM(AZ103:AZ113)</f>
        <v>4092358.741047631</v>
      </c>
      <c r="BC102" s="632">
        <f t="shared" ref="BC102:BC113" si="72">A102</f>
        <v>500</v>
      </c>
    </row>
    <row r="103" spans="1:55" ht="14.5">
      <c r="A103" s="632">
        <f t="shared" ref="A103:A107" si="73">A102+1</f>
        <v>501</v>
      </c>
      <c r="B103" s="682" t="s">
        <v>1563</v>
      </c>
      <c r="F103" s="664">
        <v>5449227.7939999998</v>
      </c>
      <c r="G103" s="649"/>
      <c r="H103" s="664">
        <v>3269536.6763999998</v>
      </c>
      <c r="I103" s="649"/>
      <c r="J103" s="664">
        <v>2179691.1176</v>
      </c>
      <c r="L103" s="675"/>
      <c r="N103" s="649">
        <v>0</v>
      </c>
      <c r="O103" s="649"/>
      <c r="P103" s="649">
        <v>0</v>
      </c>
      <c r="Q103" s="649"/>
      <c r="R103" s="649">
        <f>+J103</f>
        <v>2179691.1176</v>
      </c>
      <c r="S103" s="649"/>
      <c r="T103" s="649">
        <f t="shared" si="71"/>
        <v>2179691.1176</v>
      </c>
      <c r="U103" s="649"/>
      <c r="V103" s="649"/>
      <c r="W103" s="649"/>
      <c r="X103" s="649">
        <v>0</v>
      </c>
      <c r="Y103" s="649"/>
      <c r="Z103" s="649">
        <v>0</v>
      </c>
      <c r="AA103" s="649"/>
      <c r="AB103" s="750">
        <v>1574330</v>
      </c>
      <c r="AC103" s="649"/>
      <c r="AD103" s="649"/>
      <c r="AE103" s="649"/>
      <c r="AF103" s="648">
        <f t="shared" ref="AF103:AF113" si="74">+N103-X103</f>
        <v>0</v>
      </c>
      <c r="AG103" s="649"/>
      <c r="AH103" s="648">
        <f t="shared" ref="AH103:AH113" si="75">+P103-Z103</f>
        <v>0</v>
      </c>
      <c r="AI103" s="649"/>
      <c r="AJ103" s="648">
        <f t="shared" ref="AJ103:AJ113" si="76">+R103-AB103</f>
        <v>605361.1176</v>
      </c>
      <c r="AK103" s="649"/>
      <c r="AL103" s="649">
        <f t="shared" ref="AL103:AL113" si="77">SUM(AF103:AJ103)</f>
        <v>605361.1176</v>
      </c>
      <c r="AN103" s="649">
        <v>0</v>
      </c>
      <c r="AO103" s="649"/>
      <c r="AP103" s="649">
        <v>0</v>
      </c>
      <c r="AQ103" s="649"/>
      <c r="AR103" s="664">
        <v>11398</v>
      </c>
      <c r="AS103" s="649"/>
      <c r="AT103" s="648">
        <f t="shared" ref="AT103:AT113" si="78">+AF103-AN103</f>
        <v>0</v>
      </c>
      <c r="AU103" s="649"/>
      <c r="AV103" s="648">
        <f t="shared" ref="AV103:AV113" si="79">+AH103-AP103</f>
        <v>0</v>
      </c>
      <c r="AW103" s="649"/>
      <c r="AX103" s="648">
        <f t="shared" ref="AX103:AX113" si="80">+AJ103-AR103</f>
        <v>593963.1176</v>
      </c>
      <c r="AY103" s="649"/>
      <c r="AZ103" s="649">
        <f>SUM(AT103:AX103)</f>
        <v>593963.1176</v>
      </c>
      <c r="BC103" s="632">
        <f t="shared" si="72"/>
        <v>501</v>
      </c>
    </row>
    <row r="104" spans="1:55" ht="14.5">
      <c r="A104" s="632">
        <v>502</v>
      </c>
      <c r="B104" s="682" t="s">
        <v>1223</v>
      </c>
      <c r="F104" s="664">
        <v>26635870</v>
      </c>
      <c r="G104" s="649"/>
      <c r="H104" s="664">
        <v>15981522</v>
      </c>
      <c r="I104" s="649"/>
      <c r="J104" s="664">
        <v>10654348</v>
      </c>
      <c r="L104" s="675"/>
      <c r="N104" s="649">
        <v>0</v>
      </c>
      <c r="O104" s="649"/>
      <c r="P104" s="649">
        <v>0</v>
      </c>
      <c r="Q104" s="649"/>
      <c r="R104" s="649">
        <f>+J104</f>
        <v>10654348</v>
      </c>
      <c r="S104" s="649"/>
      <c r="T104" s="649">
        <f t="shared" si="71"/>
        <v>10654348</v>
      </c>
      <c r="U104" s="649"/>
      <c r="V104" s="649"/>
      <c r="W104" s="649"/>
      <c r="X104" s="649">
        <v>0</v>
      </c>
      <c r="Y104" s="649"/>
      <c r="Z104" s="649">
        <v>0</v>
      </c>
      <c r="AA104" s="649"/>
      <c r="AB104" s="750">
        <v>-3168793.4525511921</v>
      </c>
      <c r="AC104" s="649"/>
      <c r="AD104" s="649"/>
      <c r="AE104" s="649"/>
      <c r="AF104" s="648">
        <f t="shared" si="74"/>
        <v>0</v>
      </c>
      <c r="AG104" s="649"/>
      <c r="AH104" s="648">
        <f t="shared" si="75"/>
        <v>0</v>
      </c>
      <c r="AI104" s="649"/>
      <c r="AJ104" s="648">
        <f t="shared" si="76"/>
        <v>13823141.452551192</v>
      </c>
      <c r="AK104" s="649"/>
      <c r="AL104" s="649">
        <f t="shared" si="77"/>
        <v>13823141.452551192</v>
      </c>
      <c r="AN104" s="649">
        <v>0</v>
      </c>
      <c r="AO104" s="649"/>
      <c r="AP104" s="649">
        <v>0</v>
      </c>
      <c r="AQ104" s="649"/>
      <c r="AR104" s="664">
        <v>260269.47051498722</v>
      </c>
      <c r="AS104" s="649"/>
      <c r="AT104" s="648">
        <f t="shared" si="78"/>
        <v>0</v>
      </c>
      <c r="AU104" s="649"/>
      <c r="AV104" s="648">
        <f t="shared" si="79"/>
        <v>0</v>
      </c>
      <c r="AW104" s="649"/>
      <c r="AX104" s="648">
        <f t="shared" si="80"/>
        <v>13562871.982036205</v>
      </c>
      <c r="AY104" s="649"/>
      <c r="AZ104" s="649">
        <f t="shared" ref="AZ104" si="81">SUM(AT104:AX104)</f>
        <v>13562871.982036205</v>
      </c>
      <c r="BC104" s="632">
        <f t="shared" si="72"/>
        <v>502</v>
      </c>
    </row>
    <row r="105" spans="1:55" ht="14.5">
      <c r="A105" s="632" t="s">
        <v>1564</v>
      </c>
      <c r="B105" s="682" t="s">
        <v>1565</v>
      </c>
      <c r="F105" s="664">
        <v>-26601023.383000001</v>
      </c>
      <c r="G105" s="649"/>
      <c r="H105" s="664">
        <v>-15960614.0298</v>
      </c>
      <c r="I105" s="649"/>
      <c r="J105" s="664">
        <v>-10640409.3532</v>
      </c>
      <c r="L105" s="675"/>
      <c r="N105" s="649">
        <v>0</v>
      </c>
      <c r="O105" s="649"/>
      <c r="P105" s="649">
        <v>0</v>
      </c>
      <c r="Q105" s="649"/>
      <c r="R105" s="649">
        <f>+J105</f>
        <v>-10640409.3532</v>
      </c>
      <c r="S105" s="649"/>
      <c r="T105" s="649">
        <f t="shared" ref="T105" si="82">SUM(N105:R105)</f>
        <v>-10640409.3532</v>
      </c>
      <c r="U105" s="649"/>
      <c r="V105" s="649"/>
      <c r="W105" s="649"/>
      <c r="X105" s="649">
        <v>0</v>
      </c>
      <c r="Y105" s="649"/>
      <c r="Z105" s="649">
        <v>0</v>
      </c>
      <c r="AA105" s="649"/>
      <c r="AB105" s="750">
        <v>0</v>
      </c>
      <c r="AC105" s="649"/>
      <c r="AD105" s="649"/>
      <c r="AE105" s="649"/>
      <c r="AF105" s="648">
        <f t="shared" ref="AF105" si="83">+N105-X105</f>
        <v>0</v>
      </c>
      <c r="AG105" s="649"/>
      <c r="AH105" s="648">
        <f t="shared" ref="AH105" si="84">+P105-Z105</f>
        <v>0</v>
      </c>
      <c r="AI105" s="649"/>
      <c r="AJ105" s="648">
        <f t="shared" ref="AJ105" si="85">+R105-AB105</f>
        <v>-10640409.3532</v>
      </c>
      <c r="AK105" s="649"/>
      <c r="AL105" s="649">
        <f t="shared" ref="AL105" si="86">SUM(AF105:AJ105)</f>
        <v>-10640409.3532</v>
      </c>
      <c r="AN105" s="649">
        <v>0</v>
      </c>
      <c r="AO105" s="649"/>
      <c r="AP105" s="649">
        <v>0</v>
      </c>
      <c r="AQ105" s="649"/>
      <c r="AR105" s="664">
        <v>-200343.29518555038</v>
      </c>
      <c r="AS105" s="649"/>
      <c r="AT105" s="648">
        <f t="shared" ref="AT105" si="87">+AF105-AN105</f>
        <v>0</v>
      </c>
      <c r="AU105" s="649"/>
      <c r="AV105" s="648">
        <f t="shared" ref="AV105" si="88">+AH105-AP105</f>
        <v>0</v>
      </c>
      <c r="AW105" s="649"/>
      <c r="AX105" s="648">
        <f t="shared" ref="AX105" si="89">+AJ105-AR105</f>
        <v>-10440066.058014449</v>
      </c>
      <c r="AY105" s="649"/>
      <c r="AZ105" s="649">
        <f t="shared" ref="AZ105" si="90">SUM(AT105:AX105)</f>
        <v>-10440066.058014449</v>
      </c>
      <c r="BC105" s="632" t="str">
        <f t="shared" ref="BC105" si="91">A105</f>
        <v>502a</v>
      </c>
    </row>
    <row r="106" spans="1:55" ht="14.5">
      <c r="A106" s="632">
        <v>503</v>
      </c>
      <c r="B106" s="666" t="s">
        <v>1566</v>
      </c>
      <c r="F106" s="664">
        <v>-47739682.848362915</v>
      </c>
      <c r="G106" s="649"/>
      <c r="H106" s="664">
        <v>-28643809.713524446</v>
      </c>
      <c r="I106" s="649"/>
      <c r="J106" s="664">
        <v>-19095873.134838477</v>
      </c>
      <c r="L106" s="675"/>
      <c r="N106" s="649">
        <v>0</v>
      </c>
      <c r="O106" s="649"/>
      <c r="P106" s="649">
        <v>0</v>
      </c>
      <c r="Q106" s="649"/>
      <c r="R106" s="649">
        <f>J106</f>
        <v>-19095873.134838477</v>
      </c>
      <c r="S106" s="649"/>
      <c r="T106" s="649">
        <f>SUM(N106:R106)</f>
        <v>-19095873.134838477</v>
      </c>
      <c r="U106" s="649"/>
      <c r="V106" s="649"/>
      <c r="W106" s="649"/>
      <c r="X106" s="649">
        <v>0</v>
      </c>
      <c r="Y106" s="649"/>
      <c r="Z106" s="649">
        <v>0</v>
      </c>
      <c r="AA106" s="649"/>
      <c r="AB106" s="750">
        <v>-14788550.447035514</v>
      </c>
      <c r="AC106" s="649"/>
      <c r="AD106" s="649"/>
      <c r="AE106" s="649"/>
      <c r="AF106" s="648">
        <f t="shared" si="74"/>
        <v>0</v>
      </c>
      <c r="AG106" s="649"/>
      <c r="AH106" s="648">
        <f t="shared" si="75"/>
        <v>0</v>
      </c>
      <c r="AI106" s="649"/>
      <c r="AJ106" s="648">
        <f t="shared" si="76"/>
        <v>-4307322.687802963</v>
      </c>
      <c r="AK106" s="649"/>
      <c r="AL106" s="649">
        <f t="shared" si="77"/>
        <v>-4307322.687802963</v>
      </c>
      <c r="AN106" s="649">
        <v>0</v>
      </c>
      <c r="AO106" s="649"/>
      <c r="AP106" s="649">
        <v>0</v>
      </c>
      <c r="AQ106" s="649"/>
      <c r="AR106" s="664">
        <v>-81100.56597046215</v>
      </c>
      <c r="AS106" s="649"/>
      <c r="AT106" s="648">
        <f t="shared" si="78"/>
        <v>0</v>
      </c>
      <c r="AU106" s="649"/>
      <c r="AV106" s="648">
        <f t="shared" si="79"/>
        <v>0</v>
      </c>
      <c r="AW106" s="649"/>
      <c r="AX106" s="648">
        <f t="shared" si="80"/>
        <v>-4226222.1218325011</v>
      </c>
      <c r="AY106" s="649"/>
      <c r="AZ106" s="649">
        <f t="shared" ref="AZ106:AZ113" si="92">SUM(AT106:AX106)</f>
        <v>-4226222.1218325011</v>
      </c>
      <c r="BC106" s="632">
        <f t="shared" si="72"/>
        <v>503</v>
      </c>
    </row>
    <row r="107" spans="1:55" ht="14.5">
      <c r="A107" s="632">
        <f t="shared" si="73"/>
        <v>504</v>
      </c>
      <c r="B107" s="666" t="s">
        <v>1567</v>
      </c>
      <c r="F107" s="664">
        <v>-103799.5006187651</v>
      </c>
      <c r="G107" s="649"/>
      <c r="H107" s="664">
        <v>-62279.567696489263</v>
      </c>
      <c r="I107" s="649"/>
      <c r="J107" s="664">
        <v>-41519.932922275839</v>
      </c>
      <c r="L107" s="675"/>
      <c r="N107" s="649">
        <v>0</v>
      </c>
      <c r="O107" s="649"/>
      <c r="P107" s="649">
        <v>0</v>
      </c>
      <c r="Q107" s="649"/>
      <c r="R107" s="649">
        <f>J107</f>
        <v>-41519.932922275839</v>
      </c>
      <c r="S107" s="649"/>
      <c r="T107" s="649">
        <f>SUM(N107:R107)</f>
        <v>-41519.932922275839</v>
      </c>
      <c r="U107" s="649"/>
      <c r="V107" s="649"/>
      <c r="W107" s="649"/>
      <c r="X107" s="649">
        <v>0</v>
      </c>
      <c r="Y107" s="649"/>
      <c r="Z107" s="649">
        <v>0</v>
      </c>
      <c r="AA107" s="649"/>
      <c r="AB107" s="750">
        <v>-32154.571736151232</v>
      </c>
      <c r="AC107" s="649"/>
      <c r="AD107" s="649"/>
      <c r="AE107" s="649"/>
      <c r="AF107" s="648">
        <f t="shared" si="74"/>
        <v>0</v>
      </c>
      <c r="AG107" s="649"/>
      <c r="AH107" s="648">
        <f t="shared" si="75"/>
        <v>0</v>
      </c>
      <c r="AI107" s="649"/>
      <c r="AJ107" s="648">
        <f t="shared" si="76"/>
        <v>-9365.3611861246063</v>
      </c>
      <c r="AK107" s="649"/>
      <c r="AL107" s="649">
        <f t="shared" si="77"/>
        <v>-9365.3611861246063</v>
      </c>
      <c r="AN107" s="649">
        <v>0</v>
      </c>
      <c r="AO107" s="649"/>
      <c r="AP107" s="649">
        <v>0</v>
      </c>
      <c r="AQ107" s="649"/>
      <c r="AR107" s="664">
        <v>-176.33600910915757</v>
      </c>
      <c r="AS107" s="649"/>
      <c r="AT107" s="648">
        <f t="shared" si="78"/>
        <v>0</v>
      </c>
      <c r="AU107" s="649"/>
      <c r="AV107" s="648">
        <f t="shared" si="79"/>
        <v>0</v>
      </c>
      <c r="AW107" s="649"/>
      <c r="AX107" s="648">
        <f t="shared" si="80"/>
        <v>-9189.0251770154482</v>
      </c>
      <c r="AY107" s="649"/>
      <c r="AZ107" s="649">
        <f t="shared" si="92"/>
        <v>-9189.0251770154482</v>
      </c>
      <c r="BC107" s="632">
        <f t="shared" si="72"/>
        <v>504</v>
      </c>
    </row>
    <row r="108" spans="1:55" ht="14.5">
      <c r="A108" s="632">
        <f>+A107+1</f>
        <v>505</v>
      </c>
      <c r="B108" s="666" t="s">
        <v>1568</v>
      </c>
      <c r="F108" s="664">
        <v>53593752.500699803</v>
      </c>
      <c r="G108" s="649"/>
      <c r="H108" s="664">
        <v>32156251.730074722</v>
      </c>
      <c r="I108" s="649"/>
      <c r="J108" s="664">
        <v>21437500.770625081</v>
      </c>
      <c r="L108" s="675"/>
      <c r="N108" s="649">
        <v>0</v>
      </c>
      <c r="O108" s="649"/>
      <c r="P108" s="649">
        <v>0</v>
      </c>
      <c r="Q108" s="649"/>
      <c r="R108" s="649">
        <f>J108</f>
        <v>21437500.770625081</v>
      </c>
      <c r="S108" s="649"/>
      <c r="T108" s="649">
        <f>SUM(N108:R108)</f>
        <v>21437500.770625081</v>
      </c>
      <c r="U108" s="649"/>
      <c r="V108" s="649"/>
      <c r="W108" s="649"/>
      <c r="X108" s="649">
        <v>0</v>
      </c>
      <c r="Y108" s="649"/>
      <c r="Z108" s="649">
        <v>0</v>
      </c>
      <c r="AA108" s="649"/>
      <c r="AB108" s="750">
        <v>16601993.497032797</v>
      </c>
      <c r="AC108" s="649"/>
      <c r="AD108" s="649"/>
      <c r="AE108" s="649"/>
      <c r="AF108" s="648">
        <f t="shared" si="74"/>
        <v>0</v>
      </c>
      <c r="AG108" s="649"/>
      <c r="AH108" s="648">
        <f t="shared" si="75"/>
        <v>0</v>
      </c>
      <c r="AI108" s="649"/>
      <c r="AJ108" s="648">
        <f t="shared" si="76"/>
        <v>4835507.2735922839</v>
      </c>
      <c r="AK108" s="649"/>
      <c r="AL108" s="649">
        <f t="shared" si="77"/>
        <v>4835507.2735922839</v>
      </c>
      <c r="AN108" s="649">
        <v>0</v>
      </c>
      <c r="AO108" s="649"/>
      <c r="AP108" s="649">
        <v>0</v>
      </c>
      <c r="AQ108" s="649"/>
      <c r="AR108" s="664">
        <v>91045.506702598839</v>
      </c>
      <c r="AS108" s="649"/>
      <c r="AT108" s="648">
        <f t="shared" si="78"/>
        <v>0</v>
      </c>
      <c r="AU108" s="649"/>
      <c r="AV108" s="648">
        <f t="shared" si="79"/>
        <v>0</v>
      </c>
      <c r="AW108" s="649"/>
      <c r="AX108" s="648">
        <f t="shared" si="80"/>
        <v>4744461.7668896848</v>
      </c>
      <c r="AY108" s="649"/>
      <c r="AZ108" s="649">
        <f t="shared" si="92"/>
        <v>4744461.7668896848</v>
      </c>
      <c r="BC108" s="632">
        <f t="shared" si="72"/>
        <v>505</v>
      </c>
    </row>
    <row r="109" spans="1:55" ht="14.5">
      <c r="A109" s="632">
        <f>+A108+1</f>
        <v>506</v>
      </c>
      <c r="B109" s="666" t="s">
        <v>1569</v>
      </c>
      <c r="F109" s="664">
        <v>4213331.3249256369</v>
      </c>
      <c r="G109" s="649"/>
      <c r="H109" s="664">
        <v>2531567.1823000652</v>
      </c>
      <c r="I109" s="649"/>
      <c r="J109" s="664">
        <v>1681764.1426255719</v>
      </c>
      <c r="L109" s="675"/>
      <c r="N109" s="649">
        <v>0</v>
      </c>
      <c r="O109" s="649"/>
      <c r="P109" s="649">
        <v>0</v>
      </c>
      <c r="Q109" s="649"/>
      <c r="R109" s="649">
        <f>J109</f>
        <v>1681764.1426255719</v>
      </c>
      <c r="S109" s="649"/>
      <c r="T109" s="649">
        <f>SUM(N109:R109)</f>
        <v>1681764.1426255719</v>
      </c>
      <c r="U109" s="649"/>
      <c r="V109" s="649"/>
      <c r="W109" s="649"/>
      <c r="X109" s="649">
        <v>0</v>
      </c>
      <c r="Y109" s="649"/>
      <c r="Z109" s="649">
        <v>0</v>
      </c>
      <c r="AA109" s="649"/>
      <c r="AB109" s="750">
        <v>1302420.3547864673</v>
      </c>
      <c r="AC109" s="649"/>
      <c r="AD109" s="649"/>
      <c r="AE109" s="649"/>
      <c r="AF109" s="648">
        <f t="shared" si="74"/>
        <v>0</v>
      </c>
      <c r="AG109" s="649"/>
      <c r="AH109" s="648">
        <f t="shared" si="75"/>
        <v>0</v>
      </c>
      <c r="AI109" s="649"/>
      <c r="AJ109" s="648">
        <f t="shared" si="76"/>
        <v>379343.78783910465</v>
      </c>
      <c r="AK109" s="649"/>
      <c r="AL109" s="649">
        <f t="shared" si="77"/>
        <v>379343.78783910465</v>
      </c>
      <c r="AN109" s="649">
        <v>0</v>
      </c>
      <c r="AO109" s="649"/>
      <c r="AP109" s="649">
        <v>0</v>
      </c>
      <c r="AQ109" s="649"/>
      <c r="AR109" s="664">
        <v>7142.4869045097275</v>
      </c>
      <c r="AS109" s="649"/>
      <c r="AT109" s="648">
        <f t="shared" si="78"/>
        <v>0</v>
      </c>
      <c r="AU109" s="649"/>
      <c r="AV109" s="648">
        <f t="shared" si="79"/>
        <v>0</v>
      </c>
      <c r="AW109" s="649"/>
      <c r="AX109" s="648">
        <f t="shared" si="80"/>
        <v>372201.30093459494</v>
      </c>
      <c r="AY109" s="649"/>
      <c r="AZ109" s="649">
        <f t="shared" si="92"/>
        <v>372201.30093459494</v>
      </c>
      <c r="BC109" s="632">
        <f t="shared" si="72"/>
        <v>506</v>
      </c>
    </row>
    <row r="110" spans="1:55" ht="14.5">
      <c r="A110" s="632">
        <f t="shared" ref="A110:A112" si="93">+A109+1</f>
        <v>507</v>
      </c>
      <c r="B110" s="666" t="s">
        <v>1570</v>
      </c>
      <c r="F110" s="664">
        <v>9122.9710945983843</v>
      </c>
      <c r="G110" s="649"/>
      <c r="H110" s="664">
        <v>5504.3275068897183</v>
      </c>
      <c r="I110" s="649"/>
      <c r="J110" s="664">
        <v>3618.643587708666</v>
      </c>
      <c r="L110" s="675"/>
      <c r="N110" s="649">
        <v>0</v>
      </c>
      <c r="O110" s="649"/>
      <c r="P110" s="649">
        <v>0</v>
      </c>
      <c r="Q110" s="649"/>
      <c r="R110" s="649">
        <f t="shared" ref="R110:R111" si="94">J110</f>
        <v>3618.643587708666</v>
      </c>
      <c r="S110" s="649"/>
      <c r="T110" s="649">
        <f t="shared" ref="T110:T111" si="95">SUM(N110:R110)</f>
        <v>3618.643587708666</v>
      </c>
      <c r="U110" s="649"/>
      <c r="V110" s="649"/>
      <c r="W110" s="649"/>
      <c r="X110" s="649">
        <v>0</v>
      </c>
      <c r="Y110" s="649"/>
      <c r="Z110" s="649">
        <v>0</v>
      </c>
      <c r="AA110" s="649"/>
      <c r="AB110" s="750">
        <v>2802.4114356436235</v>
      </c>
      <c r="AC110" s="649"/>
      <c r="AD110" s="649"/>
      <c r="AE110" s="649"/>
      <c r="AF110" s="648">
        <f t="shared" si="74"/>
        <v>0</v>
      </c>
      <c r="AG110" s="649"/>
      <c r="AH110" s="648">
        <f t="shared" si="75"/>
        <v>0</v>
      </c>
      <c r="AI110" s="649"/>
      <c r="AJ110" s="648">
        <f t="shared" si="76"/>
        <v>816.23215206504256</v>
      </c>
      <c r="AK110" s="649"/>
      <c r="AL110" s="649">
        <f t="shared" si="77"/>
        <v>816.23215206504256</v>
      </c>
      <c r="AN110" s="649">
        <v>0</v>
      </c>
      <c r="AO110" s="649"/>
      <c r="AP110" s="649">
        <v>0</v>
      </c>
      <c r="AQ110" s="649"/>
      <c r="AR110" s="664">
        <v>15.368453745806624</v>
      </c>
      <c r="AS110" s="649"/>
      <c r="AT110" s="648">
        <f t="shared" si="78"/>
        <v>0</v>
      </c>
      <c r="AU110" s="649"/>
      <c r="AV110" s="648">
        <f t="shared" si="79"/>
        <v>0</v>
      </c>
      <c r="AW110" s="649"/>
      <c r="AX110" s="648">
        <f t="shared" si="80"/>
        <v>800.86369831923594</v>
      </c>
      <c r="AY110" s="649"/>
      <c r="AZ110" s="649">
        <f t="shared" si="92"/>
        <v>800.86369831923594</v>
      </c>
      <c r="BC110" s="632">
        <f t="shared" si="72"/>
        <v>507</v>
      </c>
    </row>
    <row r="111" spans="1:55" ht="14.5">
      <c r="A111" s="632">
        <f t="shared" si="93"/>
        <v>508</v>
      </c>
      <c r="B111" s="666" t="s">
        <v>1571</v>
      </c>
      <c r="F111" s="664">
        <v>-5726065.1655639941</v>
      </c>
      <c r="G111" s="649"/>
      <c r="H111" s="664">
        <v>-3437649.0479296735</v>
      </c>
      <c r="I111" s="649"/>
      <c r="J111" s="664">
        <v>-2288416.1176343206</v>
      </c>
      <c r="L111" s="675"/>
      <c r="N111" s="649">
        <v>0</v>
      </c>
      <c r="O111" s="649"/>
      <c r="P111" s="649">
        <v>0</v>
      </c>
      <c r="Q111" s="649"/>
      <c r="R111" s="649">
        <f t="shared" si="94"/>
        <v>-2288416.1176343206</v>
      </c>
      <c r="S111" s="649"/>
      <c r="T111" s="649">
        <f t="shared" si="95"/>
        <v>-2288416.1176343206</v>
      </c>
      <c r="U111" s="649"/>
      <c r="V111" s="649"/>
      <c r="W111" s="649"/>
      <c r="X111" s="649">
        <v>0</v>
      </c>
      <c r="Y111" s="649"/>
      <c r="Z111" s="649">
        <v>0</v>
      </c>
      <c r="AA111" s="649"/>
      <c r="AB111" s="750">
        <v>-1772234.0822270322</v>
      </c>
      <c r="AC111" s="649"/>
      <c r="AD111" s="649"/>
      <c r="AE111" s="649"/>
      <c r="AF111" s="648">
        <f t="shared" si="74"/>
        <v>0</v>
      </c>
      <c r="AG111" s="649"/>
      <c r="AH111" s="648">
        <f t="shared" si="75"/>
        <v>0</v>
      </c>
      <c r="AI111" s="649"/>
      <c r="AJ111" s="648">
        <f t="shared" si="76"/>
        <v>-516182.03540728847</v>
      </c>
      <c r="AK111" s="649"/>
      <c r="AL111" s="649">
        <f t="shared" si="77"/>
        <v>-516182.03540728847</v>
      </c>
      <c r="AN111" s="649">
        <v>0</v>
      </c>
      <c r="AO111" s="649"/>
      <c r="AP111" s="649">
        <v>0</v>
      </c>
      <c r="AQ111" s="649"/>
      <c r="AR111" s="664">
        <v>-9718.9503200813451</v>
      </c>
      <c r="AS111" s="649"/>
      <c r="AT111" s="648">
        <f t="shared" si="78"/>
        <v>0</v>
      </c>
      <c r="AU111" s="649"/>
      <c r="AV111" s="648">
        <f t="shared" si="79"/>
        <v>0</v>
      </c>
      <c r="AW111" s="649"/>
      <c r="AX111" s="648">
        <f t="shared" si="80"/>
        <v>-506463.08508720715</v>
      </c>
      <c r="AY111" s="649"/>
      <c r="AZ111" s="649">
        <f t="shared" si="92"/>
        <v>-506463.08508720715</v>
      </c>
      <c r="BC111" s="632">
        <f t="shared" si="72"/>
        <v>508</v>
      </c>
    </row>
    <row r="112" spans="1:55" ht="14.5">
      <c r="A112" s="632">
        <f t="shared" si="93"/>
        <v>509</v>
      </c>
      <c r="B112" s="666"/>
      <c r="F112" s="664"/>
      <c r="G112" s="649"/>
      <c r="H112" s="664"/>
      <c r="I112" s="649"/>
      <c r="J112" s="664"/>
      <c r="N112" s="649">
        <v>0</v>
      </c>
      <c r="O112" s="649"/>
      <c r="P112" s="649">
        <v>0</v>
      </c>
      <c r="Q112" s="649"/>
      <c r="R112" s="649">
        <f t="shared" ref="R112:R113" si="96">J112</f>
        <v>0</v>
      </c>
      <c r="S112" s="649"/>
      <c r="T112" s="649">
        <f t="shared" ref="T112:T113" si="97">SUM(N112:R112)</f>
        <v>0</v>
      </c>
      <c r="U112" s="649"/>
      <c r="V112" s="649"/>
      <c r="W112" s="649"/>
      <c r="X112" s="649">
        <v>0</v>
      </c>
      <c r="Y112" s="649"/>
      <c r="Z112" s="649">
        <v>0</v>
      </c>
      <c r="AA112" s="649"/>
      <c r="AB112" s="750">
        <v>0</v>
      </c>
      <c r="AC112" s="649"/>
      <c r="AD112" s="649"/>
      <c r="AE112" s="649"/>
      <c r="AF112" s="648">
        <f t="shared" si="74"/>
        <v>0</v>
      </c>
      <c r="AG112" s="649"/>
      <c r="AH112" s="648">
        <f t="shared" si="75"/>
        <v>0</v>
      </c>
      <c r="AI112" s="649"/>
      <c r="AJ112" s="648">
        <f t="shared" si="76"/>
        <v>0</v>
      </c>
      <c r="AK112" s="649"/>
      <c r="AL112" s="649">
        <f t="shared" si="77"/>
        <v>0</v>
      </c>
      <c r="AN112" s="649">
        <v>0</v>
      </c>
      <c r="AO112" s="649"/>
      <c r="AP112" s="649">
        <v>0</v>
      </c>
      <c r="AQ112" s="649"/>
      <c r="AR112" s="664"/>
      <c r="AS112" s="649"/>
      <c r="AT112" s="648">
        <f t="shared" si="78"/>
        <v>0</v>
      </c>
      <c r="AU112" s="649"/>
      <c r="AV112" s="648">
        <f t="shared" si="79"/>
        <v>0</v>
      </c>
      <c r="AW112" s="649"/>
      <c r="AX112" s="648">
        <f t="shared" si="80"/>
        <v>0</v>
      </c>
      <c r="AY112" s="649"/>
      <c r="AZ112" s="649">
        <f t="shared" si="92"/>
        <v>0</v>
      </c>
      <c r="BC112" s="632">
        <f t="shared" si="72"/>
        <v>509</v>
      </c>
    </row>
    <row r="113" spans="1:55" ht="14.5">
      <c r="A113" s="632">
        <f>+A110+1</f>
        <v>508</v>
      </c>
      <c r="B113" s="666"/>
      <c r="F113" s="664"/>
      <c r="G113" s="649"/>
      <c r="H113" s="664"/>
      <c r="I113" s="649"/>
      <c r="J113" s="664"/>
      <c r="N113" s="649">
        <v>0</v>
      </c>
      <c r="O113" s="649"/>
      <c r="P113" s="649">
        <v>0</v>
      </c>
      <c r="Q113" s="649"/>
      <c r="R113" s="649">
        <f t="shared" si="96"/>
        <v>0</v>
      </c>
      <c r="S113" s="649"/>
      <c r="T113" s="649">
        <f t="shared" si="97"/>
        <v>0</v>
      </c>
      <c r="U113" s="649"/>
      <c r="V113" s="649"/>
      <c r="W113" s="649"/>
      <c r="X113" s="649">
        <v>0</v>
      </c>
      <c r="Y113" s="649"/>
      <c r="Z113" s="649">
        <v>0</v>
      </c>
      <c r="AA113" s="649"/>
      <c r="AB113" s="750">
        <v>0</v>
      </c>
      <c r="AC113" s="649"/>
      <c r="AD113" s="649"/>
      <c r="AE113" s="649"/>
      <c r="AF113" s="648">
        <f t="shared" si="74"/>
        <v>0</v>
      </c>
      <c r="AG113" s="649"/>
      <c r="AH113" s="648">
        <f t="shared" si="75"/>
        <v>0</v>
      </c>
      <c r="AI113" s="649"/>
      <c r="AJ113" s="648">
        <f t="shared" si="76"/>
        <v>0</v>
      </c>
      <c r="AK113" s="649"/>
      <c r="AL113" s="649">
        <f t="shared" si="77"/>
        <v>0</v>
      </c>
      <c r="AN113" s="649">
        <v>0</v>
      </c>
      <c r="AO113" s="649"/>
      <c r="AP113" s="649">
        <v>0</v>
      </c>
      <c r="AQ113" s="649"/>
      <c r="AR113" s="664"/>
      <c r="AS113" s="649"/>
      <c r="AT113" s="648">
        <f t="shared" si="78"/>
        <v>0</v>
      </c>
      <c r="AU113" s="649"/>
      <c r="AV113" s="648">
        <f t="shared" si="79"/>
        <v>0</v>
      </c>
      <c r="AW113" s="649"/>
      <c r="AX113" s="648">
        <f t="shared" si="80"/>
        <v>0</v>
      </c>
      <c r="AY113" s="649"/>
      <c r="AZ113" s="649">
        <f t="shared" si="92"/>
        <v>0</v>
      </c>
      <c r="BC113" s="632">
        <f t="shared" si="72"/>
        <v>508</v>
      </c>
    </row>
    <row r="114" spans="1:55" ht="14.5">
      <c r="A114" s="632"/>
      <c r="B114" s="638"/>
      <c r="F114" s="649"/>
      <c r="G114" s="649"/>
      <c r="H114" s="649"/>
      <c r="I114" s="649"/>
      <c r="J114" s="649"/>
      <c r="N114" s="649"/>
      <c r="O114" s="649"/>
      <c r="P114" s="649"/>
      <c r="Q114" s="649"/>
      <c r="R114" s="649"/>
      <c r="S114" s="649"/>
      <c r="T114" s="649"/>
      <c r="U114" s="649"/>
      <c r="V114" s="649"/>
      <c r="W114" s="649"/>
      <c r="X114" s="649"/>
      <c r="Y114" s="649"/>
      <c r="Z114" s="649"/>
      <c r="AA114" s="649"/>
      <c r="AB114" s="649"/>
      <c r="AC114" s="649"/>
      <c r="AD114" s="649"/>
      <c r="AE114" s="649"/>
      <c r="AF114" s="649"/>
      <c r="AG114" s="649"/>
      <c r="AH114" s="649"/>
      <c r="AI114" s="649"/>
      <c r="AJ114" s="649"/>
      <c r="AK114" s="649"/>
      <c r="AL114" s="649"/>
      <c r="AN114" s="649"/>
      <c r="AO114" s="649"/>
      <c r="AP114" s="649"/>
      <c r="AQ114" s="649"/>
      <c r="AR114" s="649"/>
      <c r="AS114" s="649"/>
      <c r="AT114" s="649"/>
      <c r="AU114" s="649"/>
      <c r="AV114" s="649"/>
      <c r="AW114" s="649"/>
      <c r="AX114" s="649"/>
      <c r="AY114" s="649"/>
      <c r="AZ114" s="649"/>
      <c r="BC114" s="632"/>
    </row>
    <row r="115" spans="1:55" ht="14.5">
      <c r="A115" s="316" t="s">
        <v>99</v>
      </c>
      <c r="BC115" s="660" t="s">
        <v>99</v>
      </c>
    </row>
    <row r="116" spans="1:55" ht="14.5">
      <c r="A116" s="632">
        <v>600</v>
      </c>
      <c r="B116" s="630" t="s">
        <v>1572</v>
      </c>
      <c r="F116" s="652">
        <f>ROUND(SUM(F117:F121),0)</f>
        <v>336430551</v>
      </c>
      <c r="G116" s="649"/>
      <c r="H116" s="652">
        <f>ROUND(SUM(H117:H121),0)</f>
        <v>201858330</v>
      </c>
      <c r="I116" s="649"/>
      <c r="J116" s="652">
        <f>ROUND(SUM(J117:J121),0)</f>
        <v>134572220</v>
      </c>
      <c r="K116" s="632"/>
      <c r="L116" s="632"/>
      <c r="M116" s="632"/>
      <c r="N116" s="652">
        <f>ROUND(SUM(N117:N121),0)</f>
        <v>134572220</v>
      </c>
      <c r="O116" s="649"/>
      <c r="P116" s="652">
        <f>ROUND(SUM(P117:P121),0)</f>
        <v>0</v>
      </c>
      <c r="Q116" s="649"/>
      <c r="R116" s="652">
        <f>ROUND(SUM(R117:R121),0)</f>
        <v>0</v>
      </c>
      <c r="S116" s="649"/>
      <c r="T116" s="652">
        <f>ROUND(SUM(T117:T121),0)</f>
        <v>134572220</v>
      </c>
      <c r="U116" s="649"/>
      <c r="V116" s="649"/>
      <c r="W116" s="649"/>
      <c r="X116" s="652">
        <f>SUM(X117:X121)</f>
        <v>4444754.7878294298</v>
      </c>
      <c r="Y116" s="649"/>
      <c r="Z116" s="652">
        <f>SUM(Z117:Z121)</f>
        <v>0</v>
      </c>
      <c r="AA116" s="649"/>
      <c r="AB116" s="652">
        <f>SUM(AB117:AB121)</f>
        <v>0</v>
      </c>
      <c r="AC116" s="649"/>
      <c r="AD116" s="649"/>
      <c r="AE116" s="649"/>
      <c r="AF116" s="652">
        <f>SUM(AF117:AF121)</f>
        <v>130127465.41820458</v>
      </c>
      <c r="AG116" s="649"/>
      <c r="AH116" s="652">
        <f>SUM(AH117:AH121)</f>
        <v>0</v>
      </c>
      <c r="AI116" s="649"/>
      <c r="AJ116" s="652">
        <f>SUM(AJ117:AJ121)</f>
        <v>0</v>
      </c>
      <c r="AK116" s="649"/>
      <c r="AL116" s="652">
        <f>SUM(AL117:AL121)</f>
        <v>130127465.41820458</v>
      </c>
      <c r="AN116" s="652">
        <f>SUM(AN117:AN121)</f>
        <v>2174700.3264231398</v>
      </c>
      <c r="AO116" s="649"/>
      <c r="AP116" s="652">
        <f>SUM(AP117:AP121)</f>
        <v>0</v>
      </c>
      <c r="AQ116" s="649"/>
      <c r="AR116" s="652">
        <f>SUM(AR117:AR121)</f>
        <v>0</v>
      </c>
      <c r="AS116" s="649"/>
      <c r="AT116" s="652">
        <f>SUM(AT117:AT121)</f>
        <v>127952765.09178144</v>
      </c>
      <c r="AU116" s="649"/>
      <c r="AV116" s="652">
        <f>SUM(AV117:AV121)</f>
        <v>0</v>
      </c>
      <c r="AW116" s="649"/>
      <c r="AX116" s="652">
        <f>SUM(AX117:AX121)</f>
        <v>0</v>
      </c>
      <c r="AY116" s="649"/>
      <c r="AZ116" s="652">
        <f>SUM(AZ117:AZ121)</f>
        <v>127952765.09178144</v>
      </c>
      <c r="BC116" s="632">
        <f t="shared" ref="BC116:BC121" si="98">A116</f>
        <v>600</v>
      </c>
    </row>
    <row r="117" spans="1:55" ht="14.5">
      <c r="A117" s="632">
        <f t="shared" ref="A117:A120" si="99">A116+1</f>
        <v>601</v>
      </c>
      <c r="B117" s="682" t="s">
        <v>1573</v>
      </c>
      <c r="F117" s="664">
        <v>336430550.515086</v>
      </c>
      <c r="G117" s="649"/>
      <c r="H117" s="664">
        <v>201858330.30905101</v>
      </c>
      <c r="I117" s="649"/>
      <c r="J117" s="664">
        <v>134572220.206034</v>
      </c>
      <c r="N117" s="649">
        <f>+J117</f>
        <v>134572220.206034</v>
      </c>
      <c r="O117" s="649"/>
      <c r="P117" s="649">
        <v>0</v>
      </c>
      <c r="Q117" s="649"/>
      <c r="R117" s="649">
        <v>0</v>
      </c>
      <c r="S117" s="649"/>
      <c r="T117" s="649">
        <f>SUM(N117:R117)</f>
        <v>134572220.206034</v>
      </c>
      <c r="U117" s="649"/>
      <c r="V117" s="649"/>
      <c r="W117" s="649"/>
      <c r="X117" s="664">
        <v>4444754.7878294298</v>
      </c>
      <c r="Y117" s="649"/>
      <c r="Z117" s="649">
        <v>0</v>
      </c>
      <c r="AA117" s="649"/>
      <c r="AB117" s="649">
        <v>0</v>
      </c>
      <c r="AC117" s="649"/>
      <c r="AD117" s="649"/>
      <c r="AE117" s="649"/>
      <c r="AF117" s="648">
        <f t="shared" ref="AF117:AF122" si="100">+N117-X117</f>
        <v>130127465.41820458</v>
      </c>
      <c r="AG117" s="649"/>
      <c r="AH117" s="648">
        <f t="shared" ref="AH117:AH122" si="101">+P117-Z117</f>
        <v>0</v>
      </c>
      <c r="AI117" s="649"/>
      <c r="AJ117" s="648">
        <f t="shared" ref="AJ117:AJ122" si="102">+R117-AB117</f>
        <v>0</v>
      </c>
      <c r="AK117" s="649"/>
      <c r="AL117" s="649">
        <f t="shared" ref="AL117:AL122" si="103">SUM(AF117:AJ117)</f>
        <v>130127465.41820458</v>
      </c>
      <c r="AN117" s="753">
        <v>2174700.3264231398</v>
      </c>
      <c r="AO117" s="649"/>
      <c r="AP117" s="649">
        <v>0</v>
      </c>
      <c r="AQ117" s="649"/>
      <c r="AR117" s="649">
        <v>0</v>
      </c>
      <c r="AS117" s="649"/>
      <c r="AT117" s="648">
        <f>+AF117-AN117</f>
        <v>127952765.09178144</v>
      </c>
      <c r="AU117" s="649"/>
      <c r="AV117" s="648">
        <f t="shared" ref="AV117:AV122" si="104">+AH117-AP117</f>
        <v>0</v>
      </c>
      <c r="AW117" s="649"/>
      <c r="AX117" s="648">
        <f t="shared" ref="AX117:AX122" si="105">+AJ117-AR117</f>
        <v>0</v>
      </c>
      <c r="AY117" s="649"/>
      <c r="AZ117" s="649">
        <f>SUM(AT117:AX117)</f>
        <v>127952765.09178144</v>
      </c>
      <c r="BC117" s="632">
        <f t="shared" si="98"/>
        <v>601</v>
      </c>
    </row>
    <row r="118" spans="1:55" ht="14.5">
      <c r="A118" s="632">
        <f t="shared" si="99"/>
        <v>602</v>
      </c>
      <c r="B118" s="682"/>
      <c r="F118" s="664"/>
      <c r="G118" s="649"/>
      <c r="H118" s="664"/>
      <c r="I118" s="649"/>
      <c r="J118" s="664"/>
      <c r="N118" s="649">
        <f>J118</f>
        <v>0</v>
      </c>
      <c r="O118" s="649"/>
      <c r="P118" s="649">
        <v>0</v>
      </c>
      <c r="Q118" s="649"/>
      <c r="R118" s="649">
        <v>0</v>
      </c>
      <c r="S118" s="649"/>
      <c r="T118" s="649">
        <f t="shared" ref="T118:T121" si="106">SUM(N118:R118)</f>
        <v>0</v>
      </c>
      <c r="U118" s="649"/>
      <c r="V118" s="649"/>
      <c r="W118" s="649"/>
      <c r="X118" s="664"/>
      <c r="Y118" s="649"/>
      <c r="Z118" s="649">
        <v>0</v>
      </c>
      <c r="AA118" s="649"/>
      <c r="AB118" s="649">
        <v>0</v>
      </c>
      <c r="AC118" s="649"/>
      <c r="AD118" s="649"/>
      <c r="AE118" s="649"/>
      <c r="AF118" s="648">
        <f t="shared" si="100"/>
        <v>0</v>
      </c>
      <c r="AG118" s="649"/>
      <c r="AH118" s="648">
        <f t="shared" si="101"/>
        <v>0</v>
      </c>
      <c r="AI118" s="649"/>
      <c r="AJ118" s="648">
        <f t="shared" si="102"/>
        <v>0</v>
      </c>
      <c r="AK118" s="649"/>
      <c r="AL118" s="649">
        <f t="shared" si="103"/>
        <v>0</v>
      </c>
      <c r="AN118" s="664"/>
      <c r="AO118" s="649"/>
      <c r="AP118" s="649">
        <v>0</v>
      </c>
      <c r="AQ118" s="649"/>
      <c r="AR118" s="649">
        <v>0</v>
      </c>
      <c r="AS118" s="649"/>
      <c r="AT118" s="648">
        <f t="shared" ref="AT118:AT122" si="107">+AF118-AN118</f>
        <v>0</v>
      </c>
      <c r="AU118" s="649"/>
      <c r="AV118" s="648">
        <f t="shared" si="104"/>
        <v>0</v>
      </c>
      <c r="AW118" s="649"/>
      <c r="AX118" s="648">
        <f t="shared" si="105"/>
        <v>0</v>
      </c>
      <c r="AY118" s="649"/>
      <c r="AZ118" s="649">
        <f t="shared" ref="AZ118:AZ121" si="108">SUM(AT118:AX118)</f>
        <v>0</v>
      </c>
      <c r="BC118" s="632">
        <f t="shared" si="98"/>
        <v>602</v>
      </c>
    </row>
    <row r="119" spans="1:55" ht="14.5">
      <c r="A119" s="632">
        <f t="shared" si="99"/>
        <v>603</v>
      </c>
      <c r="B119" s="665"/>
      <c r="F119" s="664"/>
      <c r="G119" s="649"/>
      <c r="H119" s="664"/>
      <c r="I119" s="649"/>
      <c r="J119" s="664"/>
      <c r="N119" s="649">
        <v>0</v>
      </c>
      <c r="O119" s="649"/>
      <c r="P119" s="649">
        <v>0</v>
      </c>
      <c r="Q119" s="649"/>
      <c r="R119" s="649">
        <v>0</v>
      </c>
      <c r="S119" s="649"/>
      <c r="T119" s="649">
        <f t="shared" si="106"/>
        <v>0</v>
      </c>
      <c r="U119" s="649"/>
      <c r="V119" s="649"/>
      <c r="W119" s="649"/>
      <c r="X119" s="664"/>
      <c r="Y119" s="649"/>
      <c r="Z119" s="649">
        <v>0</v>
      </c>
      <c r="AA119" s="649"/>
      <c r="AB119" s="649">
        <v>0</v>
      </c>
      <c r="AC119" s="649"/>
      <c r="AD119" s="649"/>
      <c r="AE119" s="649"/>
      <c r="AF119" s="648">
        <f t="shared" si="100"/>
        <v>0</v>
      </c>
      <c r="AG119" s="649"/>
      <c r="AH119" s="648">
        <f t="shared" si="101"/>
        <v>0</v>
      </c>
      <c r="AI119" s="649"/>
      <c r="AJ119" s="648">
        <f t="shared" si="102"/>
        <v>0</v>
      </c>
      <c r="AK119" s="649"/>
      <c r="AL119" s="649">
        <f t="shared" si="103"/>
        <v>0</v>
      </c>
      <c r="AN119" s="664"/>
      <c r="AO119" s="649"/>
      <c r="AP119" s="649">
        <v>0</v>
      </c>
      <c r="AQ119" s="649"/>
      <c r="AR119" s="649">
        <v>0</v>
      </c>
      <c r="AS119" s="649"/>
      <c r="AT119" s="648">
        <f t="shared" si="107"/>
        <v>0</v>
      </c>
      <c r="AU119" s="649"/>
      <c r="AV119" s="648">
        <f t="shared" si="104"/>
        <v>0</v>
      </c>
      <c r="AW119" s="649"/>
      <c r="AX119" s="648">
        <f t="shared" si="105"/>
        <v>0</v>
      </c>
      <c r="AY119" s="649"/>
      <c r="AZ119" s="649">
        <f t="shared" si="108"/>
        <v>0</v>
      </c>
      <c r="BC119" s="632">
        <f t="shared" si="98"/>
        <v>603</v>
      </c>
    </row>
    <row r="120" spans="1:55" ht="14.5">
      <c r="A120" s="632">
        <f t="shared" si="99"/>
        <v>604</v>
      </c>
      <c r="B120" s="665"/>
      <c r="F120" s="664"/>
      <c r="G120" s="649"/>
      <c r="H120" s="664"/>
      <c r="I120" s="649"/>
      <c r="J120" s="664"/>
      <c r="N120" s="649">
        <v>0</v>
      </c>
      <c r="O120" s="649"/>
      <c r="P120" s="649">
        <v>0</v>
      </c>
      <c r="Q120" s="649"/>
      <c r="R120" s="649">
        <v>0</v>
      </c>
      <c r="S120" s="649"/>
      <c r="T120" s="649">
        <f t="shared" si="106"/>
        <v>0</v>
      </c>
      <c r="U120" s="649"/>
      <c r="V120" s="649"/>
      <c r="W120" s="649"/>
      <c r="X120" s="664"/>
      <c r="Y120" s="649"/>
      <c r="Z120" s="649">
        <v>0</v>
      </c>
      <c r="AA120" s="649"/>
      <c r="AB120" s="649">
        <v>0</v>
      </c>
      <c r="AC120" s="649"/>
      <c r="AD120" s="649"/>
      <c r="AE120" s="649"/>
      <c r="AF120" s="648">
        <f t="shared" si="100"/>
        <v>0</v>
      </c>
      <c r="AG120" s="649"/>
      <c r="AH120" s="648">
        <f t="shared" si="101"/>
        <v>0</v>
      </c>
      <c r="AI120" s="649"/>
      <c r="AJ120" s="648">
        <f t="shared" si="102"/>
        <v>0</v>
      </c>
      <c r="AK120" s="649"/>
      <c r="AL120" s="649">
        <f t="shared" si="103"/>
        <v>0</v>
      </c>
      <c r="AN120" s="664"/>
      <c r="AO120" s="649"/>
      <c r="AP120" s="649">
        <v>0</v>
      </c>
      <c r="AQ120" s="649"/>
      <c r="AR120" s="649">
        <v>0</v>
      </c>
      <c r="AS120" s="649"/>
      <c r="AT120" s="648">
        <f t="shared" si="107"/>
        <v>0</v>
      </c>
      <c r="AU120" s="649"/>
      <c r="AV120" s="648">
        <f t="shared" si="104"/>
        <v>0</v>
      </c>
      <c r="AW120" s="649"/>
      <c r="AX120" s="648">
        <f t="shared" si="105"/>
        <v>0</v>
      </c>
      <c r="AY120" s="649"/>
      <c r="AZ120" s="649">
        <f t="shared" si="108"/>
        <v>0</v>
      </c>
      <c r="BC120" s="632">
        <f t="shared" si="98"/>
        <v>604</v>
      </c>
    </row>
    <row r="121" spans="1:55" ht="14.5">
      <c r="A121" s="632">
        <f>+A120+1</f>
        <v>605</v>
      </c>
      <c r="B121" s="665"/>
      <c r="F121" s="664"/>
      <c r="G121" s="649"/>
      <c r="H121" s="664"/>
      <c r="I121" s="649"/>
      <c r="J121" s="664"/>
      <c r="N121" s="649">
        <v>0</v>
      </c>
      <c r="O121" s="649"/>
      <c r="P121" s="649">
        <v>0</v>
      </c>
      <c r="Q121" s="649"/>
      <c r="R121" s="649">
        <v>0</v>
      </c>
      <c r="S121" s="649"/>
      <c r="T121" s="649">
        <f t="shared" si="106"/>
        <v>0</v>
      </c>
      <c r="U121" s="649"/>
      <c r="V121" s="649"/>
      <c r="W121" s="649"/>
      <c r="X121" s="664"/>
      <c r="Y121" s="649"/>
      <c r="Z121" s="649">
        <v>0</v>
      </c>
      <c r="AA121" s="649"/>
      <c r="AB121" s="649">
        <v>0</v>
      </c>
      <c r="AC121" s="649"/>
      <c r="AD121" s="649"/>
      <c r="AE121" s="649"/>
      <c r="AF121" s="648">
        <f t="shared" si="100"/>
        <v>0</v>
      </c>
      <c r="AG121" s="649"/>
      <c r="AH121" s="648">
        <f t="shared" si="101"/>
        <v>0</v>
      </c>
      <c r="AI121" s="649"/>
      <c r="AJ121" s="648">
        <f t="shared" si="102"/>
        <v>0</v>
      </c>
      <c r="AK121" s="649"/>
      <c r="AL121" s="649">
        <f t="shared" si="103"/>
        <v>0</v>
      </c>
      <c r="AN121" s="664"/>
      <c r="AO121" s="649"/>
      <c r="AP121" s="649">
        <v>0</v>
      </c>
      <c r="AQ121" s="649"/>
      <c r="AR121" s="649">
        <v>0</v>
      </c>
      <c r="AS121" s="649"/>
      <c r="AT121" s="648">
        <f t="shared" si="107"/>
        <v>0</v>
      </c>
      <c r="AU121" s="649"/>
      <c r="AV121" s="648">
        <f t="shared" si="104"/>
        <v>0</v>
      </c>
      <c r="AW121" s="649"/>
      <c r="AX121" s="648">
        <f t="shared" si="105"/>
        <v>0</v>
      </c>
      <c r="AY121" s="649"/>
      <c r="AZ121" s="649">
        <f t="shared" si="108"/>
        <v>0</v>
      </c>
      <c r="BC121" s="632">
        <f t="shared" si="98"/>
        <v>605</v>
      </c>
    </row>
    <row r="122" spans="1:55" ht="14.5">
      <c r="A122" s="632"/>
      <c r="B122" s="638"/>
      <c r="F122" s="649"/>
      <c r="G122" s="649"/>
      <c r="H122" s="649"/>
      <c r="I122" s="649"/>
      <c r="J122" s="649"/>
      <c r="N122" s="649"/>
      <c r="O122" s="649"/>
      <c r="P122" s="649"/>
      <c r="Q122" s="649"/>
      <c r="R122" s="649"/>
      <c r="S122" s="649"/>
      <c r="T122" s="649"/>
      <c r="U122" s="649"/>
      <c r="V122" s="649"/>
      <c r="W122" s="649"/>
      <c r="X122" s="649"/>
      <c r="Y122" s="649"/>
      <c r="Z122" s="649"/>
      <c r="AA122" s="649"/>
      <c r="AB122" s="649"/>
      <c r="AC122" s="649"/>
      <c r="AD122" s="649"/>
      <c r="AE122" s="649"/>
      <c r="AF122" s="649">
        <f t="shared" si="100"/>
        <v>0</v>
      </c>
      <c r="AG122" s="649"/>
      <c r="AH122" s="649">
        <f t="shared" si="101"/>
        <v>0</v>
      </c>
      <c r="AI122" s="649"/>
      <c r="AJ122" s="649">
        <f t="shared" si="102"/>
        <v>0</v>
      </c>
      <c r="AK122" s="649"/>
      <c r="AL122" s="649">
        <f t="shared" si="103"/>
        <v>0</v>
      </c>
      <c r="AN122" s="649"/>
      <c r="AO122" s="649"/>
      <c r="AP122" s="649"/>
      <c r="AQ122" s="649"/>
      <c r="AR122" s="649"/>
      <c r="AS122" s="649"/>
      <c r="AT122" s="649">
        <f t="shared" si="107"/>
        <v>0</v>
      </c>
      <c r="AU122" s="649"/>
      <c r="AV122" s="649">
        <f t="shared" si="104"/>
        <v>0</v>
      </c>
      <c r="AW122" s="649"/>
      <c r="AX122" s="649">
        <f t="shared" si="105"/>
        <v>0</v>
      </c>
      <c r="AY122" s="649"/>
      <c r="AZ122" s="649"/>
      <c r="BC122" s="632"/>
    </row>
    <row r="123" spans="1:55" ht="14.5">
      <c r="A123" s="316" t="s">
        <v>99</v>
      </c>
      <c r="BC123" s="660" t="s">
        <v>99</v>
      </c>
    </row>
    <row r="124" spans="1:55" ht="14.5">
      <c r="A124" s="632">
        <v>700</v>
      </c>
      <c r="B124" s="654" t="s">
        <v>1494</v>
      </c>
      <c r="F124" s="652">
        <f>SUM(F125:F129)</f>
        <v>-22361973.694661092</v>
      </c>
      <c r="G124" s="649"/>
      <c r="H124" s="652">
        <f>SUM(H125:H129)</f>
        <v>-13417682.378914446</v>
      </c>
      <c r="I124" s="649"/>
      <c r="J124" s="652">
        <f>SUM(J125:J129)</f>
        <v>-8944291.3157466538</v>
      </c>
      <c r="K124" s="632"/>
      <c r="L124" s="632"/>
      <c r="M124" s="632"/>
      <c r="N124" s="652">
        <f>SUM(N125:N129)</f>
        <v>0</v>
      </c>
      <c r="O124" s="649"/>
      <c r="P124" s="652">
        <f>SUM(P125:P129)</f>
        <v>-8944291.3157466538</v>
      </c>
      <c r="Q124" s="649"/>
      <c r="R124" s="652">
        <f>SUM(R125:R129)</f>
        <v>0</v>
      </c>
      <c r="S124" s="649"/>
      <c r="T124" s="652">
        <f>SUM(T125:T129)</f>
        <v>-8944291.3157466538</v>
      </c>
      <c r="U124" s="649"/>
      <c r="V124" s="649"/>
      <c r="W124" s="649"/>
      <c r="X124" s="652">
        <f>SUM(X125:X129)</f>
        <v>0</v>
      </c>
      <c r="Y124" s="649"/>
      <c r="Z124" s="652">
        <f>SUM(Z125:Z129)</f>
        <v>-2007129.7761870476</v>
      </c>
      <c r="AA124" s="649"/>
      <c r="AB124" s="652">
        <f>SUM(AB125:AB129)</f>
        <v>0</v>
      </c>
      <c r="AC124" s="649"/>
      <c r="AD124" s="649"/>
      <c r="AE124" s="649"/>
      <c r="AF124" s="652">
        <f>SUM(AF125:AF129)</f>
        <v>0</v>
      </c>
      <c r="AG124" s="649"/>
      <c r="AH124" s="652">
        <f>SUM(AH125:AH129)</f>
        <v>-6937161.5395596046</v>
      </c>
      <c r="AI124" s="649"/>
      <c r="AJ124" s="652">
        <f>SUM(AJ125:AJ129)</f>
        <v>0</v>
      </c>
      <c r="AK124" s="649"/>
      <c r="AL124" s="652">
        <f>SUM(AL125:AL129)</f>
        <v>-6937161.5395596046</v>
      </c>
      <c r="AN124" s="652">
        <f>SUM(AN125:AN129)</f>
        <v>0</v>
      </c>
      <c r="AO124" s="649"/>
      <c r="AP124" s="652">
        <f>SUM(AP125:AP129)</f>
        <v>-130616.5727215996</v>
      </c>
      <c r="AQ124" s="649"/>
      <c r="AR124" s="652">
        <f>SUM(AR125:AR129)</f>
        <v>0</v>
      </c>
      <c r="AS124" s="649"/>
      <c r="AT124" s="652">
        <f>SUM(AT125:AT129)</f>
        <v>0</v>
      </c>
      <c r="AU124" s="649"/>
      <c r="AV124" s="652">
        <f>SUM(AV125:AV129)</f>
        <v>-6806544.9668380041</v>
      </c>
      <c r="AW124" s="649"/>
      <c r="AX124" s="652">
        <f>SUM(AX125:AX129)</f>
        <v>0</v>
      </c>
      <c r="AY124" s="649"/>
      <c r="AZ124" s="652">
        <f>SUM(AZ125:AZ129)</f>
        <v>-6806544.9668380041</v>
      </c>
      <c r="BC124" s="632">
        <f t="shared" ref="BC124:BC129" si="109">A124</f>
        <v>700</v>
      </c>
    </row>
    <row r="125" spans="1:55" ht="14.5">
      <c r="A125" s="632">
        <f t="shared" ref="A125:A128" si="110">A124+1</f>
        <v>701</v>
      </c>
      <c r="B125" s="666" t="s">
        <v>1574</v>
      </c>
      <c r="F125" s="664">
        <v>-29456149.263061095</v>
      </c>
      <c r="G125" s="649"/>
      <c r="H125" s="664">
        <v>-17673689.602903582</v>
      </c>
      <c r="I125" s="649"/>
      <c r="J125" s="664">
        <v>-11782459.660157517</v>
      </c>
      <c r="N125" s="649">
        <v>0</v>
      </c>
      <c r="O125" s="649"/>
      <c r="P125" s="649">
        <f>J125</f>
        <v>-11782459.660157517</v>
      </c>
      <c r="Q125" s="649"/>
      <c r="R125" s="649">
        <v>0</v>
      </c>
      <c r="S125" s="649"/>
      <c r="T125" s="649">
        <f>SUM(N125:R125)</f>
        <v>-11782459.660157517</v>
      </c>
      <c r="U125" s="649"/>
      <c r="V125" s="649"/>
      <c r="W125" s="649"/>
      <c r="X125" s="649"/>
      <c r="Y125" s="649"/>
      <c r="Z125" s="664">
        <v>-2644024.5275766398</v>
      </c>
      <c r="AA125" s="649"/>
      <c r="AB125" s="649"/>
      <c r="AC125" s="649"/>
      <c r="AD125" s="649"/>
      <c r="AE125" s="649"/>
      <c r="AF125" s="648">
        <f t="shared" ref="AF125:AF129" si="111">+N125-X125</f>
        <v>0</v>
      </c>
      <c r="AG125" s="649"/>
      <c r="AH125" s="648">
        <f t="shared" ref="AH125:AH129" si="112">+P125-Z125</f>
        <v>-9138435.1325808764</v>
      </c>
      <c r="AI125" s="649"/>
      <c r="AJ125" s="648">
        <f t="shared" ref="AJ125:AJ129" si="113">+R125-AB125</f>
        <v>0</v>
      </c>
      <c r="AK125" s="649"/>
      <c r="AL125" s="649">
        <f t="shared" ref="AL125:AL129" si="114">SUM(AF125:AJ125)</f>
        <v>-9138435.1325808764</v>
      </c>
      <c r="AN125" s="649"/>
      <c r="AO125" s="649"/>
      <c r="AP125" s="664">
        <v>-172063.32449512873</v>
      </c>
      <c r="AQ125" s="649"/>
      <c r="AR125" s="649"/>
      <c r="AS125" s="649"/>
      <c r="AT125" s="648">
        <f>+AF125-AN125</f>
        <v>0</v>
      </c>
      <c r="AU125" s="649"/>
      <c r="AV125" s="648">
        <f>+AH125-AP125</f>
        <v>-8966371.8080857471</v>
      </c>
      <c r="AW125" s="649"/>
      <c r="AX125" s="648">
        <f>+AJ125-AR125</f>
        <v>0</v>
      </c>
      <c r="AY125" s="649"/>
      <c r="AZ125" s="649">
        <f>SUM(AT125:AX125)</f>
        <v>-8966371.8080857471</v>
      </c>
      <c r="BC125" s="632">
        <f t="shared" si="109"/>
        <v>701</v>
      </c>
    </row>
    <row r="126" spans="1:55" ht="14.5">
      <c r="A126" s="632">
        <f t="shared" si="110"/>
        <v>702</v>
      </c>
      <c r="B126" s="666" t="s">
        <v>1575</v>
      </c>
      <c r="F126" s="664">
        <v>3240926.9879999999</v>
      </c>
      <c r="G126" s="649"/>
      <c r="H126" s="664">
        <v>1944556.164138</v>
      </c>
      <c r="I126" s="649"/>
      <c r="J126" s="664">
        <v>1296370.8238620001</v>
      </c>
      <c r="N126" s="649">
        <v>0</v>
      </c>
      <c r="O126" s="649"/>
      <c r="P126" s="649">
        <f t="shared" ref="P126:P129" si="115">J126</f>
        <v>1296370.8238620001</v>
      </c>
      <c r="Q126" s="649"/>
      <c r="R126" s="649">
        <v>0</v>
      </c>
      <c r="S126" s="649"/>
      <c r="T126" s="649">
        <f t="shared" ref="T126:T129" si="116">SUM(N126:R126)</f>
        <v>1296370.8238620001</v>
      </c>
      <c r="U126" s="649"/>
      <c r="V126" s="649"/>
      <c r="W126" s="649"/>
      <c r="X126" s="649"/>
      <c r="Y126" s="649"/>
      <c r="Z126" s="664">
        <v>290910.077690862</v>
      </c>
      <c r="AA126" s="649"/>
      <c r="AB126" s="649"/>
      <c r="AC126" s="649"/>
      <c r="AD126" s="649"/>
      <c r="AE126" s="649"/>
      <c r="AF126" s="648">
        <f t="shared" si="111"/>
        <v>0</v>
      </c>
      <c r="AG126" s="649"/>
      <c r="AH126" s="648">
        <f t="shared" si="112"/>
        <v>1005460.7461711381</v>
      </c>
      <c r="AI126" s="649"/>
      <c r="AJ126" s="648">
        <f t="shared" si="113"/>
        <v>0</v>
      </c>
      <c r="AK126" s="649"/>
      <c r="AL126" s="649">
        <f t="shared" si="114"/>
        <v>1005460.7461711381</v>
      </c>
      <c r="AN126" s="649"/>
      <c r="AO126" s="649"/>
      <c r="AP126" s="664">
        <v>18931.350513039037</v>
      </c>
      <c r="AQ126" s="649"/>
      <c r="AR126" s="649"/>
      <c r="AS126" s="649"/>
      <c r="AT126" s="648">
        <f>+AF126-AN126</f>
        <v>0</v>
      </c>
      <c r="AU126" s="649"/>
      <c r="AV126" s="648">
        <f>+AH126-AP126</f>
        <v>986529.39565809909</v>
      </c>
      <c r="AW126" s="649"/>
      <c r="AX126" s="648">
        <f>+AJ126-AR126</f>
        <v>0</v>
      </c>
      <c r="AY126" s="649"/>
      <c r="AZ126" s="649">
        <f t="shared" ref="AZ126:AZ129" si="117">SUM(AT126:AX126)</f>
        <v>986529.39565809909</v>
      </c>
      <c r="BC126" s="632">
        <f t="shared" si="109"/>
        <v>702</v>
      </c>
    </row>
    <row r="127" spans="1:55" ht="14.5">
      <c r="A127" s="632">
        <f t="shared" si="110"/>
        <v>703</v>
      </c>
      <c r="B127" s="666" t="s">
        <v>1576</v>
      </c>
      <c r="F127" s="664">
        <v>3853248.5804000003</v>
      </c>
      <c r="G127" s="649"/>
      <c r="H127" s="664">
        <v>2311451.0598511361</v>
      </c>
      <c r="I127" s="649"/>
      <c r="J127" s="664">
        <v>1541797.520548864</v>
      </c>
      <c r="N127" s="649">
        <v>0</v>
      </c>
      <c r="O127" s="649"/>
      <c r="P127" s="649">
        <f t="shared" si="115"/>
        <v>1541797.520548864</v>
      </c>
      <c r="Q127" s="649"/>
      <c r="R127" s="649">
        <v>0</v>
      </c>
      <c r="S127" s="649"/>
      <c r="T127" s="649">
        <f t="shared" si="116"/>
        <v>1541797.520548864</v>
      </c>
      <c r="U127" s="649"/>
      <c r="V127" s="649"/>
      <c r="W127" s="649"/>
      <c r="X127" s="649"/>
      <c r="Y127" s="649"/>
      <c r="Z127" s="664">
        <v>345984.67369873001</v>
      </c>
      <c r="AA127" s="649"/>
      <c r="AB127" s="649"/>
      <c r="AC127" s="649"/>
      <c r="AD127" s="649"/>
      <c r="AE127" s="649"/>
      <c r="AF127" s="648">
        <f t="shared" si="111"/>
        <v>0</v>
      </c>
      <c r="AG127" s="649"/>
      <c r="AH127" s="648">
        <f t="shared" si="112"/>
        <v>1195812.846850134</v>
      </c>
      <c r="AI127" s="649"/>
      <c r="AJ127" s="648">
        <f t="shared" si="113"/>
        <v>0</v>
      </c>
      <c r="AK127" s="649"/>
      <c r="AL127" s="649">
        <f t="shared" si="114"/>
        <v>1195812.846850134</v>
      </c>
      <c r="AN127" s="649"/>
      <c r="AO127" s="649"/>
      <c r="AP127" s="664">
        <v>22515.401260490085</v>
      </c>
      <c r="AQ127" s="649"/>
      <c r="AR127" s="649"/>
      <c r="AS127" s="649"/>
      <c r="AT127" s="648">
        <f>+AF127-AN127</f>
        <v>0</v>
      </c>
      <c r="AU127" s="649"/>
      <c r="AV127" s="648">
        <f>+AH127-AP127</f>
        <v>1173297.4455896439</v>
      </c>
      <c r="AW127" s="649"/>
      <c r="AX127" s="648">
        <f>+AJ127-AR127</f>
        <v>0</v>
      </c>
      <c r="AY127" s="649"/>
      <c r="AZ127" s="649">
        <f t="shared" si="117"/>
        <v>1173297.4455896439</v>
      </c>
      <c r="BC127" s="632">
        <f t="shared" si="109"/>
        <v>703</v>
      </c>
    </row>
    <row r="128" spans="1:55" ht="14.5">
      <c r="A128" s="632">
        <f t="shared" si="110"/>
        <v>704</v>
      </c>
      <c r="B128" s="666"/>
      <c r="F128" s="664"/>
      <c r="G128" s="649"/>
      <c r="H128" s="664"/>
      <c r="I128" s="649"/>
      <c r="J128" s="664"/>
      <c r="N128" s="649">
        <v>0</v>
      </c>
      <c r="O128" s="649"/>
      <c r="P128" s="649">
        <f t="shared" si="115"/>
        <v>0</v>
      </c>
      <c r="Q128" s="649"/>
      <c r="R128" s="649">
        <v>0</v>
      </c>
      <c r="S128" s="649"/>
      <c r="T128" s="649">
        <f t="shared" si="116"/>
        <v>0</v>
      </c>
      <c r="U128" s="649"/>
      <c r="V128" s="649"/>
      <c r="W128" s="649"/>
      <c r="X128" s="649"/>
      <c r="Y128" s="649"/>
      <c r="Z128" s="664"/>
      <c r="AA128" s="649"/>
      <c r="AB128" s="649"/>
      <c r="AC128" s="649"/>
      <c r="AD128" s="649"/>
      <c r="AE128" s="649"/>
      <c r="AF128" s="648">
        <f t="shared" si="111"/>
        <v>0</v>
      </c>
      <c r="AG128" s="649"/>
      <c r="AH128" s="648">
        <f t="shared" si="112"/>
        <v>0</v>
      </c>
      <c r="AI128" s="649"/>
      <c r="AJ128" s="648">
        <f t="shared" si="113"/>
        <v>0</v>
      </c>
      <c r="AK128" s="649"/>
      <c r="AL128" s="649">
        <f t="shared" si="114"/>
        <v>0</v>
      </c>
      <c r="AN128" s="649"/>
      <c r="AO128" s="649"/>
      <c r="AP128" s="664"/>
      <c r="AQ128" s="649"/>
      <c r="AR128" s="649"/>
      <c r="AS128" s="649"/>
      <c r="AT128" s="648">
        <f>+AF128-AN128</f>
        <v>0</v>
      </c>
      <c r="AU128" s="649"/>
      <c r="AV128" s="648">
        <f>+AH128-AP128</f>
        <v>0</v>
      </c>
      <c r="AW128" s="649"/>
      <c r="AX128" s="648">
        <f>+AJ128-AR128</f>
        <v>0</v>
      </c>
      <c r="AY128" s="649"/>
      <c r="AZ128" s="649">
        <f t="shared" si="117"/>
        <v>0</v>
      </c>
      <c r="BC128" s="632">
        <f t="shared" si="109"/>
        <v>704</v>
      </c>
    </row>
    <row r="129" spans="1:55" ht="14.5">
      <c r="A129" s="632">
        <f>+A128+1</f>
        <v>705</v>
      </c>
      <c r="B129" s="666"/>
      <c r="F129" s="664"/>
      <c r="G129" s="649"/>
      <c r="H129" s="664"/>
      <c r="I129" s="649"/>
      <c r="J129" s="664"/>
      <c r="N129" s="649">
        <v>0</v>
      </c>
      <c r="O129" s="649"/>
      <c r="P129" s="649">
        <f t="shared" si="115"/>
        <v>0</v>
      </c>
      <c r="Q129" s="649"/>
      <c r="R129" s="649">
        <v>0</v>
      </c>
      <c r="S129" s="649"/>
      <c r="T129" s="649">
        <f t="shared" si="116"/>
        <v>0</v>
      </c>
      <c r="U129" s="649"/>
      <c r="V129" s="649"/>
      <c r="W129" s="649"/>
      <c r="X129" s="649"/>
      <c r="Y129" s="649"/>
      <c r="Z129" s="664"/>
      <c r="AA129" s="649"/>
      <c r="AB129" s="649"/>
      <c r="AC129" s="649"/>
      <c r="AD129" s="649"/>
      <c r="AE129" s="649"/>
      <c r="AF129" s="648">
        <f t="shared" si="111"/>
        <v>0</v>
      </c>
      <c r="AG129" s="649"/>
      <c r="AH129" s="648">
        <f t="shared" si="112"/>
        <v>0</v>
      </c>
      <c r="AI129" s="649"/>
      <c r="AJ129" s="648">
        <f t="shared" si="113"/>
        <v>0</v>
      </c>
      <c r="AK129" s="649"/>
      <c r="AL129" s="649">
        <f t="shared" si="114"/>
        <v>0</v>
      </c>
      <c r="AN129" s="649"/>
      <c r="AO129" s="649"/>
      <c r="AP129" s="664"/>
      <c r="AQ129" s="649"/>
      <c r="AR129" s="649"/>
      <c r="AS129" s="649"/>
      <c r="AT129" s="648">
        <f>+AF129-AN129</f>
        <v>0</v>
      </c>
      <c r="AU129" s="649"/>
      <c r="AV129" s="648">
        <f>+AH129-AP129</f>
        <v>0</v>
      </c>
      <c r="AW129" s="649"/>
      <c r="AX129" s="648">
        <f>+AJ129-AR129</f>
        <v>0</v>
      </c>
      <c r="AY129" s="649"/>
      <c r="AZ129" s="649">
        <f t="shared" si="117"/>
        <v>0</v>
      </c>
      <c r="BC129" s="632">
        <f t="shared" si="109"/>
        <v>705</v>
      </c>
    </row>
  </sheetData>
  <mergeCells count="9">
    <mergeCell ref="AT4:AX4"/>
    <mergeCell ref="AT7:AZ7"/>
    <mergeCell ref="N7:T7"/>
    <mergeCell ref="AF7:AL7"/>
    <mergeCell ref="F4:J4"/>
    <mergeCell ref="N4:R4"/>
    <mergeCell ref="AF4:AJ4"/>
    <mergeCell ref="X6:AB6"/>
    <mergeCell ref="AN6:AR6"/>
  </mergeCells>
  <printOptions horizontalCentered="1"/>
  <pageMargins left="1" right="1" top="1" bottom="1" header="0.5" footer="0.5"/>
  <pageSetup scale="1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view="pageBreakPreview" zoomScale="60" workbookViewId="0">
      <selection activeCell="E21" sqref="E21"/>
    </sheetView>
  </sheetViews>
  <sheetFormatPr defaultRowHeight="14.5"/>
  <cols>
    <col min="1" max="1" width="19.7265625" customWidth="1"/>
    <col min="2" max="2" width="26.453125" bestFit="1" customWidth="1"/>
    <col min="3" max="3" width="28.54296875" bestFit="1" customWidth="1"/>
    <col min="4" max="4" width="97.26953125" bestFit="1" customWidth="1"/>
    <col min="5" max="9" width="9.1796875" customWidth="1"/>
  </cols>
  <sheetData>
    <row r="1" spans="1:9">
      <c r="A1" s="12" t="s">
        <v>75</v>
      </c>
    </row>
    <row r="3" spans="1:9">
      <c r="A3" s="12" t="s">
        <v>76</v>
      </c>
    </row>
    <row r="4" spans="1:9">
      <c r="A4" s="800" t="s">
        <v>77</v>
      </c>
      <c r="B4" s="800"/>
      <c r="C4" s="800"/>
      <c r="D4" s="800"/>
      <c r="E4" s="304"/>
      <c r="F4" s="304"/>
      <c r="G4" s="304"/>
      <c r="H4" s="304"/>
      <c r="I4" s="304"/>
    </row>
    <row r="6" spans="1:9">
      <c r="A6" s="12" t="s">
        <v>78</v>
      </c>
    </row>
    <row r="7" spans="1:9">
      <c r="A7" s="800" t="s">
        <v>79</v>
      </c>
      <c r="B7" s="800"/>
      <c r="C7" s="800"/>
      <c r="D7" s="800"/>
      <c r="E7" s="304"/>
      <c r="F7" s="304"/>
      <c r="G7" s="304"/>
      <c r="H7" s="304"/>
      <c r="I7" s="304"/>
    </row>
    <row r="9" spans="1:9">
      <c r="A9" s="12" t="s">
        <v>80</v>
      </c>
    </row>
    <row r="10" spans="1:9" ht="29.25" customHeight="1">
      <c r="A10" s="800" t="s">
        <v>81</v>
      </c>
      <c r="B10" s="800"/>
      <c r="C10" s="800"/>
      <c r="D10" s="800"/>
      <c r="E10" s="304"/>
      <c r="F10" s="304"/>
      <c r="G10" s="304"/>
      <c r="H10" s="304"/>
      <c r="I10" s="304"/>
    </row>
    <row r="12" spans="1:9">
      <c r="A12" s="12" t="s">
        <v>82</v>
      </c>
    </row>
    <row r="13" spans="1:9" ht="45.75" customHeight="1">
      <c r="A13" s="800" t="s">
        <v>83</v>
      </c>
      <c r="B13" s="800"/>
      <c r="C13" s="800"/>
      <c r="D13" s="800"/>
      <c r="E13" s="304"/>
      <c r="F13" s="304"/>
      <c r="G13" s="304"/>
      <c r="H13" s="304"/>
      <c r="I13" s="304"/>
    </row>
    <row r="15" spans="1:9">
      <c r="A15" s="12" t="s">
        <v>84</v>
      </c>
    </row>
    <row r="16" spans="1:9" ht="30" customHeight="1">
      <c r="A16" s="800" t="s">
        <v>85</v>
      </c>
      <c r="B16" s="800"/>
      <c r="C16" s="800"/>
      <c r="D16" s="800"/>
      <c r="E16" s="304"/>
      <c r="F16" s="304"/>
      <c r="G16" s="304"/>
      <c r="H16" s="304"/>
      <c r="I16" s="304"/>
    </row>
    <row r="17" spans="1:9">
      <c r="A17" s="7"/>
      <c r="B17" s="7"/>
      <c r="C17" s="7"/>
      <c r="D17" s="7"/>
      <c r="E17" s="7"/>
      <c r="F17" s="7"/>
      <c r="G17" s="7"/>
      <c r="H17" s="7"/>
      <c r="I17" s="7"/>
    </row>
    <row r="18" spans="1:9" ht="30.75" customHeight="1">
      <c r="A18" s="800" t="s">
        <v>86</v>
      </c>
      <c r="B18" s="800"/>
      <c r="C18" s="800"/>
      <c r="D18" s="800"/>
      <c r="E18" s="304"/>
      <c r="F18" s="304"/>
      <c r="G18" s="304"/>
      <c r="H18" s="304"/>
      <c r="I18" s="304"/>
    </row>
    <row r="20" spans="1:9">
      <c r="A20" s="12" t="s">
        <v>87</v>
      </c>
    </row>
    <row r="21" spans="1:9">
      <c r="A21" s="450" t="s">
        <v>88</v>
      </c>
      <c r="B21" s="450" t="s">
        <v>89</v>
      </c>
      <c r="C21" s="450" t="s">
        <v>90</v>
      </c>
      <c r="D21" s="450" t="s">
        <v>91</v>
      </c>
    </row>
    <row r="22" spans="1:9">
      <c r="A22" s="453" t="s">
        <v>92</v>
      </c>
      <c r="B22" s="453" t="s">
        <v>93</v>
      </c>
      <c r="C22" s="453" t="s">
        <v>94</v>
      </c>
      <c r="D22" s="453"/>
    </row>
    <row r="23" spans="1:9">
      <c r="A23" s="452"/>
      <c r="B23" s="452"/>
      <c r="C23" s="452"/>
      <c r="D23" s="452"/>
    </row>
    <row r="24" spans="1:9">
      <c r="A24" s="453" t="s">
        <v>95</v>
      </c>
      <c r="B24" s="453" t="s">
        <v>96</v>
      </c>
      <c r="C24" s="453" t="s">
        <v>97</v>
      </c>
      <c r="D24" s="453"/>
    </row>
    <row r="25" spans="1:9">
      <c r="A25" s="452"/>
      <c r="B25" s="452"/>
      <c r="C25" s="452" t="s">
        <v>98</v>
      </c>
      <c r="D25" s="452"/>
    </row>
    <row r="26" spans="1:9">
      <c r="A26" s="453" t="s">
        <v>99</v>
      </c>
      <c r="B26" s="453" t="s">
        <v>100</v>
      </c>
      <c r="C26" s="453" t="s">
        <v>101</v>
      </c>
      <c r="D26" s="453" t="s">
        <v>102</v>
      </c>
    </row>
    <row r="27" spans="1:9">
      <c r="A27" s="452" t="s">
        <v>103</v>
      </c>
      <c r="B27" s="452"/>
      <c r="C27" s="452"/>
      <c r="D27" s="452"/>
    </row>
    <row r="28" spans="1:9">
      <c r="A28" s="453" t="s">
        <v>99</v>
      </c>
      <c r="B28" s="453" t="s">
        <v>104</v>
      </c>
      <c r="C28" s="453" t="s">
        <v>105</v>
      </c>
      <c r="D28" s="453" t="s">
        <v>106</v>
      </c>
    </row>
    <row r="29" spans="1:9">
      <c r="A29" s="452" t="s">
        <v>107</v>
      </c>
      <c r="B29" s="452"/>
      <c r="C29" s="452"/>
      <c r="D29" s="452"/>
    </row>
    <row r="30" spans="1:9">
      <c r="A30" s="453" t="s">
        <v>108</v>
      </c>
      <c r="B30" s="453" t="s">
        <v>109</v>
      </c>
      <c r="C30" s="453" t="s">
        <v>110</v>
      </c>
      <c r="D30" s="453"/>
    </row>
    <row r="31" spans="1:9">
      <c r="A31" s="451"/>
      <c r="B31" s="451"/>
      <c r="C31" s="451" t="s">
        <v>111</v>
      </c>
      <c r="D31" s="451"/>
    </row>
    <row r="32" spans="1:9">
      <c r="A32" s="452"/>
      <c r="B32" s="452"/>
      <c r="C32" s="452" t="s">
        <v>112</v>
      </c>
      <c r="D32" s="452"/>
    </row>
    <row r="33" spans="1:4">
      <c r="A33" s="453" t="s">
        <v>113</v>
      </c>
      <c r="B33" s="453" t="s">
        <v>114</v>
      </c>
      <c r="C33" s="453" t="s">
        <v>115</v>
      </c>
      <c r="D33" s="453" t="s">
        <v>116</v>
      </c>
    </row>
    <row r="34" spans="1:4">
      <c r="A34" s="452"/>
      <c r="B34" s="452"/>
      <c r="C34" s="452" t="s">
        <v>117</v>
      </c>
      <c r="D34" s="452"/>
    </row>
    <row r="35" spans="1:4">
      <c r="A35" s="453" t="s">
        <v>5</v>
      </c>
      <c r="B35" s="453" t="s">
        <v>118</v>
      </c>
      <c r="C35" s="453" t="s">
        <v>35</v>
      </c>
      <c r="D35" s="453" t="s">
        <v>119</v>
      </c>
    </row>
    <row r="36" spans="1:4">
      <c r="A36" s="452"/>
      <c r="B36" s="452"/>
      <c r="C36" s="452"/>
      <c r="D36" s="452"/>
    </row>
    <row r="37" spans="1:4">
      <c r="A37" s="453" t="s">
        <v>120</v>
      </c>
      <c r="B37" s="453" t="s">
        <v>121</v>
      </c>
      <c r="C37" s="453" t="s">
        <v>122</v>
      </c>
      <c r="D37" s="453" t="s">
        <v>123</v>
      </c>
    </row>
    <row r="38" spans="1:4">
      <c r="A38" s="451"/>
      <c r="B38" s="451"/>
      <c r="C38" s="451"/>
      <c r="D38" s="451"/>
    </row>
    <row r="39" spans="1:4">
      <c r="A39" s="451"/>
      <c r="B39" s="451"/>
      <c r="C39" s="451" t="s">
        <v>124</v>
      </c>
      <c r="D39" s="451"/>
    </row>
    <row r="40" spans="1:4">
      <c r="A40" s="452"/>
      <c r="B40" s="452"/>
      <c r="C40" s="452"/>
      <c r="D40" s="452"/>
    </row>
    <row r="41" spans="1:4">
      <c r="A41" s="453" t="s">
        <v>125</v>
      </c>
      <c r="B41" s="551" t="s">
        <v>126</v>
      </c>
      <c r="C41" s="552" t="s">
        <v>126</v>
      </c>
      <c r="D41" s="798" t="s">
        <v>127</v>
      </c>
    </row>
    <row r="42" spans="1:4">
      <c r="A42" s="452"/>
      <c r="B42" s="227"/>
      <c r="C42" s="452"/>
      <c r="D42" s="799"/>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67" fitToHeight="0" orientation="landscape"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Q46"/>
  <sheetViews>
    <sheetView tabSelected="1" view="pageBreakPreview" topLeftCell="A21" zoomScale="55" zoomScaleNormal="80" zoomScaleSheetLayoutView="55" zoomScalePageLayoutView="55" workbookViewId="0">
      <selection activeCell="E21" sqref="E21"/>
    </sheetView>
  </sheetViews>
  <sheetFormatPr defaultColWidth="9.1796875" defaultRowHeight="14.5"/>
  <cols>
    <col min="1" max="1" width="7.1796875" bestFit="1" customWidth="1"/>
    <col min="2" max="2" width="8.81640625" customWidth="1"/>
    <col min="3" max="3" width="37.1796875" customWidth="1"/>
    <col min="4" max="5" width="17.81640625" bestFit="1" customWidth="1"/>
    <col min="6" max="6" width="18.26953125" bestFit="1" customWidth="1"/>
    <col min="7" max="7" width="16.7265625" bestFit="1" customWidth="1"/>
    <col min="8" max="9" width="17.7265625" bestFit="1" customWidth="1"/>
    <col min="10" max="10" width="16.453125" bestFit="1" customWidth="1"/>
    <col min="11" max="12" width="18.26953125" bestFit="1" customWidth="1"/>
    <col min="13" max="13" width="17.81640625" customWidth="1"/>
    <col min="14" max="14" width="17.26953125" bestFit="1" customWidth="1"/>
    <col min="15" max="15" width="17.453125" bestFit="1" customWidth="1"/>
    <col min="16" max="16" width="21.7265625" bestFit="1" customWidth="1"/>
    <col min="17" max="17" width="9.1796875" customWidth="1"/>
  </cols>
  <sheetData>
    <row r="1" spans="1:17">
      <c r="B1" s="12" t="s">
        <v>50</v>
      </c>
      <c r="L1" s="15"/>
      <c r="P1" s="15" t="str">
        <f>CONCATENATE("Prior Year: ",'1-BaseTRR'!$G$2)</f>
        <v>Prior Year: 2020</v>
      </c>
    </row>
    <row r="2" spans="1:17">
      <c r="B2" s="113" t="s">
        <v>130</v>
      </c>
      <c r="C2" s="49"/>
      <c r="L2" s="15"/>
      <c r="M2" s="15"/>
    </row>
    <row r="4" spans="1:17" ht="15" customHeight="1">
      <c r="B4" s="200" t="s">
        <v>1577</v>
      </c>
      <c r="C4" s="12"/>
      <c r="D4" s="12"/>
      <c r="F4" s="457">
        <f>P10</f>
        <v>616258249.07332659</v>
      </c>
    </row>
    <row r="5" spans="1:17">
      <c r="A5" s="13"/>
      <c r="I5" s="328"/>
      <c r="N5" s="13"/>
    </row>
    <row r="6" spans="1:17">
      <c r="B6" s="13" t="s">
        <v>413</v>
      </c>
      <c r="C6" s="13" t="s">
        <v>414</v>
      </c>
      <c r="D6" s="13" t="s">
        <v>415</v>
      </c>
      <c r="E6" s="13" t="s">
        <v>416</v>
      </c>
      <c r="F6" s="13" t="s">
        <v>417</v>
      </c>
      <c r="G6" s="13" t="s">
        <v>418</v>
      </c>
      <c r="H6" s="13" t="s">
        <v>419</v>
      </c>
      <c r="I6" s="13" t="s">
        <v>420</v>
      </c>
      <c r="J6" s="13" t="s">
        <v>451</v>
      </c>
      <c r="K6" s="13" t="s">
        <v>586</v>
      </c>
      <c r="L6" s="13" t="s">
        <v>587</v>
      </c>
      <c r="M6" s="13" t="s">
        <v>588</v>
      </c>
      <c r="N6" s="13" t="s">
        <v>589</v>
      </c>
      <c r="O6" s="13" t="s">
        <v>590</v>
      </c>
      <c r="P6" s="13" t="s">
        <v>1439</v>
      </c>
      <c r="Q6" s="13"/>
    </row>
    <row r="7" spans="1:17">
      <c r="A7" s="16" t="s">
        <v>134</v>
      </c>
      <c r="B7" s="35"/>
      <c r="C7" s="35"/>
      <c r="D7" s="35" t="s">
        <v>110</v>
      </c>
      <c r="E7" s="35" t="s">
        <v>110</v>
      </c>
      <c r="F7" s="5" t="s">
        <v>1578</v>
      </c>
      <c r="G7" s="35" t="s">
        <v>1579</v>
      </c>
      <c r="H7" s="35" t="s">
        <v>1579</v>
      </c>
      <c r="I7" s="35" t="s">
        <v>1311</v>
      </c>
      <c r="J7" s="35" t="s">
        <v>1580</v>
      </c>
      <c r="K7" s="35" t="s">
        <v>1581</v>
      </c>
      <c r="L7" s="35" t="s">
        <v>1582</v>
      </c>
      <c r="M7" s="35" t="s">
        <v>249</v>
      </c>
      <c r="N7" s="35" t="s">
        <v>1583</v>
      </c>
      <c r="O7" s="35" t="s">
        <v>1584</v>
      </c>
      <c r="P7" s="35" t="s">
        <v>1585</v>
      </c>
    </row>
    <row r="8" spans="1:17" ht="28.5" customHeight="1">
      <c r="B8" s="833" t="s">
        <v>708</v>
      </c>
      <c r="C8" s="835" t="s">
        <v>1586</v>
      </c>
      <c r="D8" s="835" t="s">
        <v>1587</v>
      </c>
      <c r="E8" s="830"/>
      <c r="F8" s="830"/>
      <c r="G8" s="827" t="s">
        <v>711</v>
      </c>
      <c r="H8" s="828"/>
      <c r="I8" s="829"/>
      <c r="J8" s="830" t="s">
        <v>1588</v>
      </c>
      <c r="K8" s="830"/>
      <c r="L8" s="830"/>
      <c r="M8" s="833" t="s">
        <v>1589</v>
      </c>
      <c r="N8" s="830" t="s">
        <v>1590</v>
      </c>
      <c r="O8" s="830"/>
      <c r="P8" s="830"/>
    </row>
    <row r="9" spans="1:17">
      <c r="A9" s="13" t="s">
        <v>99</v>
      </c>
      <c r="B9" s="834"/>
      <c r="C9" s="835"/>
      <c r="D9" s="768" t="s">
        <v>1591</v>
      </c>
      <c r="E9" s="768" t="s">
        <v>1592</v>
      </c>
      <c r="F9" s="768" t="s">
        <v>509</v>
      </c>
      <c r="G9" s="768" t="s">
        <v>1591</v>
      </c>
      <c r="H9" s="768" t="s">
        <v>1592</v>
      </c>
      <c r="I9" s="768" t="s">
        <v>509</v>
      </c>
      <c r="J9" s="768" t="s">
        <v>1591</v>
      </c>
      <c r="K9" s="768" t="s">
        <v>1592</v>
      </c>
      <c r="L9" s="768" t="s">
        <v>509</v>
      </c>
      <c r="M9" s="834"/>
      <c r="N9" s="768" t="s">
        <v>1591</v>
      </c>
      <c r="O9" s="768" t="s">
        <v>1592</v>
      </c>
      <c r="P9" s="768" t="s">
        <v>509</v>
      </c>
      <c r="Q9" s="13" t="s">
        <v>99</v>
      </c>
    </row>
    <row r="10" spans="1:17" ht="15" thickBot="1">
      <c r="A10" s="8">
        <v>100</v>
      </c>
      <c r="B10" s="832" t="s">
        <v>1593</v>
      </c>
      <c r="C10" s="832"/>
      <c r="D10" s="569">
        <f t="shared" ref="D10:L10" si="0">SUM(D11:D37)</f>
        <v>179605587.61000004</v>
      </c>
      <c r="E10" s="569">
        <f t="shared" si="0"/>
        <v>519359400.33999997</v>
      </c>
      <c r="F10" s="569">
        <f t="shared" si="0"/>
        <v>698964987.94999993</v>
      </c>
      <c r="G10" s="569">
        <f t="shared" si="0"/>
        <v>-7027985.2588788625</v>
      </c>
      <c r="H10" s="569">
        <f t="shared" si="0"/>
        <v>-43157066.751121134</v>
      </c>
      <c r="I10" s="569">
        <f t="shared" si="0"/>
        <v>-50185052.009999998</v>
      </c>
      <c r="J10" s="569">
        <f t="shared" si="0"/>
        <v>172577602.35112119</v>
      </c>
      <c r="K10" s="569">
        <f t="shared" si="0"/>
        <v>476202333.58887881</v>
      </c>
      <c r="L10" s="569">
        <f t="shared" si="0"/>
        <v>648779935.93999994</v>
      </c>
      <c r="M10" s="569"/>
      <c r="N10" s="569">
        <f>SUM(N11:N37)</f>
        <v>163914585.51340741</v>
      </c>
      <c r="O10" s="569">
        <f>SUM(O11:O37)</f>
        <v>452343663.55991924</v>
      </c>
      <c r="P10" s="569">
        <f>SUM(P11:P37)</f>
        <v>616258249.07332659</v>
      </c>
      <c r="Q10" s="8">
        <f>A10</f>
        <v>100</v>
      </c>
    </row>
    <row r="11" spans="1:17" ht="15" thickTop="1">
      <c r="A11" s="8">
        <f>A10+1</f>
        <v>101</v>
      </c>
      <c r="B11" s="214">
        <v>560</v>
      </c>
      <c r="C11" s="304" t="s">
        <v>1594</v>
      </c>
      <c r="D11" s="530">
        <v>4245610.0999999996</v>
      </c>
      <c r="E11" s="530">
        <v>-577621.49000000022</v>
      </c>
      <c r="F11" s="475">
        <f t="shared" ref="F11:F37" si="1">D11+E11</f>
        <v>3667988.6099999994</v>
      </c>
      <c r="G11" s="530"/>
      <c r="H11" s="530"/>
      <c r="I11" s="475">
        <f>G11+H11</f>
        <v>0</v>
      </c>
      <c r="J11" s="475">
        <f t="shared" ref="J11:J37" si="2">D11+G11</f>
        <v>4245610.0999999996</v>
      </c>
      <c r="K11" s="475">
        <f t="shared" ref="K11:K37" si="3">E11+H11</f>
        <v>-577621.49000000022</v>
      </c>
      <c r="L11" s="475">
        <f t="shared" ref="L11:L37" si="4">J11+K11</f>
        <v>3667988.6099999994</v>
      </c>
      <c r="M11" s="327">
        <f>'24-Allocators'!$C$37</f>
        <v>0.94980219495639873</v>
      </c>
      <c r="N11" s="478">
        <f t="shared" ref="N11:N37" si="5">J11*M11</f>
        <v>4032489.7919090553</v>
      </c>
      <c r="O11" s="478">
        <f t="shared" ref="O11:O37" si="6">K11*M11</f>
        <v>-548626.15905598574</v>
      </c>
      <c r="P11" s="478">
        <f t="shared" ref="P11:P37" si="7">N11+O11</f>
        <v>3483863.6328530693</v>
      </c>
      <c r="Q11" s="8">
        <f t="shared" ref="Q11:Q37" si="8">A11</f>
        <v>101</v>
      </c>
    </row>
    <row r="12" spans="1:17">
      <c r="A12" s="8">
        <f t="shared" ref="A12:A37" si="9">A11+1</f>
        <v>102</v>
      </c>
      <c r="B12" s="214">
        <v>561.1</v>
      </c>
      <c r="C12" s="304" t="s">
        <v>1595</v>
      </c>
      <c r="D12" s="530"/>
      <c r="E12" s="530"/>
      <c r="F12" s="475">
        <f t="shared" si="1"/>
        <v>0</v>
      </c>
      <c r="G12" s="530"/>
      <c r="H12" s="530"/>
      <c r="I12" s="475">
        <f t="shared" ref="I12:I37" si="10">G12+H12</f>
        <v>0</v>
      </c>
      <c r="J12" s="475">
        <f t="shared" si="2"/>
        <v>0</v>
      </c>
      <c r="K12" s="475">
        <f t="shared" si="3"/>
        <v>0</v>
      </c>
      <c r="L12" s="475">
        <f t="shared" si="4"/>
        <v>0</v>
      </c>
      <c r="M12" s="327">
        <f>'24-Allocators'!$C$37</f>
        <v>0.94980219495639873</v>
      </c>
      <c r="N12" s="478">
        <f t="shared" si="5"/>
        <v>0</v>
      </c>
      <c r="O12" s="478">
        <f t="shared" si="6"/>
        <v>0</v>
      </c>
      <c r="P12" s="478">
        <f t="shared" si="7"/>
        <v>0</v>
      </c>
      <c r="Q12" s="8">
        <f t="shared" si="8"/>
        <v>102</v>
      </c>
    </row>
    <row r="13" spans="1:17" ht="29">
      <c r="A13" s="8">
        <f t="shared" si="9"/>
        <v>103</v>
      </c>
      <c r="B13" s="214">
        <v>561.20000000000005</v>
      </c>
      <c r="C13" s="299" t="s">
        <v>1596</v>
      </c>
      <c r="D13" s="530">
        <v>45644038.219999999</v>
      </c>
      <c r="E13" s="530">
        <v>6482052.1700000009</v>
      </c>
      <c r="F13" s="475">
        <f t="shared" si="1"/>
        <v>52126090.390000001</v>
      </c>
      <c r="G13" s="530">
        <v>1199293.3800000001</v>
      </c>
      <c r="H13" s="530">
        <v>243109.67999999988</v>
      </c>
      <c r="I13" s="475">
        <f t="shared" si="10"/>
        <v>1442403.06</v>
      </c>
      <c r="J13" s="475">
        <f t="shared" si="2"/>
        <v>46843331.600000001</v>
      </c>
      <c r="K13" s="475">
        <f t="shared" si="3"/>
        <v>6725161.8500000006</v>
      </c>
      <c r="L13" s="475">
        <f t="shared" si="4"/>
        <v>53568493.450000003</v>
      </c>
      <c r="M13" s="327">
        <f>'24-Allocators'!$C$37</f>
        <v>0.94980219495639873</v>
      </c>
      <c r="N13" s="478">
        <f t="shared" si="5"/>
        <v>44491899.172750436</v>
      </c>
      <c r="O13" s="478">
        <f t="shared" si="6"/>
        <v>6387573.4865670353</v>
      </c>
      <c r="P13" s="478">
        <f t="shared" si="7"/>
        <v>50879472.659317471</v>
      </c>
      <c r="Q13" s="8">
        <f t="shared" si="8"/>
        <v>103</v>
      </c>
    </row>
    <row r="14" spans="1:17" ht="29">
      <c r="A14" s="8">
        <f t="shared" si="9"/>
        <v>104</v>
      </c>
      <c r="B14" s="214">
        <v>561.30000000000007</v>
      </c>
      <c r="C14" s="304" t="s">
        <v>1597</v>
      </c>
      <c r="D14" s="530"/>
      <c r="E14" s="530"/>
      <c r="F14" s="475">
        <f t="shared" si="1"/>
        <v>0</v>
      </c>
      <c r="G14" s="530"/>
      <c r="H14" s="530"/>
      <c r="I14" s="475">
        <f t="shared" si="10"/>
        <v>0</v>
      </c>
      <c r="J14" s="475">
        <f t="shared" si="2"/>
        <v>0</v>
      </c>
      <c r="K14" s="475">
        <f t="shared" si="3"/>
        <v>0</v>
      </c>
      <c r="L14" s="475">
        <f t="shared" si="4"/>
        <v>0</v>
      </c>
      <c r="M14" s="327">
        <f>'24-Allocators'!$C$37</f>
        <v>0.94980219495639873</v>
      </c>
      <c r="N14" s="478">
        <f t="shared" si="5"/>
        <v>0</v>
      </c>
      <c r="O14" s="478">
        <f t="shared" si="6"/>
        <v>0</v>
      </c>
      <c r="P14" s="478">
        <f t="shared" si="7"/>
        <v>0</v>
      </c>
      <c r="Q14" s="8">
        <f t="shared" si="8"/>
        <v>104</v>
      </c>
    </row>
    <row r="15" spans="1:17" ht="29">
      <c r="A15" s="8">
        <f t="shared" si="9"/>
        <v>105</v>
      </c>
      <c r="B15" s="214">
        <v>561.40000000000009</v>
      </c>
      <c r="C15" s="299" t="s">
        <v>1598</v>
      </c>
      <c r="D15" s="530"/>
      <c r="E15" s="530">
        <v>19933392.73</v>
      </c>
      <c r="F15" s="475">
        <f t="shared" si="1"/>
        <v>19933392.73</v>
      </c>
      <c r="G15" s="530"/>
      <c r="H15" s="530">
        <v>-19933392.73</v>
      </c>
      <c r="I15" s="475">
        <f t="shared" si="10"/>
        <v>-19933392.73</v>
      </c>
      <c r="J15" s="475">
        <f t="shared" si="2"/>
        <v>0</v>
      </c>
      <c r="K15" s="475">
        <f t="shared" si="3"/>
        <v>0</v>
      </c>
      <c r="L15" s="475">
        <f t="shared" si="4"/>
        <v>0</v>
      </c>
      <c r="M15" s="327">
        <f>'24-Allocators'!$C$37</f>
        <v>0.94980219495639873</v>
      </c>
      <c r="N15" s="478">
        <f t="shared" si="5"/>
        <v>0</v>
      </c>
      <c r="O15" s="478">
        <f t="shared" si="6"/>
        <v>0</v>
      </c>
      <c r="P15" s="478">
        <f t="shared" si="7"/>
        <v>0</v>
      </c>
      <c r="Q15" s="8">
        <f t="shared" si="8"/>
        <v>105</v>
      </c>
    </row>
    <row r="16" spans="1:17" ht="29">
      <c r="A16" s="8">
        <f t="shared" si="9"/>
        <v>106</v>
      </c>
      <c r="B16" s="214">
        <v>561.50000000000011</v>
      </c>
      <c r="C16" s="304" t="s">
        <v>1599</v>
      </c>
      <c r="D16" s="530"/>
      <c r="E16" s="530"/>
      <c r="F16" s="475">
        <f t="shared" si="1"/>
        <v>0</v>
      </c>
      <c r="G16" s="530"/>
      <c r="H16" s="530"/>
      <c r="I16" s="475">
        <f t="shared" si="10"/>
        <v>0</v>
      </c>
      <c r="J16" s="475">
        <f t="shared" si="2"/>
        <v>0</v>
      </c>
      <c r="K16" s="475">
        <f t="shared" si="3"/>
        <v>0</v>
      </c>
      <c r="L16" s="475">
        <f t="shared" si="4"/>
        <v>0</v>
      </c>
      <c r="M16" s="327">
        <f>'24-Allocators'!$C$37</f>
        <v>0.94980219495639873</v>
      </c>
      <c r="N16" s="478">
        <f t="shared" si="5"/>
        <v>0</v>
      </c>
      <c r="O16" s="478">
        <f t="shared" si="6"/>
        <v>0</v>
      </c>
      <c r="P16" s="478">
        <f t="shared" si="7"/>
        <v>0</v>
      </c>
      <c r="Q16" s="8">
        <f t="shared" si="8"/>
        <v>106</v>
      </c>
    </row>
    <row r="17" spans="1:17">
      <c r="A17" s="8">
        <f t="shared" si="9"/>
        <v>107</v>
      </c>
      <c r="B17" s="214">
        <v>561.60000000000014</v>
      </c>
      <c r="C17" s="304" t="s">
        <v>1600</v>
      </c>
      <c r="D17" s="530"/>
      <c r="E17" s="530"/>
      <c r="F17" s="475">
        <f t="shared" si="1"/>
        <v>0</v>
      </c>
      <c r="G17" s="530"/>
      <c r="H17" s="530"/>
      <c r="I17" s="475">
        <f t="shared" si="10"/>
        <v>0</v>
      </c>
      <c r="J17" s="475">
        <f t="shared" si="2"/>
        <v>0</v>
      </c>
      <c r="K17" s="475">
        <f t="shared" si="3"/>
        <v>0</v>
      </c>
      <c r="L17" s="475">
        <f t="shared" si="4"/>
        <v>0</v>
      </c>
      <c r="M17" s="327">
        <f>'24-Allocators'!$C$37</f>
        <v>0.94980219495639873</v>
      </c>
      <c r="N17" s="478">
        <f t="shared" si="5"/>
        <v>0</v>
      </c>
      <c r="O17" s="478">
        <f t="shared" si="6"/>
        <v>0</v>
      </c>
      <c r="P17" s="478">
        <f t="shared" si="7"/>
        <v>0</v>
      </c>
      <c r="Q17" s="8">
        <f t="shared" si="8"/>
        <v>107</v>
      </c>
    </row>
    <row r="18" spans="1:17">
      <c r="A18" s="8">
        <f t="shared" si="9"/>
        <v>108</v>
      </c>
      <c r="B18" s="214">
        <v>561.70000000000016</v>
      </c>
      <c r="C18" s="304" t="s">
        <v>1601</v>
      </c>
      <c r="D18" s="530"/>
      <c r="E18" s="530"/>
      <c r="F18" s="475">
        <f t="shared" si="1"/>
        <v>0</v>
      </c>
      <c r="G18" s="530"/>
      <c r="H18" s="530"/>
      <c r="I18" s="475">
        <f t="shared" si="10"/>
        <v>0</v>
      </c>
      <c r="J18" s="475">
        <f t="shared" si="2"/>
        <v>0</v>
      </c>
      <c r="K18" s="475">
        <f t="shared" si="3"/>
        <v>0</v>
      </c>
      <c r="L18" s="475">
        <f t="shared" si="4"/>
        <v>0</v>
      </c>
      <c r="M18" s="327">
        <f>'24-Allocators'!$C$37</f>
        <v>0.94980219495639873</v>
      </c>
      <c r="N18" s="478">
        <f t="shared" si="5"/>
        <v>0</v>
      </c>
      <c r="O18" s="478">
        <f t="shared" si="6"/>
        <v>0</v>
      </c>
      <c r="P18" s="478">
        <f t="shared" si="7"/>
        <v>0</v>
      </c>
      <c r="Q18" s="8">
        <f t="shared" si="8"/>
        <v>108</v>
      </c>
    </row>
    <row r="19" spans="1:17" ht="29">
      <c r="A19" s="8">
        <f t="shared" si="9"/>
        <v>109</v>
      </c>
      <c r="B19" s="214">
        <v>561.80000000000018</v>
      </c>
      <c r="C19" s="299" t="s">
        <v>1602</v>
      </c>
      <c r="D19" s="530"/>
      <c r="E19" s="530">
        <v>12024359.57</v>
      </c>
      <c r="F19" s="475">
        <f t="shared" si="1"/>
        <v>12024359.57</v>
      </c>
      <c r="G19" s="530"/>
      <c r="H19" s="530">
        <v>-12024359.57</v>
      </c>
      <c r="I19" s="475">
        <f t="shared" si="10"/>
        <v>-12024359.57</v>
      </c>
      <c r="J19" s="475">
        <f t="shared" si="2"/>
        <v>0</v>
      </c>
      <c r="K19" s="475">
        <f t="shared" si="3"/>
        <v>0</v>
      </c>
      <c r="L19" s="475">
        <f t="shared" si="4"/>
        <v>0</v>
      </c>
      <c r="M19" s="327">
        <f>'24-Allocators'!$C$37</f>
        <v>0.94980219495639873</v>
      </c>
      <c r="N19" s="478">
        <f t="shared" si="5"/>
        <v>0</v>
      </c>
      <c r="O19" s="478">
        <f t="shared" si="6"/>
        <v>0</v>
      </c>
      <c r="P19" s="478">
        <f t="shared" si="7"/>
        <v>0</v>
      </c>
      <c r="Q19" s="8">
        <f t="shared" si="8"/>
        <v>109</v>
      </c>
    </row>
    <row r="20" spans="1:17">
      <c r="A20" s="8">
        <f t="shared" si="9"/>
        <v>110</v>
      </c>
      <c r="B20" s="214">
        <v>562</v>
      </c>
      <c r="C20" s="304" t="s">
        <v>1603</v>
      </c>
      <c r="D20" s="530">
        <v>7077725.3900000006</v>
      </c>
      <c r="E20" s="530">
        <v>2912079.42</v>
      </c>
      <c r="F20" s="475">
        <f t="shared" si="1"/>
        <v>9989804.8100000005</v>
      </c>
      <c r="G20" s="530">
        <v>1121.3499999999999</v>
      </c>
      <c r="H20" s="530">
        <v>6912.65</v>
      </c>
      <c r="I20" s="475">
        <f t="shared" si="10"/>
        <v>8034</v>
      </c>
      <c r="J20" s="475">
        <f t="shared" si="2"/>
        <v>7078846.7400000002</v>
      </c>
      <c r="K20" s="475">
        <f t="shared" si="3"/>
        <v>2918992.07</v>
      </c>
      <c r="L20" s="475">
        <f t="shared" si="4"/>
        <v>9997838.8100000005</v>
      </c>
      <c r="M20" s="327">
        <f>'24-Allocators'!$C$37</f>
        <v>0.94980219495639873</v>
      </c>
      <c r="N20" s="478">
        <f t="shared" si="5"/>
        <v>6723504.1714119473</v>
      </c>
      <c r="O20" s="478">
        <f t="shared" si="6"/>
        <v>2772465.0751463217</v>
      </c>
      <c r="P20" s="478">
        <f t="shared" si="7"/>
        <v>9495969.2465582695</v>
      </c>
      <c r="Q20" s="8">
        <f t="shared" si="8"/>
        <v>110</v>
      </c>
    </row>
    <row r="21" spans="1:17">
      <c r="A21" s="8">
        <f t="shared" si="9"/>
        <v>111</v>
      </c>
      <c r="B21" s="214">
        <v>562.1</v>
      </c>
      <c r="C21" s="304" t="s">
        <v>1604</v>
      </c>
      <c r="D21" s="530"/>
      <c r="E21" s="530"/>
      <c r="F21" s="475">
        <f t="shared" si="1"/>
        <v>0</v>
      </c>
      <c r="G21" s="530"/>
      <c r="H21" s="530"/>
      <c r="I21" s="475">
        <f t="shared" si="10"/>
        <v>0</v>
      </c>
      <c r="J21" s="475">
        <f t="shared" si="2"/>
        <v>0</v>
      </c>
      <c r="K21" s="475">
        <f t="shared" si="3"/>
        <v>0</v>
      </c>
      <c r="L21" s="475">
        <f t="shared" si="4"/>
        <v>0</v>
      </c>
      <c r="M21" s="327">
        <f>'24-Allocators'!$C$37</f>
        <v>0.94980219495639873</v>
      </c>
      <c r="N21" s="478">
        <f t="shared" si="5"/>
        <v>0</v>
      </c>
      <c r="O21" s="478">
        <f t="shared" si="6"/>
        <v>0</v>
      </c>
      <c r="P21" s="478">
        <f t="shared" si="7"/>
        <v>0</v>
      </c>
      <c r="Q21" s="8">
        <f t="shared" si="8"/>
        <v>111</v>
      </c>
    </row>
    <row r="22" spans="1:17">
      <c r="A22" s="8">
        <f t="shared" si="9"/>
        <v>112</v>
      </c>
      <c r="B22" s="214">
        <v>563</v>
      </c>
      <c r="C22" s="304" t="s">
        <v>1605</v>
      </c>
      <c r="D22" s="530">
        <v>9242627.2899999991</v>
      </c>
      <c r="E22" s="530">
        <v>87686648.899999991</v>
      </c>
      <c r="F22" s="475">
        <f t="shared" si="1"/>
        <v>96929276.189999998</v>
      </c>
      <c r="G22" s="530">
        <v>-23698.66</v>
      </c>
      <c r="H22" s="530">
        <v>507291.36</v>
      </c>
      <c r="I22" s="475">
        <f t="shared" si="10"/>
        <v>483592.7</v>
      </c>
      <c r="J22" s="475">
        <f t="shared" si="2"/>
        <v>9218928.629999999</v>
      </c>
      <c r="K22" s="475">
        <f t="shared" si="3"/>
        <v>88193940.25999999</v>
      </c>
      <c r="L22" s="475">
        <f t="shared" si="4"/>
        <v>97412868.889999986</v>
      </c>
      <c r="M22" s="327">
        <f>'24-Allocators'!$C$37</f>
        <v>0.94980219495639873</v>
      </c>
      <c r="N22" s="478">
        <f t="shared" si="5"/>
        <v>8756158.647920385</v>
      </c>
      <c r="O22" s="478">
        <f t="shared" si="6"/>
        <v>83766798.040801495</v>
      </c>
      <c r="P22" s="478">
        <f t="shared" si="7"/>
        <v>92522956.68872188</v>
      </c>
      <c r="Q22" s="8">
        <f t="shared" si="8"/>
        <v>112</v>
      </c>
    </row>
    <row r="23" spans="1:17">
      <c r="A23" s="8">
        <f t="shared" si="9"/>
        <v>113</v>
      </c>
      <c r="B23" s="214">
        <v>564</v>
      </c>
      <c r="C23" s="304" t="s">
        <v>1606</v>
      </c>
      <c r="D23" s="530">
        <v>285792.52</v>
      </c>
      <c r="E23" s="530">
        <v>24572.180000000015</v>
      </c>
      <c r="F23" s="475">
        <f t="shared" si="1"/>
        <v>310364.7</v>
      </c>
      <c r="G23" s="530">
        <v>20228.53</v>
      </c>
      <c r="H23" s="530">
        <v>1172.67</v>
      </c>
      <c r="I23" s="475">
        <f t="shared" si="10"/>
        <v>21401.199999999997</v>
      </c>
      <c r="J23" s="475">
        <f t="shared" si="2"/>
        <v>306021.05000000005</v>
      </c>
      <c r="K23" s="475">
        <f t="shared" si="3"/>
        <v>25744.850000000013</v>
      </c>
      <c r="L23" s="475">
        <f t="shared" si="4"/>
        <v>331765.90000000008</v>
      </c>
      <c r="M23" s="327">
        <f>'24-Allocators'!$C$37</f>
        <v>0.94980219495639873</v>
      </c>
      <c r="N23" s="478">
        <f t="shared" si="5"/>
        <v>290659.4649928619</v>
      </c>
      <c r="O23" s="478">
        <f t="shared" si="6"/>
        <v>24452.515038823254</v>
      </c>
      <c r="P23" s="478">
        <f t="shared" si="7"/>
        <v>315111.98003168515</v>
      </c>
      <c r="Q23" s="8">
        <f t="shared" si="8"/>
        <v>113</v>
      </c>
    </row>
    <row r="24" spans="1:17">
      <c r="A24" s="8">
        <f t="shared" si="9"/>
        <v>114</v>
      </c>
      <c r="B24" s="214">
        <v>565</v>
      </c>
      <c r="C24" s="304" t="s">
        <v>1607</v>
      </c>
      <c r="D24" s="530"/>
      <c r="E24" s="530">
        <v>1007240.43</v>
      </c>
      <c r="F24" s="475">
        <f t="shared" si="1"/>
        <v>1007240.43</v>
      </c>
      <c r="G24" s="530">
        <v>0</v>
      </c>
      <c r="H24" s="530">
        <v>-98000</v>
      </c>
      <c r="I24" s="475">
        <f t="shared" si="10"/>
        <v>-98000</v>
      </c>
      <c r="J24" s="475">
        <f t="shared" si="2"/>
        <v>0</v>
      </c>
      <c r="K24" s="475">
        <f t="shared" si="3"/>
        <v>909240.43</v>
      </c>
      <c r="L24" s="475">
        <f t="shared" si="4"/>
        <v>909240.43</v>
      </c>
      <c r="M24" s="479">
        <v>1</v>
      </c>
      <c r="N24" s="478">
        <f t="shared" si="5"/>
        <v>0</v>
      </c>
      <c r="O24" s="478">
        <f t="shared" si="6"/>
        <v>909240.43</v>
      </c>
      <c r="P24" s="478">
        <f t="shared" si="7"/>
        <v>909240.43</v>
      </c>
      <c r="Q24" s="8">
        <f t="shared" si="8"/>
        <v>114</v>
      </c>
    </row>
    <row r="25" spans="1:17">
      <c r="A25" s="8">
        <f t="shared" si="9"/>
        <v>115</v>
      </c>
      <c r="B25" s="214">
        <v>566</v>
      </c>
      <c r="C25" s="304" t="s">
        <v>1608</v>
      </c>
      <c r="D25" s="530">
        <v>53367496.150000013</v>
      </c>
      <c r="E25" s="530">
        <v>112014433.81000006</v>
      </c>
      <c r="F25" s="475">
        <f t="shared" si="1"/>
        <v>165381929.96000007</v>
      </c>
      <c r="G25" s="530">
        <v>-8248195.1500000004</v>
      </c>
      <c r="H25" s="530">
        <v>-10504069.6</v>
      </c>
      <c r="I25" s="475">
        <f t="shared" si="10"/>
        <v>-18752264.75</v>
      </c>
      <c r="J25" s="475">
        <f t="shared" si="2"/>
        <v>45119301.000000015</v>
      </c>
      <c r="K25" s="475">
        <f t="shared" si="3"/>
        <v>101510364.21000007</v>
      </c>
      <c r="L25" s="475">
        <f t="shared" si="4"/>
        <v>146629665.2100001</v>
      </c>
      <c r="M25" s="327">
        <f>'24-Allocators'!$C$37</f>
        <v>0.94980219495639873</v>
      </c>
      <c r="N25" s="478">
        <f t="shared" si="5"/>
        <v>42854411.124698453</v>
      </c>
      <c r="O25" s="478">
        <f t="shared" si="6"/>
        <v>96414766.73748152</v>
      </c>
      <c r="P25" s="478">
        <f t="shared" si="7"/>
        <v>139269177.86217996</v>
      </c>
      <c r="Q25" s="8">
        <f t="shared" si="8"/>
        <v>115</v>
      </c>
    </row>
    <row r="26" spans="1:17">
      <c r="A26" s="8">
        <f t="shared" si="9"/>
        <v>116</v>
      </c>
      <c r="B26" s="214">
        <v>567</v>
      </c>
      <c r="C26" s="304" t="s">
        <v>1609</v>
      </c>
      <c r="D26" s="530"/>
      <c r="E26" s="530"/>
      <c r="F26" s="475">
        <f t="shared" si="1"/>
        <v>0</v>
      </c>
      <c r="G26" s="530"/>
      <c r="H26" s="530"/>
      <c r="I26" s="475">
        <f t="shared" si="10"/>
        <v>0</v>
      </c>
      <c r="J26" s="475">
        <f t="shared" si="2"/>
        <v>0</v>
      </c>
      <c r="K26" s="475">
        <f t="shared" si="3"/>
        <v>0</v>
      </c>
      <c r="L26" s="475">
        <f t="shared" si="4"/>
        <v>0</v>
      </c>
      <c r="M26" s="327">
        <f>'24-Allocators'!$C$37</f>
        <v>0.94980219495639873</v>
      </c>
      <c r="N26" s="478">
        <f t="shared" si="5"/>
        <v>0</v>
      </c>
      <c r="O26" s="478">
        <f t="shared" si="6"/>
        <v>0</v>
      </c>
      <c r="P26" s="478">
        <f t="shared" si="7"/>
        <v>0</v>
      </c>
      <c r="Q26" s="8">
        <f t="shared" si="8"/>
        <v>116</v>
      </c>
    </row>
    <row r="27" spans="1:17">
      <c r="A27" s="8">
        <f t="shared" si="9"/>
        <v>117</v>
      </c>
      <c r="B27" s="214">
        <v>568</v>
      </c>
      <c r="C27" s="304" t="s">
        <v>1610</v>
      </c>
      <c r="D27" s="530">
        <v>2833536.8200000003</v>
      </c>
      <c r="E27" s="530">
        <v>-383294.83000000031</v>
      </c>
      <c r="F27" s="475">
        <f t="shared" si="1"/>
        <v>2450241.9900000002</v>
      </c>
      <c r="G27" s="530"/>
      <c r="H27" s="530"/>
      <c r="I27" s="475">
        <f t="shared" si="10"/>
        <v>0</v>
      </c>
      <c r="J27" s="475">
        <f t="shared" si="2"/>
        <v>2833536.8200000003</v>
      </c>
      <c r="K27" s="475">
        <f t="shared" si="3"/>
        <v>-383294.83000000031</v>
      </c>
      <c r="L27" s="475">
        <f t="shared" si="4"/>
        <v>2450241.9900000002</v>
      </c>
      <c r="M27" s="327">
        <f>'24-Allocators'!$C$37</f>
        <v>0.94980219495639873</v>
      </c>
      <c r="N27" s="478">
        <f t="shared" si="5"/>
        <v>2691299.4911257746</v>
      </c>
      <c r="O27" s="478">
        <f t="shared" si="6"/>
        <v>-364054.27084944001</v>
      </c>
      <c r="P27" s="478">
        <f t="shared" si="7"/>
        <v>2327245.2202763343</v>
      </c>
      <c r="Q27" s="8">
        <f t="shared" si="8"/>
        <v>117</v>
      </c>
    </row>
    <row r="28" spans="1:17">
      <c r="A28" s="8">
        <f t="shared" si="9"/>
        <v>118</v>
      </c>
      <c r="B28" s="214">
        <v>569</v>
      </c>
      <c r="C28" s="304" t="s">
        <v>1611</v>
      </c>
      <c r="D28" s="530">
        <v>40863.4</v>
      </c>
      <c r="E28" s="530">
        <v>827184.90999999992</v>
      </c>
      <c r="F28" s="475">
        <f t="shared" si="1"/>
        <v>868048.30999999994</v>
      </c>
      <c r="G28" s="530"/>
      <c r="H28" s="530"/>
      <c r="I28" s="475">
        <f t="shared" si="10"/>
        <v>0</v>
      </c>
      <c r="J28" s="475">
        <f t="shared" si="2"/>
        <v>40863.4</v>
      </c>
      <c r="K28" s="475">
        <f t="shared" si="3"/>
        <v>827184.90999999992</v>
      </c>
      <c r="L28" s="475">
        <f t="shared" si="4"/>
        <v>868048.30999999994</v>
      </c>
      <c r="M28" s="327">
        <f>'24-Allocators'!$C$37</f>
        <v>0.94980219495639873</v>
      </c>
      <c r="N28" s="478">
        <f t="shared" si="5"/>
        <v>38812.147013381305</v>
      </c>
      <c r="O28" s="478">
        <f t="shared" si="6"/>
        <v>785662.04315281101</v>
      </c>
      <c r="P28" s="478">
        <f t="shared" si="7"/>
        <v>824474.19016619236</v>
      </c>
      <c r="Q28" s="8">
        <f t="shared" si="8"/>
        <v>118</v>
      </c>
    </row>
    <row r="29" spans="1:17">
      <c r="A29" s="8">
        <f t="shared" si="9"/>
        <v>119</v>
      </c>
      <c r="B29" s="214">
        <f>B28+0.1</f>
        <v>569.1</v>
      </c>
      <c r="C29" s="304" t="s">
        <v>1612</v>
      </c>
      <c r="D29" s="530"/>
      <c r="E29" s="530"/>
      <c r="F29" s="475">
        <f t="shared" si="1"/>
        <v>0</v>
      </c>
      <c r="G29" s="530"/>
      <c r="H29" s="530"/>
      <c r="I29" s="475">
        <f t="shared" si="10"/>
        <v>0</v>
      </c>
      <c r="J29" s="475">
        <f t="shared" si="2"/>
        <v>0</v>
      </c>
      <c r="K29" s="475">
        <f t="shared" si="3"/>
        <v>0</v>
      </c>
      <c r="L29" s="475">
        <f t="shared" si="4"/>
        <v>0</v>
      </c>
      <c r="M29" s="327">
        <f>'24-Allocators'!$C$37</f>
        <v>0.94980219495639873</v>
      </c>
      <c r="N29" s="478">
        <f t="shared" si="5"/>
        <v>0</v>
      </c>
      <c r="O29" s="478">
        <f t="shared" si="6"/>
        <v>0</v>
      </c>
      <c r="P29" s="478">
        <f t="shared" si="7"/>
        <v>0</v>
      </c>
      <c r="Q29" s="8">
        <f t="shared" si="8"/>
        <v>119</v>
      </c>
    </row>
    <row r="30" spans="1:17">
      <c r="A30" s="8">
        <f t="shared" si="9"/>
        <v>120</v>
      </c>
      <c r="B30" s="214">
        <f>B29+0.1</f>
        <v>569.20000000000005</v>
      </c>
      <c r="C30" s="304" t="s">
        <v>1613</v>
      </c>
      <c r="D30" s="530"/>
      <c r="E30" s="530"/>
      <c r="F30" s="475">
        <f t="shared" si="1"/>
        <v>0</v>
      </c>
      <c r="G30" s="530"/>
      <c r="H30" s="530"/>
      <c r="I30" s="475">
        <f t="shared" si="10"/>
        <v>0</v>
      </c>
      <c r="J30" s="475">
        <f t="shared" si="2"/>
        <v>0</v>
      </c>
      <c r="K30" s="475">
        <f t="shared" si="3"/>
        <v>0</v>
      </c>
      <c r="L30" s="475">
        <f t="shared" si="4"/>
        <v>0</v>
      </c>
      <c r="M30" s="327">
        <f>'24-Allocators'!$C$37</f>
        <v>0.94980219495639873</v>
      </c>
      <c r="N30" s="478">
        <f t="shared" si="5"/>
        <v>0</v>
      </c>
      <c r="O30" s="478">
        <f t="shared" si="6"/>
        <v>0</v>
      </c>
      <c r="P30" s="478">
        <f t="shared" si="7"/>
        <v>0</v>
      </c>
      <c r="Q30" s="8">
        <f t="shared" si="8"/>
        <v>120</v>
      </c>
    </row>
    <row r="31" spans="1:17" ht="29">
      <c r="A31" s="8">
        <f t="shared" si="9"/>
        <v>121</v>
      </c>
      <c r="B31" s="214">
        <f>B30+0.1</f>
        <v>569.30000000000007</v>
      </c>
      <c r="C31" s="304" t="s">
        <v>1614</v>
      </c>
      <c r="D31" s="530"/>
      <c r="E31" s="530"/>
      <c r="F31" s="475">
        <f t="shared" si="1"/>
        <v>0</v>
      </c>
      <c r="G31" s="530"/>
      <c r="H31" s="530"/>
      <c r="I31" s="475">
        <f t="shared" si="10"/>
        <v>0</v>
      </c>
      <c r="J31" s="475">
        <f t="shared" si="2"/>
        <v>0</v>
      </c>
      <c r="K31" s="475">
        <f t="shared" si="3"/>
        <v>0</v>
      </c>
      <c r="L31" s="475">
        <f t="shared" si="4"/>
        <v>0</v>
      </c>
      <c r="M31" s="327">
        <f>'24-Allocators'!$C$37</f>
        <v>0.94980219495639873</v>
      </c>
      <c r="N31" s="478">
        <f t="shared" si="5"/>
        <v>0</v>
      </c>
      <c r="O31" s="478">
        <f t="shared" si="6"/>
        <v>0</v>
      </c>
      <c r="P31" s="478">
        <f t="shared" si="7"/>
        <v>0</v>
      </c>
      <c r="Q31" s="8">
        <f t="shared" si="8"/>
        <v>121</v>
      </c>
    </row>
    <row r="32" spans="1:17" ht="29">
      <c r="A32" s="8">
        <f t="shared" si="9"/>
        <v>122</v>
      </c>
      <c r="B32" s="214">
        <f>B31+0.1</f>
        <v>569.40000000000009</v>
      </c>
      <c r="C32" s="304" t="s">
        <v>1615</v>
      </c>
      <c r="D32" s="530"/>
      <c r="E32" s="530"/>
      <c r="F32" s="475">
        <f t="shared" si="1"/>
        <v>0</v>
      </c>
      <c r="G32" s="530"/>
      <c r="H32" s="530"/>
      <c r="I32" s="475">
        <f t="shared" si="10"/>
        <v>0</v>
      </c>
      <c r="J32" s="475">
        <f t="shared" si="2"/>
        <v>0</v>
      </c>
      <c r="K32" s="475">
        <f t="shared" si="3"/>
        <v>0</v>
      </c>
      <c r="L32" s="475">
        <f t="shared" si="4"/>
        <v>0</v>
      </c>
      <c r="M32" s="327">
        <f>'24-Allocators'!$C$37</f>
        <v>0.94980219495639873</v>
      </c>
      <c r="N32" s="478">
        <f t="shared" si="5"/>
        <v>0</v>
      </c>
      <c r="O32" s="478">
        <f t="shared" si="6"/>
        <v>0</v>
      </c>
      <c r="P32" s="478">
        <f t="shared" si="7"/>
        <v>0</v>
      </c>
      <c r="Q32" s="8">
        <f t="shared" si="8"/>
        <v>122</v>
      </c>
    </row>
    <row r="33" spans="1:17">
      <c r="A33" s="8">
        <f t="shared" si="9"/>
        <v>123</v>
      </c>
      <c r="B33" s="214">
        <v>570</v>
      </c>
      <c r="C33" s="304" t="s">
        <v>1616</v>
      </c>
      <c r="D33" s="530">
        <v>22049084.969999999</v>
      </c>
      <c r="E33" s="530">
        <v>28276931.920000002</v>
      </c>
      <c r="F33" s="475">
        <f t="shared" si="1"/>
        <v>50326016.890000001</v>
      </c>
      <c r="G33" s="530">
        <v>42196.56</v>
      </c>
      <c r="H33" s="530">
        <v>-19069.859999999997</v>
      </c>
      <c r="I33" s="475">
        <f t="shared" si="10"/>
        <v>23126.7</v>
      </c>
      <c r="J33" s="475">
        <f t="shared" si="2"/>
        <v>22091281.529999997</v>
      </c>
      <c r="K33" s="475">
        <f t="shared" si="3"/>
        <v>28257862.060000002</v>
      </c>
      <c r="L33" s="475">
        <f t="shared" si="4"/>
        <v>50349143.590000004</v>
      </c>
      <c r="M33" s="327">
        <f>'24-Allocators'!$C$37</f>
        <v>0.94980219495639873</v>
      </c>
      <c r="N33" s="478">
        <f t="shared" si="5"/>
        <v>20982347.686593749</v>
      </c>
      <c r="O33" s="478">
        <f t="shared" si="6"/>
        <v>26839379.409363147</v>
      </c>
      <c r="P33" s="478">
        <f t="shared" si="7"/>
        <v>47821727.095956892</v>
      </c>
      <c r="Q33" s="8">
        <f t="shared" si="8"/>
        <v>123</v>
      </c>
    </row>
    <row r="34" spans="1:17">
      <c r="A34" s="8">
        <f t="shared" si="9"/>
        <v>124</v>
      </c>
      <c r="B34" s="214">
        <f>B33+0.1</f>
        <v>570.1</v>
      </c>
      <c r="C34" s="304" t="s">
        <v>1617</v>
      </c>
      <c r="D34" s="530"/>
      <c r="E34" s="530"/>
      <c r="F34" s="475">
        <f t="shared" si="1"/>
        <v>0</v>
      </c>
      <c r="G34" s="530"/>
      <c r="H34" s="530"/>
      <c r="I34" s="475">
        <f t="shared" si="10"/>
        <v>0</v>
      </c>
      <c r="J34" s="475">
        <f t="shared" si="2"/>
        <v>0</v>
      </c>
      <c r="K34" s="475">
        <f t="shared" si="3"/>
        <v>0</v>
      </c>
      <c r="L34" s="475">
        <f t="shared" si="4"/>
        <v>0</v>
      </c>
      <c r="M34" s="327">
        <f>'24-Allocators'!$C$37</f>
        <v>0.94980219495639873</v>
      </c>
      <c r="N34" s="478">
        <f t="shared" si="5"/>
        <v>0</v>
      </c>
      <c r="O34" s="478">
        <f t="shared" si="6"/>
        <v>0</v>
      </c>
      <c r="P34" s="478">
        <f t="shared" si="7"/>
        <v>0</v>
      </c>
      <c r="Q34" s="8">
        <f t="shared" si="8"/>
        <v>124</v>
      </c>
    </row>
    <row r="35" spans="1:17">
      <c r="A35" s="8">
        <f t="shared" si="9"/>
        <v>125</v>
      </c>
      <c r="B35" s="214">
        <v>571</v>
      </c>
      <c r="C35" s="304" t="s">
        <v>1618</v>
      </c>
      <c r="D35" s="530">
        <v>33500499.870000001</v>
      </c>
      <c r="E35" s="530">
        <v>247726071.67999989</v>
      </c>
      <c r="F35" s="475">
        <f t="shared" si="1"/>
        <v>281226571.54999989</v>
      </c>
      <c r="G35" s="530">
        <v>-12295.57887886203</v>
      </c>
      <c r="H35" s="530">
        <v>-1408146.991121138</v>
      </c>
      <c r="I35" s="475">
        <f t="shared" si="10"/>
        <v>-1420442.57</v>
      </c>
      <c r="J35" s="475">
        <f t="shared" si="2"/>
        <v>33488204.29112114</v>
      </c>
      <c r="K35" s="475">
        <f t="shared" si="3"/>
        <v>246317924.68887874</v>
      </c>
      <c r="L35" s="475">
        <f t="shared" si="4"/>
        <v>279806128.9799999</v>
      </c>
      <c r="M35" s="327">
        <f>'24-Allocators'!$C$37</f>
        <v>0.94980219495639873</v>
      </c>
      <c r="N35" s="478">
        <f t="shared" si="5"/>
        <v>31807169.940855149</v>
      </c>
      <c r="O35" s="478">
        <f t="shared" si="6"/>
        <v>233953305.52660194</v>
      </c>
      <c r="P35" s="478">
        <f t="shared" si="7"/>
        <v>265760475.46745709</v>
      </c>
      <c r="Q35" s="8">
        <f t="shared" si="8"/>
        <v>125</v>
      </c>
    </row>
    <row r="36" spans="1:17">
      <c r="A36" s="8">
        <f t="shared" si="9"/>
        <v>126</v>
      </c>
      <c r="B36" s="214">
        <v>572</v>
      </c>
      <c r="C36" s="304" t="s">
        <v>1619</v>
      </c>
      <c r="D36" s="530">
        <v>1273366.8600000001</v>
      </c>
      <c r="E36" s="530">
        <v>985580.7</v>
      </c>
      <c r="F36" s="475">
        <f t="shared" si="1"/>
        <v>2258947.56</v>
      </c>
      <c r="G36" s="530">
        <v>2.4299999999999997</v>
      </c>
      <c r="H36" s="530">
        <v>-2.4299999999999997</v>
      </c>
      <c r="I36" s="475">
        <f t="shared" si="10"/>
        <v>0</v>
      </c>
      <c r="J36" s="475">
        <f t="shared" si="2"/>
        <v>1273369.29</v>
      </c>
      <c r="K36" s="475">
        <f t="shared" si="3"/>
        <v>985578.2699999999</v>
      </c>
      <c r="L36" s="475">
        <f t="shared" si="4"/>
        <v>2258947.56</v>
      </c>
      <c r="M36" s="327">
        <f>'24-Allocators'!$C$37</f>
        <v>0.94980219495639873</v>
      </c>
      <c r="N36" s="478">
        <f t="shared" si="5"/>
        <v>1209448.9466320712</v>
      </c>
      <c r="O36" s="478">
        <f t="shared" si="6"/>
        <v>936104.40414733009</v>
      </c>
      <c r="P36" s="478">
        <f t="shared" si="7"/>
        <v>2145553.3507794011</v>
      </c>
      <c r="Q36" s="8">
        <f t="shared" si="8"/>
        <v>126</v>
      </c>
    </row>
    <row r="37" spans="1:17" ht="29">
      <c r="A37" s="8">
        <f t="shared" si="9"/>
        <v>127</v>
      </c>
      <c r="B37" s="214">
        <v>573</v>
      </c>
      <c r="C37" s="304" t="s">
        <v>1620</v>
      </c>
      <c r="D37" s="530">
        <v>44946.020000000004</v>
      </c>
      <c r="E37" s="530">
        <v>419768.23999999993</v>
      </c>
      <c r="F37" s="475">
        <f t="shared" si="1"/>
        <v>464714.25999999995</v>
      </c>
      <c r="G37" s="530">
        <v>-6638.12</v>
      </c>
      <c r="H37" s="530">
        <v>71488.070000000022</v>
      </c>
      <c r="I37" s="475">
        <f t="shared" si="10"/>
        <v>64849.950000000019</v>
      </c>
      <c r="J37" s="475">
        <f t="shared" si="2"/>
        <v>38307.9</v>
      </c>
      <c r="K37" s="475">
        <f t="shared" si="3"/>
        <v>491256.30999999994</v>
      </c>
      <c r="L37" s="475">
        <f t="shared" si="4"/>
        <v>529564.21</v>
      </c>
      <c r="M37" s="327">
        <f>'24-Allocators'!$C$37</f>
        <v>0.94980219495639873</v>
      </c>
      <c r="N37" s="478">
        <f t="shared" si="5"/>
        <v>36384.927504170228</v>
      </c>
      <c r="O37" s="478">
        <f t="shared" si="6"/>
        <v>466596.321524181</v>
      </c>
      <c r="P37" s="478">
        <f t="shared" si="7"/>
        <v>502981.24902835122</v>
      </c>
      <c r="Q37" s="8">
        <f t="shared" si="8"/>
        <v>127</v>
      </c>
    </row>
    <row r="38" spans="1:17">
      <c r="C38" s="12"/>
      <c r="D38" s="343"/>
      <c r="E38" s="343"/>
      <c r="F38" s="25"/>
      <c r="G38" s="326"/>
      <c r="H38" s="326"/>
      <c r="I38" s="343"/>
      <c r="J38" s="343"/>
      <c r="K38" s="343"/>
      <c r="L38" s="343"/>
      <c r="M38" s="8"/>
    </row>
    <row r="39" spans="1:17">
      <c r="C39" s="12"/>
      <c r="D39" s="343"/>
      <c r="E39" s="343"/>
      <c r="F39" s="25"/>
      <c r="G39" s="326"/>
      <c r="H39" s="326"/>
      <c r="I39" s="343"/>
      <c r="J39" s="343"/>
      <c r="K39" s="343"/>
      <c r="L39" s="343"/>
      <c r="M39" s="8"/>
    </row>
    <row r="40" spans="1:17">
      <c r="C40" s="12"/>
      <c r="D40" s="343"/>
      <c r="E40" s="343"/>
      <c r="F40" s="25"/>
      <c r="G40" s="326"/>
      <c r="H40" s="326"/>
      <c r="I40" s="343"/>
      <c r="J40" s="343"/>
      <c r="K40" s="343"/>
      <c r="L40" s="343"/>
      <c r="M40" s="8"/>
    </row>
    <row r="41" spans="1:17">
      <c r="B41" s="16" t="s">
        <v>304</v>
      </c>
      <c r="G41" s="124"/>
    </row>
    <row r="42" spans="1:17">
      <c r="B42" t="s">
        <v>1621</v>
      </c>
    </row>
    <row r="43" spans="1:17">
      <c r="B43" s="17" t="s">
        <v>1622</v>
      </c>
    </row>
    <row r="44" spans="1:17">
      <c r="B44" s="831" t="s">
        <v>1623</v>
      </c>
      <c r="C44" s="831"/>
      <c r="D44" s="831"/>
      <c r="E44" s="831"/>
      <c r="F44" s="831"/>
      <c r="G44" s="831"/>
      <c r="H44" s="831"/>
      <c r="I44" s="831"/>
      <c r="J44" s="831"/>
      <c r="K44" s="831"/>
      <c r="L44" s="831"/>
    </row>
    <row r="45" spans="1:17">
      <c r="B45" s="831"/>
      <c r="C45" s="831"/>
      <c r="D45" s="831"/>
      <c r="E45" s="831"/>
      <c r="F45" s="831"/>
      <c r="G45" s="831"/>
      <c r="H45" s="831"/>
      <c r="I45" s="831"/>
      <c r="J45" s="831"/>
      <c r="K45" s="831"/>
      <c r="L45" s="831"/>
    </row>
    <row r="46" spans="1:17">
      <c r="B46" t="s">
        <v>1624</v>
      </c>
    </row>
  </sheetData>
  <mergeCells count="9">
    <mergeCell ref="G8:I8"/>
    <mergeCell ref="N8:P8"/>
    <mergeCell ref="B44:L45"/>
    <mergeCell ref="B10:C10"/>
    <mergeCell ref="B8:B9"/>
    <mergeCell ref="C8:C9"/>
    <mergeCell ref="D8:F8"/>
    <mergeCell ref="J8:L8"/>
    <mergeCell ref="M8:M9"/>
  </mergeCells>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pageSetUpPr fitToPage="1"/>
  </sheetPr>
  <dimension ref="A1:AB89"/>
  <sheetViews>
    <sheetView tabSelected="1" view="pageBreakPreview" topLeftCell="E1" zoomScale="70" zoomScaleNormal="70" zoomScaleSheetLayoutView="70" zoomScalePageLayoutView="55" workbookViewId="0">
      <selection activeCell="E21" sqref="E21"/>
    </sheetView>
  </sheetViews>
  <sheetFormatPr defaultColWidth="9.1796875" defaultRowHeight="14.5"/>
  <cols>
    <col min="1" max="1" width="7.26953125" style="64" bestFit="1" customWidth="1"/>
    <col min="2" max="2" width="2.7265625" style="64" customWidth="1"/>
    <col min="3" max="3" width="6.7265625" style="64" customWidth="1"/>
    <col min="4" max="4" width="61.81640625" style="64" customWidth="1"/>
    <col min="5" max="5" width="22.453125" style="64" customWidth="1"/>
    <col min="6" max="6" width="20.7265625" style="64" customWidth="1"/>
    <col min="7" max="7" width="22" style="64" customWidth="1"/>
    <col min="8" max="8" width="22" style="64" bestFit="1" customWidth="1"/>
    <col min="9" max="9" width="23" style="89" customWidth="1"/>
    <col min="10" max="10" width="21.7265625" style="64" customWidth="1"/>
    <col min="11" max="11" width="24.453125" style="64" customWidth="1"/>
    <col min="12" max="12" width="18.81640625" style="64" customWidth="1"/>
    <col min="13" max="14" width="20" style="64" customWidth="1"/>
    <col min="15" max="15" width="7.26953125" style="64" bestFit="1" customWidth="1"/>
    <col min="16" max="16" width="10.7265625" style="64" bestFit="1" customWidth="1"/>
    <col min="17" max="16384" width="9.1796875" style="64"/>
  </cols>
  <sheetData>
    <row r="1" spans="1:28">
      <c r="A1" s="86"/>
      <c r="B1" s="86" t="s">
        <v>52</v>
      </c>
      <c r="N1" s="15" t="s">
        <v>1625</v>
      </c>
      <c r="O1" s="86"/>
    </row>
    <row r="2" spans="1:28">
      <c r="A2" s="86"/>
      <c r="B2" s="439" t="s">
        <v>1626</v>
      </c>
      <c r="C2" s="87"/>
      <c r="D2" s="87"/>
      <c r="K2" s="71"/>
      <c r="L2" s="164"/>
      <c r="O2" s="86"/>
    </row>
    <row r="3" spans="1:28">
      <c r="A3" s="86"/>
      <c r="K3" s="164"/>
      <c r="L3" s="164"/>
      <c r="O3" s="86"/>
    </row>
    <row r="4" spans="1:28">
      <c r="A4" s="91" t="s">
        <v>1141</v>
      </c>
      <c r="K4" s="164"/>
      <c r="L4" s="164"/>
      <c r="O4" s="91" t="s">
        <v>1141</v>
      </c>
    </row>
    <row r="5" spans="1:28">
      <c r="A5" s="71">
        <v>100</v>
      </c>
      <c r="C5" s="86" t="s">
        <v>1627</v>
      </c>
      <c r="E5" s="88" t="s">
        <v>413</v>
      </c>
      <c r="F5" s="88" t="s">
        <v>414</v>
      </c>
      <c r="G5" s="88" t="s">
        <v>415</v>
      </c>
      <c r="H5" s="88" t="s">
        <v>416</v>
      </c>
      <c r="I5" s="88" t="s">
        <v>1628</v>
      </c>
      <c r="J5" s="91" t="s">
        <v>418</v>
      </c>
      <c r="K5" s="91" t="s">
        <v>1629</v>
      </c>
      <c r="L5" s="91"/>
      <c r="O5" s="71">
        <f t="shared" ref="O5:O23" si="0">A5</f>
        <v>100</v>
      </c>
    </row>
    <row r="6" spans="1:28">
      <c r="A6" s="71">
        <f t="shared" ref="A6:A23" si="1">A5+1</f>
        <v>101</v>
      </c>
      <c r="G6" s="329" t="s">
        <v>1630</v>
      </c>
      <c r="J6" s="329" t="s">
        <v>1275</v>
      </c>
      <c r="O6" s="71">
        <f t="shared" si="0"/>
        <v>101</v>
      </c>
    </row>
    <row r="7" spans="1:28">
      <c r="A7" s="71">
        <f t="shared" si="1"/>
        <v>102</v>
      </c>
      <c r="E7" s="71" t="s">
        <v>705</v>
      </c>
      <c r="F7" s="71" t="s">
        <v>1631</v>
      </c>
      <c r="G7" s="71" t="s">
        <v>1632</v>
      </c>
      <c r="H7" s="71" t="s">
        <v>1631</v>
      </c>
      <c r="I7" s="71" t="s">
        <v>1633</v>
      </c>
      <c r="J7" s="71" t="s">
        <v>1633</v>
      </c>
      <c r="K7" s="71" t="s">
        <v>1634</v>
      </c>
      <c r="L7" s="71"/>
      <c r="O7" s="71">
        <f t="shared" si="0"/>
        <v>102</v>
      </c>
    </row>
    <row r="8" spans="1:28">
      <c r="A8" s="71">
        <f t="shared" si="1"/>
        <v>103</v>
      </c>
      <c r="B8" s="91"/>
      <c r="C8" s="91" t="s">
        <v>1635</v>
      </c>
      <c r="D8" s="91" t="s">
        <v>6</v>
      </c>
      <c r="E8" s="91" t="s">
        <v>654</v>
      </c>
      <c r="F8" s="91" t="s">
        <v>134</v>
      </c>
      <c r="G8" s="91" t="s">
        <v>654</v>
      </c>
      <c r="H8" s="91" t="s">
        <v>134</v>
      </c>
      <c r="I8" s="91" t="s">
        <v>654</v>
      </c>
      <c r="J8" s="91" t="s">
        <v>1636</v>
      </c>
      <c r="K8" s="91" t="s">
        <v>266</v>
      </c>
      <c r="L8" s="91" t="s">
        <v>655</v>
      </c>
      <c r="O8" s="71">
        <f t="shared" si="0"/>
        <v>103</v>
      </c>
      <c r="P8" s="91"/>
      <c r="Q8" s="91"/>
      <c r="R8" s="91"/>
      <c r="S8" s="91"/>
      <c r="T8" s="91"/>
      <c r="U8" s="91"/>
      <c r="V8" s="91"/>
      <c r="W8" s="91"/>
      <c r="X8" s="91"/>
      <c r="Y8" s="91"/>
      <c r="Z8" s="91"/>
      <c r="AA8" s="91"/>
      <c r="AB8" s="91"/>
    </row>
    <row r="9" spans="1:28">
      <c r="A9" s="71">
        <f t="shared" si="1"/>
        <v>104</v>
      </c>
      <c r="C9" s="164">
        <v>920</v>
      </c>
      <c r="D9" s="64" t="s">
        <v>1637</v>
      </c>
      <c r="E9" s="485">
        <v>307671632</v>
      </c>
      <c r="F9" s="164" t="s">
        <v>1638</v>
      </c>
      <c r="G9" s="485"/>
      <c r="H9" s="164" t="s">
        <v>1639</v>
      </c>
      <c r="I9" s="481">
        <f t="shared" ref="I9:I22" si="2">E9+G9</f>
        <v>307671632</v>
      </c>
      <c r="J9" s="485">
        <v>24999772.182621215</v>
      </c>
      <c r="K9" s="481">
        <f t="shared" ref="K9:K22" si="3">I9-J9</f>
        <v>282671859.81737876</v>
      </c>
      <c r="L9" s="64" t="s">
        <v>1640</v>
      </c>
      <c r="O9" s="71">
        <f t="shared" si="0"/>
        <v>104</v>
      </c>
    </row>
    <row r="10" spans="1:28">
      <c r="A10" s="71">
        <f t="shared" si="1"/>
        <v>105</v>
      </c>
      <c r="C10" s="164">
        <v>921</v>
      </c>
      <c r="D10" s="64" t="s">
        <v>1641</v>
      </c>
      <c r="E10" s="485">
        <v>91699147</v>
      </c>
      <c r="F10" s="164" t="s">
        <v>1642</v>
      </c>
      <c r="G10" s="485"/>
      <c r="H10" s="164" t="s">
        <v>1643</v>
      </c>
      <c r="I10" s="481">
        <f t="shared" si="2"/>
        <v>91699147</v>
      </c>
      <c r="J10" s="485">
        <v>39865724.729999967</v>
      </c>
      <c r="K10" s="481">
        <f t="shared" si="3"/>
        <v>51833422.270000033</v>
      </c>
      <c r="L10" s="64" t="s">
        <v>1644</v>
      </c>
      <c r="O10" s="71">
        <f t="shared" si="0"/>
        <v>105</v>
      </c>
    </row>
    <row r="11" spans="1:28">
      <c r="A11" s="71">
        <f t="shared" si="1"/>
        <v>106</v>
      </c>
      <c r="C11" s="164">
        <v>922</v>
      </c>
      <c r="D11" s="64" t="s">
        <v>1645</v>
      </c>
      <c r="E11" s="485">
        <v>-82886864</v>
      </c>
      <c r="F11" s="164" t="s">
        <v>1646</v>
      </c>
      <c r="G11" s="485"/>
      <c r="H11" s="164" t="s">
        <v>1647</v>
      </c>
      <c r="I11" s="481">
        <f t="shared" si="2"/>
        <v>-82886864</v>
      </c>
      <c r="J11" s="485">
        <v>0</v>
      </c>
      <c r="K11" s="481">
        <f t="shared" si="3"/>
        <v>-82886864</v>
      </c>
      <c r="L11" s="64" t="s">
        <v>1648</v>
      </c>
      <c r="O11" s="71">
        <f t="shared" si="0"/>
        <v>106</v>
      </c>
    </row>
    <row r="12" spans="1:28">
      <c r="A12" s="71">
        <f t="shared" si="1"/>
        <v>107</v>
      </c>
      <c r="B12" s="71"/>
      <c r="C12" s="164">
        <v>923</v>
      </c>
      <c r="D12" s="64" t="s">
        <v>1649</v>
      </c>
      <c r="E12" s="485">
        <v>497380727</v>
      </c>
      <c r="F12" s="164" t="s">
        <v>1650</v>
      </c>
      <c r="G12" s="485"/>
      <c r="H12" s="164" t="s">
        <v>1651</v>
      </c>
      <c r="I12" s="481">
        <f t="shared" si="2"/>
        <v>497380727</v>
      </c>
      <c r="J12" s="792">
        <v>238728097.5344815</v>
      </c>
      <c r="K12" s="792">
        <f t="shared" si="3"/>
        <v>258652629.4655185</v>
      </c>
      <c r="L12" s="64" t="s">
        <v>1652</v>
      </c>
      <c r="O12" s="71">
        <f t="shared" si="0"/>
        <v>107</v>
      </c>
    </row>
    <row r="13" spans="1:28">
      <c r="A13" s="71">
        <f t="shared" si="1"/>
        <v>108</v>
      </c>
      <c r="B13" s="71"/>
      <c r="C13" s="164">
        <v>924</v>
      </c>
      <c r="D13" s="64" t="s">
        <v>1154</v>
      </c>
      <c r="E13" s="485">
        <v>7948063</v>
      </c>
      <c r="F13" s="164" t="s">
        <v>1653</v>
      </c>
      <c r="G13" s="485"/>
      <c r="H13" s="164" t="s">
        <v>1654</v>
      </c>
      <c r="I13" s="481">
        <f t="shared" si="2"/>
        <v>7948063</v>
      </c>
      <c r="J13" s="485">
        <v>-9420565.1031730473</v>
      </c>
      <c r="K13" s="481">
        <f t="shared" si="3"/>
        <v>17368628.103173047</v>
      </c>
      <c r="L13" s="64" t="s">
        <v>1655</v>
      </c>
      <c r="O13" s="71">
        <f t="shared" si="0"/>
        <v>108</v>
      </c>
    </row>
    <row r="14" spans="1:28">
      <c r="A14" s="71">
        <f t="shared" si="1"/>
        <v>109</v>
      </c>
      <c r="B14" s="71"/>
      <c r="C14" s="164">
        <v>925</v>
      </c>
      <c r="D14" s="64" t="s">
        <v>1214</v>
      </c>
      <c r="E14" s="485">
        <v>1198782625</v>
      </c>
      <c r="F14" s="164" t="s">
        <v>1656</v>
      </c>
      <c r="G14" s="485"/>
      <c r="H14" s="164" t="s">
        <v>1657</v>
      </c>
      <c r="I14" s="481">
        <f t="shared" si="2"/>
        <v>1198782625</v>
      </c>
      <c r="J14" s="792">
        <v>277983547.44752133</v>
      </c>
      <c r="K14" s="792">
        <f t="shared" si="3"/>
        <v>920799077.55247867</v>
      </c>
      <c r="L14" s="64" t="s">
        <v>1658</v>
      </c>
      <c r="O14" s="71">
        <f t="shared" si="0"/>
        <v>109</v>
      </c>
    </row>
    <row r="15" spans="1:28">
      <c r="A15" s="71">
        <f t="shared" si="1"/>
        <v>110</v>
      </c>
      <c r="B15" s="71"/>
      <c r="C15" s="164">
        <v>926</v>
      </c>
      <c r="D15" s="64" t="s">
        <v>1659</v>
      </c>
      <c r="E15" s="485">
        <v>336845887</v>
      </c>
      <c r="F15" s="164" t="s">
        <v>1660</v>
      </c>
      <c r="G15" s="485"/>
      <c r="H15" s="164" t="s">
        <v>1661</v>
      </c>
      <c r="I15" s="481">
        <f t="shared" si="2"/>
        <v>336845887</v>
      </c>
      <c r="J15" s="485">
        <v>4574997.1171287652</v>
      </c>
      <c r="K15" s="481">
        <f t="shared" si="3"/>
        <v>332270889.88287121</v>
      </c>
      <c r="L15" s="64" t="s">
        <v>1662</v>
      </c>
      <c r="O15" s="71">
        <f t="shared" si="0"/>
        <v>110</v>
      </c>
    </row>
    <row r="16" spans="1:28">
      <c r="A16" s="71">
        <f t="shared" si="1"/>
        <v>111</v>
      </c>
      <c r="B16" s="71"/>
      <c r="C16" s="164">
        <v>927</v>
      </c>
      <c r="D16" s="64" t="s">
        <v>1663</v>
      </c>
      <c r="E16" s="485">
        <v>99830022</v>
      </c>
      <c r="F16" s="164" t="s">
        <v>1664</v>
      </c>
      <c r="G16" s="485"/>
      <c r="H16" s="164" t="s">
        <v>1665</v>
      </c>
      <c r="I16" s="481">
        <f t="shared" si="2"/>
        <v>99830022</v>
      </c>
      <c r="J16" s="485">
        <v>99830022.239999995</v>
      </c>
      <c r="K16" s="481">
        <f t="shared" si="3"/>
        <v>-0.23999999463558197</v>
      </c>
      <c r="L16" s="64" t="s">
        <v>1666</v>
      </c>
      <c r="O16" s="71">
        <f t="shared" si="0"/>
        <v>111</v>
      </c>
    </row>
    <row r="17" spans="1:15">
      <c r="A17" s="71">
        <f t="shared" si="1"/>
        <v>112</v>
      </c>
      <c r="B17" s="71"/>
      <c r="C17" s="164">
        <v>928</v>
      </c>
      <c r="D17" s="64" t="s">
        <v>1667</v>
      </c>
      <c r="E17" s="485">
        <v>0</v>
      </c>
      <c r="F17" s="164" t="s">
        <v>1668</v>
      </c>
      <c r="G17" s="485"/>
      <c r="H17" s="164" t="s">
        <v>1669</v>
      </c>
      <c r="I17" s="481">
        <f t="shared" si="2"/>
        <v>0</v>
      </c>
      <c r="J17" s="485">
        <v>0</v>
      </c>
      <c r="K17" s="481">
        <f t="shared" si="3"/>
        <v>0</v>
      </c>
      <c r="L17" s="86" t="s">
        <v>1276</v>
      </c>
      <c r="O17" s="71">
        <f t="shared" si="0"/>
        <v>112</v>
      </c>
    </row>
    <row r="18" spans="1:15">
      <c r="A18" s="71">
        <f t="shared" si="1"/>
        <v>113</v>
      </c>
      <c r="B18" s="71"/>
      <c r="C18" s="164">
        <v>929</v>
      </c>
      <c r="D18" s="64" t="s">
        <v>1670</v>
      </c>
      <c r="E18" s="485">
        <v>0</v>
      </c>
      <c r="F18" s="164" t="s">
        <v>1671</v>
      </c>
      <c r="G18" s="485"/>
      <c r="H18" s="164" t="s">
        <v>1672</v>
      </c>
      <c r="I18" s="481">
        <f t="shared" si="2"/>
        <v>0</v>
      </c>
      <c r="J18" s="485">
        <v>0</v>
      </c>
      <c r="K18" s="481">
        <f t="shared" si="3"/>
        <v>0</v>
      </c>
      <c r="L18" s="86" t="s">
        <v>1276</v>
      </c>
      <c r="O18" s="71">
        <f t="shared" si="0"/>
        <v>113</v>
      </c>
    </row>
    <row r="19" spans="1:15">
      <c r="A19" s="71">
        <f t="shared" si="1"/>
        <v>114</v>
      </c>
      <c r="B19" s="71"/>
      <c r="C19" s="164">
        <v>930.1</v>
      </c>
      <c r="D19" s="64" t="s">
        <v>1673</v>
      </c>
      <c r="E19" s="485">
        <v>0</v>
      </c>
      <c r="F19" s="164" t="s">
        <v>1674</v>
      </c>
      <c r="G19" s="485"/>
      <c r="H19" s="164" t="s">
        <v>1675</v>
      </c>
      <c r="I19" s="481">
        <f t="shared" si="2"/>
        <v>0</v>
      </c>
      <c r="J19" s="485">
        <v>0</v>
      </c>
      <c r="K19" s="481">
        <f t="shared" si="3"/>
        <v>0</v>
      </c>
      <c r="L19" s="64" t="s">
        <v>1676</v>
      </c>
      <c r="O19" s="71">
        <f t="shared" si="0"/>
        <v>114</v>
      </c>
    </row>
    <row r="20" spans="1:15">
      <c r="A20" s="71">
        <f t="shared" si="1"/>
        <v>115</v>
      </c>
      <c r="B20" s="71"/>
      <c r="C20" s="164">
        <v>930.2</v>
      </c>
      <c r="D20" s="64" t="s">
        <v>1677</v>
      </c>
      <c r="E20" s="485">
        <v>27790938</v>
      </c>
      <c r="F20" s="164" t="s">
        <v>1678</v>
      </c>
      <c r="G20" s="485"/>
      <c r="H20" s="164" t="s">
        <v>1679</v>
      </c>
      <c r="I20" s="481">
        <f t="shared" si="2"/>
        <v>27790938</v>
      </c>
      <c r="J20" s="485">
        <v>20880320.984682038</v>
      </c>
      <c r="K20" s="481">
        <f t="shared" si="3"/>
        <v>6910617.0153179616</v>
      </c>
      <c r="L20" s="64" t="s">
        <v>1676</v>
      </c>
      <c r="O20" s="71">
        <f t="shared" si="0"/>
        <v>115</v>
      </c>
    </row>
    <row r="21" spans="1:15">
      <c r="A21" s="71">
        <f t="shared" si="1"/>
        <v>116</v>
      </c>
      <c r="B21" s="71"/>
      <c r="C21" s="164">
        <v>931</v>
      </c>
      <c r="D21" s="64" t="s">
        <v>1609</v>
      </c>
      <c r="E21" s="485">
        <v>0</v>
      </c>
      <c r="F21" s="164" t="s">
        <v>1680</v>
      </c>
      <c r="G21" s="485"/>
      <c r="H21" s="164" t="s">
        <v>1681</v>
      </c>
      <c r="I21" s="481">
        <f t="shared" si="2"/>
        <v>0</v>
      </c>
      <c r="J21" s="485">
        <v>0</v>
      </c>
      <c r="K21" s="481">
        <f t="shared" si="3"/>
        <v>0</v>
      </c>
      <c r="L21" s="86" t="s">
        <v>1276</v>
      </c>
      <c r="O21" s="71">
        <f t="shared" si="0"/>
        <v>116</v>
      </c>
    </row>
    <row r="22" spans="1:15">
      <c r="A22" s="71">
        <f t="shared" si="1"/>
        <v>117</v>
      </c>
      <c r="B22" s="71"/>
      <c r="C22" s="164">
        <v>935</v>
      </c>
      <c r="D22" s="64" t="s">
        <v>1682</v>
      </c>
      <c r="E22" s="486">
        <v>3482559</v>
      </c>
      <c r="F22" s="164" t="s">
        <v>1683</v>
      </c>
      <c r="G22" s="486"/>
      <c r="H22" s="164" t="s">
        <v>1684</v>
      </c>
      <c r="I22" s="483">
        <f t="shared" si="2"/>
        <v>3482559</v>
      </c>
      <c r="J22" s="486">
        <v>396835.72999999992</v>
      </c>
      <c r="K22" s="483">
        <f t="shared" si="3"/>
        <v>3085723.27</v>
      </c>
      <c r="L22" s="64" t="s">
        <v>1685</v>
      </c>
      <c r="O22" s="71">
        <f t="shared" si="0"/>
        <v>117</v>
      </c>
    </row>
    <row r="23" spans="1:15" s="86" customFormat="1">
      <c r="A23" s="71">
        <f t="shared" si="1"/>
        <v>118</v>
      </c>
      <c r="D23" s="341" t="s">
        <v>1686</v>
      </c>
      <c r="E23" s="482">
        <f>SUM(E9:E22)</f>
        <v>2488544736</v>
      </c>
      <c r="F23" s="164" t="s">
        <v>1687</v>
      </c>
      <c r="G23" s="482">
        <f>SUM(G9:G22)</f>
        <v>0</v>
      </c>
      <c r="H23" s="164" t="s">
        <v>1688</v>
      </c>
      <c r="I23" s="484">
        <f>SUM(I9:I22)</f>
        <v>2488544736</v>
      </c>
      <c r="J23" s="484">
        <f>SUM(J9:J22)</f>
        <v>697838752.86326182</v>
      </c>
      <c r="K23" s="482">
        <f>SUM(K9:K22)</f>
        <v>1790705983.1367381</v>
      </c>
      <c r="O23" s="71">
        <f t="shared" si="0"/>
        <v>118</v>
      </c>
    </row>
    <row r="24" spans="1:15">
      <c r="A24" s="71"/>
      <c r="I24" s="340"/>
      <c r="O24" s="71"/>
    </row>
    <row r="25" spans="1:15">
      <c r="A25" s="71">
        <v>200</v>
      </c>
      <c r="C25" s="86" t="s">
        <v>1689</v>
      </c>
      <c r="I25" s="340"/>
      <c r="O25" s="71">
        <f t="shared" ref="O25:O46" si="4">A25</f>
        <v>200</v>
      </c>
    </row>
    <row r="26" spans="1:15">
      <c r="A26" s="71">
        <f t="shared" ref="A26:A46" si="5">A25+1</f>
        <v>201</v>
      </c>
      <c r="D26" s="334" t="s">
        <v>1690</v>
      </c>
      <c r="E26" s="339"/>
      <c r="F26" s="338" t="s">
        <v>654</v>
      </c>
      <c r="G26" s="338" t="s">
        <v>134</v>
      </c>
      <c r="H26" s="337"/>
      <c r="I26" s="336"/>
      <c r="J26" s="786" t="s">
        <v>2121</v>
      </c>
      <c r="K26" s="787" t="s">
        <v>2122</v>
      </c>
      <c r="O26" s="71">
        <f t="shared" si="4"/>
        <v>201</v>
      </c>
    </row>
    <row r="27" spans="1:15">
      <c r="A27" s="71">
        <f t="shared" si="5"/>
        <v>202</v>
      </c>
      <c r="D27" s="332"/>
      <c r="E27" s="89" t="s">
        <v>1691</v>
      </c>
      <c r="F27" s="481">
        <f>K23</f>
        <v>1790705983.1367381</v>
      </c>
      <c r="G27" s="73" t="s">
        <v>1692</v>
      </c>
      <c r="H27" s="687"/>
      <c r="I27" s="340"/>
      <c r="J27" s="783">
        <v>1804414883.0031931</v>
      </c>
      <c r="K27" s="788">
        <f>F27-J27</f>
        <v>-13708899.866455078</v>
      </c>
      <c r="O27" s="71">
        <f t="shared" si="4"/>
        <v>202</v>
      </c>
    </row>
    <row r="28" spans="1:15">
      <c r="A28" s="71">
        <f t="shared" si="5"/>
        <v>203</v>
      </c>
      <c r="D28" s="332"/>
      <c r="E28" s="89" t="s">
        <v>1693</v>
      </c>
      <c r="F28" s="481">
        <f>K13</f>
        <v>17368628.103173047</v>
      </c>
      <c r="G28" s="73" t="s">
        <v>1694</v>
      </c>
      <c r="H28" s="688"/>
      <c r="I28" s="689"/>
      <c r="J28" s="783">
        <v>17368628.103173047</v>
      </c>
      <c r="K28" s="788">
        <f t="shared" ref="K28:K34" si="6">F28-J28</f>
        <v>0</v>
      </c>
      <c r="O28" s="71">
        <f t="shared" si="4"/>
        <v>203</v>
      </c>
    </row>
    <row r="29" spans="1:15">
      <c r="A29" s="71">
        <f t="shared" si="5"/>
        <v>204</v>
      </c>
      <c r="D29" s="335"/>
      <c r="E29" s="691" t="s">
        <v>1695</v>
      </c>
      <c r="F29" s="485">
        <v>891903163.06247878</v>
      </c>
      <c r="G29" s="73" t="s">
        <v>1696</v>
      </c>
      <c r="H29" s="688"/>
      <c r="I29" s="689"/>
      <c r="J29" s="783">
        <v>902527225.65119886</v>
      </c>
      <c r="K29" s="788">
        <f t="shared" si="6"/>
        <v>-10624062.588720083</v>
      </c>
      <c r="O29" s="71">
        <f t="shared" si="4"/>
        <v>204</v>
      </c>
    </row>
    <row r="30" spans="1:15">
      <c r="A30" s="71">
        <f t="shared" si="5"/>
        <v>205</v>
      </c>
      <c r="D30" s="332"/>
      <c r="E30" s="89" t="s">
        <v>1697</v>
      </c>
      <c r="F30" s="692">
        <f>F27-SUM(F28:F29)</f>
        <v>881434191.97108626</v>
      </c>
      <c r="G30" s="73" t="s">
        <v>1698</v>
      </c>
      <c r="H30" s="687"/>
      <c r="I30" s="340"/>
      <c r="J30" s="783">
        <v>884519029.24882126</v>
      </c>
      <c r="K30" s="788">
        <f t="shared" si="6"/>
        <v>-3084837.2777349949</v>
      </c>
      <c r="O30" s="71">
        <f t="shared" si="4"/>
        <v>205</v>
      </c>
    </row>
    <row r="31" spans="1:15">
      <c r="A31" s="71">
        <f t="shared" si="5"/>
        <v>206</v>
      </c>
      <c r="D31" s="734"/>
      <c r="E31" s="733" t="s">
        <v>1699</v>
      </c>
      <c r="F31" s="722">
        <v>1</v>
      </c>
      <c r="G31" s="731" t="s">
        <v>1700</v>
      </c>
      <c r="H31" s="764" t="s">
        <v>1630</v>
      </c>
      <c r="I31" s="694"/>
      <c r="J31" s="438">
        <v>1</v>
      </c>
      <c r="K31" s="785">
        <f t="shared" si="6"/>
        <v>0</v>
      </c>
      <c r="O31" s="71">
        <f t="shared" si="4"/>
        <v>206</v>
      </c>
    </row>
    <row r="32" spans="1:15">
      <c r="A32" s="71">
        <f t="shared" si="5"/>
        <v>207</v>
      </c>
      <c r="D32" s="332"/>
      <c r="E32" s="89" t="s">
        <v>1701</v>
      </c>
      <c r="F32" s="692">
        <f>F30*F31</f>
        <v>881434191.97108626</v>
      </c>
      <c r="G32" s="73" t="str">
        <f>"Line "&amp;A30&amp;" * Line "&amp;A31&amp;""</f>
        <v>Line 205 * Line 206</v>
      </c>
      <c r="H32" s="687"/>
      <c r="I32" s="340"/>
      <c r="J32" s="783">
        <v>884519029.24882126</v>
      </c>
      <c r="K32" s="788">
        <f t="shared" si="6"/>
        <v>-3084837.2777349949</v>
      </c>
      <c r="O32" s="71">
        <f t="shared" si="4"/>
        <v>207</v>
      </c>
    </row>
    <row r="33" spans="1:15">
      <c r="A33" s="71">
        <f t="shared" si="5"/>
        <v>208</v>
      </c>
      <c r="D33" s="332"/>
      <c r="E33" s="89" t="s">
        <v>1702</v>
      </c>
      <c r="F33" s="28">
        <f>'24-Allocators'!C23</f>
        <v>0.13651159222612441</v>
      </c>
      <c r="G33" s="693" t="s">
        <v>233</v>
      </c>
      <c r="H33" s="687"/>
      <c r="I33" s="694"/>
      <c r="J33" s="438">
        <v>0.13651159222612441</v>
      </c>
      <c r="K33" s="785">
        <f t="shared" si="6"/>
        <v>0</v>
      </c>
      <c r="O33" s="71">
        <f t="shared" si="4"/>
        <v>208</v>
      </c>
    </row>
    <row r="34" spans="1:15">
      <c r="A34" s="71">
        <f t="shared" si="5"/>
        <v>209</v>
      </c>
      <c r="D34" s="330"/>
      <c r="E34" s="696" t="s">
        <v>1703</v>
      </c>
      <c r="F34" s="697">
        <f>F32*F33</f>
        <v>120325984.9885204</v>
      </c>
      <c r="G34" s="698" t="str">
        <f>"Line "&amp;A32&amp;" * Line "&amp;A33&amp;""</f>
        <v>Line 207 * Line 208</v>
      </c>
      <c r="H34" s="699"/>
      <c r="I34" s="340"/>
      <c r="J34" s="783">
        <v>120747101.0370625</v>
      </c>
      <c r="K34" s="788">
        <f t="shared" si="6"/>
        <v>-421116.04854209721</v>
      </c>
      <c r="O34" s="71">
        <f t="shared" si="4"/>
        <v>209</v>
      </c>
    </row>
    <row r="35" spans="1:15">
      <c r="A35" s="71">
        <f t="shared" si="5"/>
        <v>210</v>
      </c>
      <c r="D35" s="334" t="s">
        <v>1704</v>
      </c>
      <c r="E35" s="700"/>
      <c r="F35" s="701"/>
      <c r="G35" s="702"/>
      <c r="H35" s="703"/>
      <c r="I35" s="340"/>
      <c r="J35" s="783"/>
      <c r="O35" s="71">
        <f t="shared" si="4"/>
        <v>210</v>
      </c>
    </row>
    <row r="36" spans="1:15">
      <c r="A36" s="71">
        <f t="shared" si="5"/>
        <v>211</v>
      </c>
      <c r="D36" s="734"/>
      <c r="E36" s="733" t="s">
        <v>1705</v>
      </c>
      <c r="F36" s="722">
        <f>'24-Allocators'!C33</f>
        <v>0.21556613519261669</v>
      </c>
      <c r="G36" s="731" t="s">
        <v>1706</v>
      </c>
      <c r="H36" s="765" t="s">
        <v>1630</v>
      </c>
      <c r="I36" s="694"/>
      <c r="J36" s="438">
        <v>0.21556613519261669</v>
      </c>
      <c r="K36" s="785">
        <f t="shared" ref="K36:K38" si="7">F36-J36</f>
        <v>0</v>
      </c>
      <c r="O36" s="71">
        <f t="shared" si="4"/>
        <v>211</v>
      </c>
    </row>
    <row r="37" spans="1:15">
      <c r="A37" s="71">
        <f t="shared" si="5"/>
        <v>212</v>
      </c>
      <c r="D37" s="332"/>
      <c r="E37" s="89" t="s">
        <v>1707</v>
      </c>
      <c r="F37" s="481">
        <f>F28</f>
        <v>17368628.103173047</v>
      </c>
      <c r="G37" s="73" t="s">
        <v>1708</v>
      </c>
      <c r="H37" s="688"/>
      <c r="I37" s="689"/>
      <c r="J37" s="783">
        <v>17368628.103173047</v>
      </c>
      <c r="K37" s="788">
        <f t="shared" si="7"/>
        <v>0</v>
      </c>
      <c r="O37" s="71">
        <f t="shared" si="4"/>
        <v>212</v>
      </c>
    </row>
    <row r="38" spans="1:15">
      <c r="A38" s="71">
        <f t="shared" si="5"/>
        <v>213</v>
      </c>
      <c r="D38" s="330"/>
      <c r="E38" s="696" t="s">
        <v>1709</v>
      </c>
      <c r="F38" s="704">
        <f>F36*F37</f>
        <v>3744088.0337988827</v>
      </c>
      <c r="G38" s="698" t="s">
        <v>1710</v>
      </c>
      <c r="H38" s="705"/>
      <c r="I38" s="689"/>
      <c r="J38" s="783">
        <v>3744088.0337988827</v>
      </c>
      <c r="K38" s="788">
        <f t="shared" si="7"/>
        <v>0</v>
      </c>
      <c r="O38" s="71">
        <f t="shared" si="4"/>
        <v>213</v>
      </c>
    </row>
    <row r="39" spans="1:15">
      <c r="A39" s="71">
        <f t="shared" si="5"/>
        <v>214</v>
      </c>
      <c r="D39" s="333" t="s">
        <v>1711</v>
      </c>
      <c r="E39" s="89"/>
      <c r="F39" s="706"/>
      <c r="G39" s="73"/>
      <c r="H39" s="688"/>
      <c r="I39" s="689"/>
      <c r="J39" s="783"/>
      <c r="O39" s="71">
        <f t="shared" si="4"/>
        <v>214</v>
      </c>
    </row>
    <row r="40" spans="1:15">
      <c r="A40" s="71">
        <f t="shared" si="5"/>
        <v>215</v>
      </c>
      <c r="D40" s="332"/>
      <c r="E40" s="89" t="s">
        <v>1712</v>
      </c>
      <c r="F40" s="482">
        <f>F29</f>
        <v>891903163.06247878</v>
      </c>
      <c r="G40" s="73" t="s">
        <v>1713</v>
      </c>
      <c r="H40" s="688"/>
      <c r="I40" s="689"/>
      <c r="J40" s="783">
        <v>902527225.65119886</v>
      </c>
      <c r="K40" s="788">
        <f t="shared" ref="K40:K42" si="8">F40-J40</f>
        <v>-10624062.588720083</v>
      </c>
      <c r="O40" s="71">
        <f t="shared" si="4"/>
        <v>215</v>
      </c>
    </row>
    <row r="41" spans="1:15">
      <c r="A41" s="71">
        <f t="shared" si="5"/>
        <v>216</v>
      </c>
      <c r="D41" s="734"/>
      <c r="E41" s="733" t="s">
        <v>1714</v>
      </c>
      <c r="F41" s="722">
        <f>'24-Allocators'!C57</f>
        <v>0.16813340941272131</v>
      </c>
      <c r="G41" s="731" t="s">
        <v>1715</v>
      </c>
      <c r="H41" s="765" t="s">
        <v>1630</v>
      </c>
      <c r="I41" s="694"/>
      <c r="J41" s="438">
        <v>0.16813340941272131</v>
      </c>
      <c r="K41" s="785">
        <f t="shared" si="8"/>
        <v>0</v>
      </c>
      <c r="O41" s="71">
        <f t="shared" si="4"/>
        <v>216</v>
      </c>
    </row>
    <row r="42" spans="1:15">
      <c r="A42" s="71">
        <f t="shared" si="5"/>
        <v>217</v>
      </c>
      <c r="D42" s="332"/>
      <c r="E42" s="696" t="s">
        <v>1716</v>
      </c>
      <c r="F42" s="704">
        <f>F40*F41</f>
        <v>149958719.67168489</v>
      </c>
      <c r="G42" s="698" t="s">
        <v>1717</v>
      </c>
      <c r="H42" s="688"/>
      <c r="I42" s="689"/>
      <c r="J42" s="783">
        <v>151744979.53654054</v>
      </c>
      <c r="K42" s="788">
        <f t="shared" si="8"/>
        <v>-1786259.8648556471</v>
      </c>
      <c r="O42" s="71">
        <f t="shared" si="4"/>
        <v>217</v>
      </c>
    </row>
    <row r="43" spans="1:15">
      <c r="A43" s="71">
        <f t="shared" si="5"/>
        <v>218</v>
      </c>
      <c r="D43" s="331"/>
      <c r="E43" s="700"/>
      <c r="F43" s="701"/>
      <c r="G43" s="702"/>
      <c r="H43" s="707"/>
      <c r="I43" s="689"/>
      <c r="J43" s="783"/>
      <c r="O43" s="71">
        <f t="shared" si="4"/>
        <v>218</v>
      </c>
    </row>
    <row r="44" spans="1:15">
      <c r="A44" s="71">
        <f t="shared" si="5"/>
        <v>219</v>
      </c>
      <c r="D44" s="332"/>
      <c r="E44" s="89" t="s">
        <v>1718</v>
      </c>
      <c r="F44" s="482">
        <f>F42+F38+F34</f>
        <v>274028792.69400418</v>
      </c>
      <c r="G44" s="73" t="s">
        <v>1719</v>
      </c>
      <c r="H44" s="687"/>
      <c r="I44" s="340"/>
      <c r="J44" s="783">
        <v>276236168.60740191</v>
      </c>
      <c r="K44" s="788">
        <f t="shared" ref="K44:K46" si="9">F44-J44</f>
        <v>-2207375.9133977294</v>
      </c>
      <c r="O44" s="71">
        <f t="shared" si="4"/>
        <v>219</v>
      </c>
    </row>
    <row r="45" spans="1:15" s="755" customFormat="1">
      <c r="A45" s="754">
        <f t="shared" si="5"/>
        <v>220</v>
      </c>
      <c r="D45" s="836" t="s">
        <v>1720</v>
      </c>
      <c r="E45" s="837"/>
      <c r="F45" s="756">
        <v>4449164.6747516226</v>
      </c>
      <c r="G45" s="757" t="s">
        <v>1721</v>
      </c>
      <c r="H45" s="758"/>
      <c r="I45" s="759"/>
      <c r="J45" s="784">
        <v>4449164.6747516226</v>
      </c>
      <c r="K45" s="788">
        <f t="shared" si="9"/>
        <v>0</v>
      </c>
      <c r="O45" s="754">
        <f t="shared" si="4"/>
        <v>220</v>
      </c>
    </row>
    <row r="46" spans="1:15">
      <c r="A46" s="71">
        <f t="shared" si="5"/>
        <v>221</v>
      </c>
      <c r="D46" s="330"/>
      <c r="E46" s="696"/>
      <c r="F46" s="704">
        <f>F44+F45</f>
        <v>278477957.36875582</v>
      </c>
      <c r="G46" s="698" t="s">
        <v>1722</v>
      </c>
      <c r="H46" s="699"/>
      <c r="I46" s="340"/>
      <c r="J46" s="783">
        <v>280685333.28215355</v>
      </c>
      <c r="K46" s="788">
        <f t="shared" si="9"/>
        <v>-2207375.9133977294</v>
      </c>
      <c r="O46" s="71">
        <f t="shared" si="4"/>
        <v>221</v>
      </c>
    </row>
    <row r="47" spans="1:15">
      <c r="A47" s="71"/>
      <c r="O47" s="71"/>
    </row>
    <row r="48" spans="1:15" s="17" customFormat="1">
      <c r="A48" s="379">
        <v>300</v>
      </c>
      <c r="C48" s="197" t="s">
        <v>1723</v>
      </c>
      <c r="I48" s="396"/>
      <c r="O48" s="71">
        <f t="shared" ref="O48" si="10">A48</f>
        <v>300</v>
      </c>
    </row>
    <row r="49" spans="1:16" s="17" customFormat="1">
      <c r="A49" s="379">
        <f t="shared" ref="A49:A65" si="11">A48+1</f>
        <v>301</v>
      </c>
      <c r="E49" s="8" t="s">
        <v>487</v>
      </c>
      <c r="F49" s="720" t="s">
        <v>249</v>
      </c>
      <c r="G49" s="720" t="s">
        <v>285</v>
      </c>
      <c r="H49" s="720" t="s">
        <v>452</v>
      </c>
      <c r="I49" s="720" t="s">
        <v>453</v>
      </c>
      <c r="J49" s="720" t="s">
        <v>454</v>
      </c>
      <c r="K49" s="720" t="s">
        <v>455</v>
      </c>
      <c r="L49" s="720" t="s">
        <v>486</v>
      </c>
      <c r="M49" s="720" t="s">
        <v>501</v>
      </c>
      <c r="N49" s="720"/>
      <c r="O49" s="71">
        <f t="shared" ref="O49:O65" si="12">A49</f>
        <v>301</v>
      </c>
    </row>
    <row r="50" spans="1:16" s="17" customFormat="1" ht="60" customHeight="1">
      <c r="A50" s="542">
        <f t="shared" si="11"/>
        <v>302</v>
      </c>
      <c r="E50" s="543" t="s">
        <v>1724</v>
      </c>
      <c r="F50" s="721" t="s">
        <v>1725</v>
      </c>
      <c r="G50" s="721" t="s">
        <v>1726</v>
      </c>
      <c r="H50" s="721" t="s">
        <v>1727</v>
      </c>
      <c r="I50" s="721" t="s">
        <v>1728</v>
      </c>
      <c r="J50" s="721" t="s">
        <v>1729</v>
      </c>
      <c r="K50" s="721" t="s">
        <v>1730</v>
      </c>
      <c r="L50" s="721" t="s">
        <v>1731</v>
      </c>
      <c r="M50" s="721" t="s">
        <v>1732</v>
      </c>
      <c r="N50" s="746" t="s">
        <v>126</v>
      </c>
      <c r="O50" s="71">
        <f t="shared" si="12"/>
        <v>302</v>
      </c>
    </row>
    <row r="51" spans="1:16" s="17" customFormat="1">
      <c r="A51" s="379">
        <f t="shared" si="11"/>
        <v>303</v>
      </c>
      <c r="C51" s="371">
        <v>920</v>
      </c>
      <c r="D51" s="17" t="s">
        <v>1637</v>
      </c>
      <c r="E51" s="457">
        <f>SUM(F51:M51)</f>
        <v>-24999772.182621218</v>
      </c>
      <c r="F51" s="606">
        <v>-3350483.3398758997</v>
      </c>
      <c r="G51" s="606">
        <v>-14667244.030000001</v>
      </c>
      <c r="H51" s="606">
        <v>0</v>
      </c>
      <c r="I51" s="606">
        <v>0</v>
      </c>
      <c r="J51" s="606">
        <v>-6793009.0300000003</v>
      </c>
      <c r="K51" s="606">
        <v>-208143</v>
      </c>
      <c r="L51" s="606">
        <v>19107.217254683386</v>
      </c>
      <c r="M51" s="606">
        <v>0</v>
      </c>
      <c r="N51" s="606"/>
      <c r="O51" s="71">
        <f t="shared" si="12"/>
        <v>303</v>
      </c>
      <c r="P51" s="376"/>
    </row>
    <row r="52" spans="1:16" s="17" customFormat="1">
      <c r="A52" s="379">
        <f t="shared" si="11"/>
        <v>304</v>
      </c>
      <c r="C52" s="371">
        <v>921</v>
      </c>
      <c r="D52" s="17" t="s">
        <v>1641</v>
      </c>
      <c r="E52" s="457">
        <f t="shared" ref="E52:E64" si="13">SUM(F52:M52)</f>
        <v>-39865724.729999967</v>
      </c>
      <c r="F52" s="606">
        <v>0</v>
      </c>
      <c r="G52" s="606">
        <v>-1585954.9300000002</v>
      </c>
      <c r="H52" s="606">
        <v>0</v>
      </c>
      <c r="I52" s="606">
        <v>0</v>
      </c>
      <c r="J52" s="606">
        <v>-38236609.799999967</v>
      </c>
      <c r="K52" s="606">
        <v>-43160</v>
      </c>
      <c r="L52" s="606">
        <v>0</v>
      </c>
      <c r="M52" s="606">
        <v>0</v>
      </c>
      <c r="N52" s="606"/>
      <c r="O52" s="71">
        <f t="shared" si="12"/>
        <v>304</v>
      </c>
      <c r="P52" s="376"/>
    </row>
    <row r="53" spans="1:16" s="17" customFormat="1">
      <c r="A53" s="379">
        <f t="shared" si="11"/>
        <v>305</v>
      </c>
      <c r="C53" s="371">
        <v>922</v>
      </c>
      <c r="D53" s="17" t="s">
        <v>1645</v>
      </c>
      <c r="E53" s="457">
        <f t="shared" si="13"/>
        <v>0</v>
      </c>
      <c r="F53" s="606">
        <v>0</v>
      </c>
      <c r="G53" s="606">
        <v>0</v>
      </c>
      <c r="H53" s="606">
        <v>0</v>
      </c>
      <c r="I53" s="606">
        <v>0</v>
      </c>
      <c r="J53" s="606">
        <v>0</v>
      </c>
      <c r="K53" s="606">
        <v>0</v>
      </c>
      <c r="L53" s="606">
        <v>0</v>
      </c>
      <c r="M53" s="606">
        <v>0</v>
      </c>
      <c r="N53" s="606"/>
      <c r="O53" s="71">
        <f t="shared" si="12"/>
        <v>305</v>
      </c>
      <c r="P53" s="376"/>
    </row>
    <row r="54" spans="1:16" s="17" customFormat="1">
      <c r="A54" s="379">
        <f t="shared" si="11"/>
        <v>306</v>
      </c>
      <c r="C54" s="371">
        <v>923</v>
      </c>
      <c r="D54" s="17" t="s">
        <v>1649</v>
      </c>
      <c r="E54" s="457">
        <f t="shared" si="13"/>
        <v>-235643259.11674619</v>
      </c>
      <c r="F54" s="606">
        <v>-706423.64224509022</v>
      </c>
      <c r="G54" s="606">
        <v>-3887999.2455765298</v>
      </c>
      <c r="H54" s="606">
        <v>6016.5209999999997</v>
      </c>
      <c r="I54" s="606">
        <v>-225582123.18481997</v>
      </c>
      <c r="J54" s="606">
        <v>-5605133.1800000174</v>
      </c>
      <c r="K54" s="606">
        <v>-67909</v>
      </c>
      <c r="L54" s="606">
        <v>200312.61489538974</v>
      </c>
      <c r="M54" s="606">
        <v>0</v>
      </c>
      <c r="N54" s="606"/>
      <c r="O54" s="71">
        <f t="shared" si="12"/>
        <v>306</v>
      </c>
      <c r="P54" s="376"/>
    </row>
    <row r="55" spans="1:16" s="17" customFormat="1">
      <c r="A55" s="379">
        <f t="shared" si="11"/>
        <v>307</v>
      </c>
      <c r="C55" s="371">
        <v>924</v>
      </c>
      <c r="D55" s="17" t="s">
        <v>1154</v>
      </c>
      <c r="E55" s="457">
        <f t="shared" si="13"/>
        <v>9420565.1031730473</v>
      </c>
      <c r="F55" s="606">
        <v>0</v>
      </c>
      <c r="G55" s="606">
        <v>0</v>
      </c>
      <c r="H55" s="606">
        <v>0</v>
      </c>
      <c r="I55" s="606">
        <v>7783981.8100000005</v>
      </c>
      <c r="J55" s="606">
        <v>-70863.08</v>
      </c>
      <c r="K55" s="606">
        <v>0</v>
      </c>
      <c r="L55" s="606">
        <v>0</v>
      </c>
      <c r="M55" s="606">
        <v>1707446.3731730469</v>
      </c>
      <c r="N55" s="606"/>
      <c r="O55" s="71">
        <f t="shared" si="12"/>
        <v>307</v>
      </c>
      <c r="P55" s="376"/>
    </row>
    <row r="56" spans="1:16" s="17" customFormat="1">
      <c r="A56" s="379">
        <f t="shared" si="11"/>
        <v>308</v>
      </c>
      <c r="C56" s="371">
        <v>925</v>
      </c>
      <c r="D56" s="17" t="s">
        <v>1214</v>
      </c>
      <c r="E56" s="457">
        <f t="shared" si="13"/>
        <v>-267359484.85880134</v>
      </c>
      <c r="F56" s="606">
        <v>0</v>
      </c>
      <c r="G56" s="606">
        <v>10183.590000000084</v>
      </c>
      <c r="H56" s="606">
        <v>-15813601.550000001</v>
      </c>
      <c r="I56" s="606">
        <v>-514757873.57000005</v>
      </c>
      <c r="J56" s="606">
        <v>223156285.10373098</v>
      </c>
      <c r="K56" s="606">
        <v>0</v>
      </c>
      <c r="L56" s="606">
        <v>0</v>
      </c>
      <c r="M56" s="606">
        <v>40045521.567467719</v>
      </c>
      <c r="N56" s="606"/>
      <c r="O56" s="71">
        <f t="shared" si="12"/>
        <v>308</v>
      </c>
      <c r="P56" s="376"/>
    </row>
    <row r="57" spans="1:16" s="17" customFormat="1">
      <c r="A57" s="379">
        <f t="shared" si="11"/>
        <v>309</v>
      </c>
      <c r="C57" s="371">
        <v>926</v>
      </c>
      <c r="D57" s="17" t="s">
        <v>1659</v>
      </c>
      <c r="E57" s="457">
        <f t="shared" si="13"/>
        <v>-4574997.1171287652</v>
      </c>
      <c r="F57" s="606">
        <v>0</v>
      </c>
      <c r="G57" s="606">
        <v>-3603557.2107460001</v>
      </c>
      <c r="H57" s="606">
        <v>341720.72986800037</v>
      </c>
      <c r="I57" s="606">
        <v>558661.14</v>
      </c>
      <c r="J57" s="606">
        <v>0</v>
      </c>
      <c r="K57" s="606">
        <v>-1269806.2122910302</v>
      </c>
      <c r="L57" s="606">
        <v>-602015.56395973568</v>
      </c>
      <c r="M57" s="606">
        <v>0</v>
      </c>
      <c r="N57" s="606"/>
      <c r="O57" s="71">
        <f t="shared" si="12"/>
        <v>309</v>
      </c>
      <c r="P57" s="376"/>
    </row>
    <row r="58" spans="1:16" s="17" customFormat="1">
      <c r="A58" s="379">
        <f t="shared" si="11"/>
        <v>310</v>
      </c>
      <c r="C58" s="371">
        <v>927</v>
      </c>
      <c r="D58" s="17" t="s">
        <v>1663</v>
      </c>
      <c r="E58" s="457">
        <f t="shared" si="13"/>
        <v>-99830022.239999995</v>
      </c>
      <c r="F58" s="606">
        <v>0</v>
      </c>
      <c r="G58" s="606">
        <v>0</v>
      </c>
      <c r="H58" s="606">
        <v>0</v>
      </c>
      <c r="I58" s="606">
        <v>-99830022.239999995</v>
      </c>
      <c r="J58" s="606">
        <v>0</v>
      </c>
      <c r="K58" s="606">
        <v>0</v>
      </c>
      <c r="L58" s="606">
        <v>0</v>
      </c>
      <c r="M58" s="606">
        <v>0</v>
      </c>
      <c r="N58" s="606"/>
      <c r="O58" s="71">
        <f t="shared" si="12"/>
        <v>310</v>
      </c>
      <c r="P58" s="376"/>
    </row>
    <row r="59" spans="1:16" s="17" customFormat="1">
      <c r="A59" s="379">
        <f t="shared" si="11"/>
        <v>311</v>
      </c>
      <c r="C59" s="371">
        <v>928</v>
      </c>
      <c r="D59" s="17" t="s">
        <v>1667</v>
      </c>
      <c r="E59" s="457">
        <f t="shared" si="13"/>
        <v>0</v>
      </c>
      <c r="F59" s="606">
        <v>0</v>
      </c>
      <c r="G59" s="606">
        <v>0</v>
      </c>
      <c r="H59" s="606">
        <v>0</v>
      </c>
      <c r="I59" s="606">
        <v>0</v>
      </c>
      <c r="J59" s="606">
        <v>0</v>
      </c>
      <c r="K59" s="606">
        <v>0</v>
      </c>
      <c r="L59" s="606">
        <v>0</v>
      </c>
      <c r="M59" s="606">
        <v>0</v>
      </c>
      <c r="N59" s="606"/>
      <c r="O59" s="71">
        <f t="shared" si="12"/>
        <v>311</v>
      </c>
      <c r="P59" s="376"/>
    </row>
    <row r="60" spans="1:16" s="17" customFormat="1">
      <c r="A60" s="379">
        <f t="shared" si="11"/>
        <v>312</v>
      </c>
      <c r="C60" s="371">
        <v>929</v>
      </c>
      <c r="D60" s="17" t="s">
        <v>1670</v>
      </c>
      <c r="E60" s="457">
        <f t="shared" si="13"/>
        <v>0</v>
      </c>
      <c r="F60" s="606">
        <v>0</v>
      </c>
      <c r="G60" s="606">
        <v>0</v>
      </c>
      <c r="H60" s="606">
        <v>0</v>
      </c>
      <c r="I60" s="606">
        <v>0</v>
      </c>
      <c r="J60" s="606">
        <v>0</v>
      </c>
      <c r="K60" s="606">
        <v>0</v>
      </c>
      <c r="L60" s="606">
        <v>0</v>
      </c>
      <c r="M60" s="606">
        <v>0</v>
      </c>
      <c r="N60" s="606"/>
      <c r="O60" s="71">
        <f t="shared" si="12"/>
        <v>312</v>
      </c>
      <c r="P60" s="376"/>
    </row>
    <row r="61" spans="1:16" s="17" customFormat="1">
      <c r="A61" s="379">
        <f t="shared" si="11"/>
        <v>313</v>
      </c>
      <c r="C61" s="371">
        <v>930.1</v>
      </c>
      <c r="D61" s="17" t="s">
        <v>1673</v>
      </c>
      <c r="E61" s="457">
        <f t="shared" si="13"/>
        <v>0</v>
      </c>
      <c r="F61" s="606">
        <v>0</v>
      </c>
      <c r="G61" s="606">
        <v>0</v>
      </c>
      <c r="H61" s="606">
        <v>0</v>
      </c>
      <c r="I61" s="606">
        <v>0</v>
      </c>
      <c r="J61" s="606">
        <v>0</v>
      </c>
      <c r="K61" s="606">
        <v>0</v>
      </c>
      <c r="L61" s="606">
        <v>0</v>
      </c>
      <c r="M61" s="606">
        <v>0</v>
      </c>
      <c r="N61" s="606"/>
      <c r="O61" s="71">
        <f t="shared" si="12"/>
        <v>313</v>
      </c>
      <c r="P61" s="376"/>
    </row>
    <row r="62" spans="1:16" s="17" customFormat="1">
      <c r="A62" s="379">
        <f t="shared" si="11"/>
        <v>314</v>
      </c>
      <c r="C62" s="371">
        <v>930.2</v>
      </c>
      <c r="D62" s="17" t="s">
        <v>1677</v>
      </c>
      <c r="E62" s="457">
        <f t="shared" si="13"/>
        <v>-20880320.984682038</v>
      </c>
      <c r="F62" s="606">
        <v>0</v>
      </c>
      <c r="G62" s="606">
        <v>0</v>
      </c>
      <c r="H62" s="606">
        <v>0</v>
      </c>
      <c r="I62" s="606">
        <v>-11862357.390000045</v>
      </c>
      <c r="J62" s="606">
        <v>-9017963.594681995</v>
      </c>
      <c r="K62" s="606">
        <v>0</v>
      </c>
      <c r="L62" s="606">
        <v>0</v>
      </c>
      <c r="M62" s="606">
        <v>0</v>
      </c>
      <c r="N62" s="606"/>
      <c r="O62" s="71">
        <f t="shared" si="12"/>
        <v>314</v>
      </c>
      <c r="P62" s="376"/>
    </row>
    <row r="63" spans="1:16" s="17" customFormat="1">
      <c r="A63" s="379">
        <f t="shared" si="11"/>
        <v>315</v>
      </c>
      <c r="C63" s="371">
        <v>931</v>
      </c>
      <c r="D63" s="17" t="s">
        <v>1609</v>
      </c>
      <c r="E63" s="457">
        <f t="shared" si="13"/>
        <v>0</v>
      </c>
      <c r="F63" s="606">
        <v>0</v>
      </c>
      <c r="G63" s="606">
        <v>0</v>
      </c>
      <c r="H63" s="606">
        <v>0</v>
      </c>
      <c r="I63" s="606">
        <v>0</v>
      </c>
      <c r="J63" s="606">
        <v>0</v>
      </c>
      <c r="K63" s="606">
        <v>0</v>
      </c>
      <c r="L63" s="606">
        <v>0</v>
      </c>
      <c r="M63" s="606">
        <v>0</v>
      </c>
      <c r="N63" s="606"/>
      <c r="O63" s="71">
        <f t="shared" si="12"/>
        <v>315</v>
      </c>
      <c r="P63" s="376"/>
    </row>
    <row r="64" spans="1:16" s="17" customFormat="1">
      <c r="A64" s="379">
        <f t="shared" si="11"/>
        <v>316</v>
      </c>
      <c r="C64" s="371">
        <v>935</v>
      </c>
      <c r="D64" s="17" t="s">
        <v>1682</v>
      </c>
      <c r="E64" s="457">
        <f t="shared" si="13"/>
        <v>-396835.72999999992</v>
      </c>
      <c r="F64" s="606">
        <v>0</v>
      </c>
      <c r="G64" s="606">
        <v>0</v>
      </c>
      <c r="H64" s="606">
        <v>0</v>
      </c>
      <c r="I64" s="606">
        <v>0</v>
      </c>
      <c r="J64" s="606">
        <v>-396835.72999999992</v>
      </c>
      <c r="K64" s="606">
        <v>0</v>
      </c>
      <c r="L64" s="606">
        <v>0</v>
      </c>
      <c r="M64" s="606">
        <v>0</v>
      </c>
      <c r="N64" s="606"/>
      <c r="O64" s="71">
        <f t="shared" si="12"/>
        <v>316</v>
      </c>
      <c r="P64" s="376"/>
    </row>
    <row r="65" spans="1:15" s="17" customFormat="1">
      <c r="A65" s="379">
        <f t="shared" si="11"/>
        <v>317</v>
      </c>
      <c r="D65" s="200" t="s">
        <v>1733</v>
      </c>
      <c r="E65" s="545">
        <f>SUM(E51:E64)</f>
        <v>-684129851.85680652</v>
      </c>
      <c r="F65" s="545">
        <f>SUM(F51:F64)</f>
        <v>-4056906.9821209898</v>
      </c>
      <c r="G65" s="545">
        <f t="shared" ref="G65:M65" si="14">SUM(G51:G64)</f>
        <v>-23734571.826322533</v>
      </c>
      <c r="H65" s="545">
        <f t="shared" si="14"/>
        <v>-15465864.299132001</v>
      </c>
      <c r="I65" s="545">
        <f t="shared" si="14"/>
        <v>-843689733.43482018</v>
      </c>
      <c r="J65" s="545">
        <f t="shared" si="14"/>
        <v>163035870.68904901</v>
      </c>
      <c r="K65" s="545">
        <f t="shared" si="14"/>
        <v>-1589018.2122910302</v>
      </c>
      <c r="L65" s="545">
        <f t="shared" si="14"/>
        <v>-382595.73180966254</v>
      </c>
      <c r="M65" s="545">
        <f t="shared" si="14"/>
        <v>41752967.940640762</v>
      </c>
      <c r="N65" s="497"/>
      <c r="O65" s="71">
        <f t="shared" si="12"/>
        <v>317</v>
      </c>
    </row>
    <row r="66" spans="1:15" s="17" customFormat="1">
      <c r="A66" s="379"/>
      <c r="E66" s="544"/>
      <c r="F66" s="544"/>
      <c r="G66" s="544"/>
      <c r="H66" s="544"/>
      <c r="I66" s="546"/>
      <c r="J66" s="544"/>
      <c r="K66" s="544"/>
      <c r="O66" s="379"/>
    </row>
    <row r="67" spans="1:15" s="17" customFormat="1">
      <c r="A67" s="379"/>
      <c r="I67" s="396"/>
      <c r="O67" s="379"/>
    </row>
    <row r="68" spans="1:15" s="17" customFormat="1">
      <c r="A68" s="379"/>
      <c r="C68" s="200" t="s">
        <v>304</v>
      </c>
      <c r="I68" s="396"/>
      <c r="O68" s="379"/>
    </row>
    <row r="69" spans="1:15">
      <c r="C69" s="329">
        <v>1</v>
      </c>
      <c r="D69" s="87" t="s">
        <v>1734</v>
      </c>
      <c r="E69" s="87"/>
      <c r="F69" s="744"/>
      <c r="G69" s="744"/>
      <c r="H69" s="744"/>
      <c r="I69" s="744"/>
      <c r="J69" s="744"/>
      <c r="K69" s="744"/>
      <c r="L69" s="87"/>
      <c r="M69" s="87"/>
      <c r="N69" s="87"/>
    </row>
    <row r="70" spans="1:15">
      <c r="C70" s="329">
        <v>2</v>
      </c>
      <c r="D70" s="87" t="s">
        <v>1735</v>
      </c>
      <c r="E70" s="744"/>
      <c r="F70" s="744"/>
      <c r="G70" s="744"/>
      <c r="H70" s="744"/>
      <c r="I70" s="744"/>
      <c r="J70" s="744"/>
      <c r="K70" s="744"/>
      <c r="L70" s="87"/>
      <c r="M70" s="87"/>
      <c r="N70" s="87"/>
    </row>
    <row r="71" spans="1:15" s="17" customFormat="1">
      <c r="A71" s="379"/>
      <c r="C71" s="379">
        <v>3</v>
      </c>
      <c r="D71" s="408" t="s">
        <v>1736</v>
      </c>
      <c r="E71" s="408"/>
      <c r="F71" s="408"/>
      <c r="G71" s="408"/>
      <c r="H71" s="408"/>
      <c r="I71" s="745"/>
      <c r="J71" s="408"/>
      <c r="K71" s="408"/>
      <c r="L71" s="408"/>
      <c r="M71" s="408"/>
      <c r="N71" s="408"/>
      <c r="O71" s="379"/>
    </row>
    <row r="72" spans="1:15" s="17" customFormat="1">
      <c r="A72" s="379"/>
      <c r="C72" s="379">
        <v>4</v>
      </c>
      <c r="D72" s="408" t="s">
        <v>1737</v>
      </c>
      <c r="E72" s="408"/>
      <c r="F72" s="408"/>
      <c r="G72" s="408"/>
      <c r="H72" s="408"/>
      <c r="I72" s="745"/>
      <c r="J72" s="408"/>
      <c r="K72" s="408"/>
      <c r="L72" s="408"/>
      <c r="M72" s="408"/>
      <c r="N72" s="408"/>
      <c r="O72" s="379"/>
    </row>
    <row r="73" spans="1:15" s="17" customFormat="1">
      <c r="A73" s="379"/>
      <c r="C73" s="8">
        <v>5</v>
      </c>
      <c r="D73" s="408" t="s">
        <v>1738</v>
      </c>
      <c r="E73" s="408"/>
      <c r="F73" s="408"/>
      <c r="G73" s="408"/>
      <c r="H73" s="408"/>
      <c r="I73" s="745"/>
      <c r="J73" s="408"/>
      <c r="K73" s="408"/>
      <c r="L73" s="408"/>
      <c r="M73" s="408"/>
      <c r="N73" s="408"/>
      <c r="O73" s="379"/>
    </row>
    <row r="74" spans="1:15" s="17" customFormat="1">
      <c r="A74" s="379"/>
      <c r="C74" s="8">
        <v>6</v>
      </c>
      <c r="D74" s="408" t="s">
        <v>1739</v>
      </c>
      <c r="E74" s="408"/>
      <c r="F74" s="408"/>
      <c r="G74" s="408"/>
      <c r="H74" s="408"/>
      <c r="I74" s="745"/>
      <c r="J74" s="408"/>
      <c r="K74" s="408"/>
      <c r="L74" s="408"/>
      <c r="M74" s="408"/>
      <c r="N74" s="408"/>
      <c r="O74" s="379"/>
    </row>
    <row r="75" spans="1:15" s="17" customFormat="1">
      <c r="A75" s="379"/>
      <c r="C75" s="8">
        <v>7</v>
      </c>
      <c r="D75" s="408" t="s">
        <v>1740</v>
      </c>
      <c r="E75" s="408"/>
      <c r="F75" s="408"/>
      <c r="G75" s="408"/>
      <c r="H75" s="408"/>
      <c r="I75" s="745"/>
      <c r="J75" s="408"/>
      <c r="K75" s="408"/>
      <c r="L75" s="408"/>
      <c r="M75" s="408"/>
      <c r="N75" s="408"/>
      <c r="O75" s="379"/>
    </row>
    <row r="76" spans="1:15" s="17" customFormat="1">
      <c r="A76" s="379"/>
      <c r="C76" s="8">
        <v>8</v>
      </c>
      <c r="D76" s="408" t="s">
        <v>1741</v>
      </c>
      <c r="E76" s="408"/>
      <c r="F76" s="408"/>
      <c r="G76" s="408"/>
      <c r="H76" s="408"/>
      <c r="I76" s="745"/>
      <c r="J76" s="408"/>
      <c r="K76" s="408"/>
      <c r="L76" s="408"/>
      <c r="M76" s="408"/>
      <c r="N76" s="408"/>
      <c r="O76" s="379"/>
    </row>
    <row r="77" spans="1:15" s="17" customFormat="1">
      <c r="A77" s="379"/>
      <c r="C77" s="8">
        <v>9</v>
      </c>
      <c r="D77" s="408" t="s">
        <v>1742</v>
      </c>
      <c r="E77" s="408"/>
      <c r="F77" s="408"/>
      <c r="G77" s="408"/>
      <c r="H77" s="408"/>
      <c r="I77" s="745"/>
      <c r="J77" s="408"/>
      <c r="K77" s="408"/>
      <c r="L77" s="408"/>
      <c r="M77" s="408"/>
      <c r="N77" s="408"/>
      <c r="O77" s="379"/>
    </row>
    <row r="78" spans="1:15" s="17" customFormat="1">
      <c r="A78" s="379"/>
      <c r="C78" s="8">
        <v>10</v>
      </c>
      <c r="D78" s="408" t="s">
        <v>1743</v>
      </c>
      <c r="E78" s="408"/>
      <c r="F78" s="408"/>
      <c r="G78" s="408"/>
      <c r="H78" s="408"/>
      <c r="I78" s="745"/>
      <c r="J78" s="408"/>
      <c r="K78" s="408"/>
      <c r="L78" s="408"/>
      <c r="M78" s="408"/>
      <c r="N78" s="408"/>
      <c r="O78" s="379"/>
    </row>
    <row r="79" spans="1:15" ht="15" customHeight="1">
      <c r="C79" s="379">
        <v>11</v>
      </c>
      <c r="D79" s="838" t="s">
        <v>1744</v>
      </c>
      <c r="E79" s="838"/>
      <c r="F79" s="838"/>
      <c r="G79" s="838"/>
      <c r="H79" s="838"/>
      <c r="I79" s="838"/>
      <c r="J79" s="838"/>
      <c r="K79" s="838"/>
      <c r="L79" s="838"/>
      <c r="M79" s="838"/>
      <c r="N79" s="769"/>
    </row>
    <row r="80" spans="1:15" ht="63" customHeight="1">
      <c r="D80" s="838"/>
      <c r="E80" s="838"/>
      <c r="F80" s="838"/>
      <c r="G80" s="838"/>
      <c r="H80" s="838"/>
      <c r="I80" s="838"/>
      <c r="J80" s="838"/>
      <c r="K80" s="838"/>
      <c r="L80" s="838"/>
      <c r="M80" s="838"/>
      <c r="N80" s="769"/>
    </row>
    <row r="81" spans="3:14">
      <c r="C81" s="8">
        <v>12</v>
      </c>
      <c r="D81" s="87" t="s">
        <v>1745</v>
      </c>
      <c r="E81" s="87"/>
      <c r="F81" s="87"/>
      <c r="G81" s="87"/>
      <c r="H81" s="87"/>
      <c r="I81" s="733"/>
      <c r="J81" s="87"/>
      <c r="K81" s="87"/>
      <c r="L81" s="87"/>
      <c r="M81" s="87"/>
      <c r="N81" s="87"/>
    </row>
    <row r="82" spans="3:14">
      <c r="C82" s="379"/>
    </row>
    <row r="83" spans="3:14">
      <c r="C83" s="8"/>
      <c r="D83" s="17"/>
    </row>
    <row r="84" spans="3:14">
      <c r="C84" s="8"/>
      <c r="D84" s="17"/>
    </row>
    <row r="85" spans="3:14">
      <c r="C85" s="8"/>
      <c r="D85" s="17"/>
    </row>
    <row r="86" spans="3:14">
      <c r="C86" s="8"/>
      <c r="D86" s="17"/>
    </row>
    <row r="87" spans="3:14">
      <c r="C87" s="8"/>
      <c r="D87" s="17"/>
    </row>
    <row r="88" spans="3:14">
      <c r="C88" s="8"/>
      <c r="D88" s="17"/>
    </row>
    <row r="89" spans="3:14">
      <c r="C89" s="8"/>
      <c r="D89" s="17"/>
    </row>
  </sheetData>
  <mergeCells count="2">
    <mergeCell ref="D45:E45"/>
    <mergeCell ref="D79:M80"/>
  </mergeCells>
  <printOptions horizontalCentered="1"/>
  <pageMargins left="1" right="1" top="1" bottom="1" header="0.5" footer="0.5"/>
  <pageSetup scale="3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8ACBD-00DF-48E5-98DF-1907BF6A84E2}">
  <sheetPr>
    <tabColor rgb="FFC00000"/>
    <pageSetUpPr fitToPage="1"/>
  </sheetPr>
  <dimension ref="A1:AB89"/>
  <sheetViews>
    <sheetView tabSelected="1" view="pageBreakPreview" topLeftCell="A61" zoomScale="70" zoomScaleNormal="70" zoomScaleSheetLayoutView="70" zoomScalePageLayoutView="55" workbookViewId="0">
      <selection activeCell="E21" sqref="E21"/>
    </sheetView>
  </sheetViews>
  <sheetFormatPr defaultColWidth="9.1796875" defaultRowHeight="14.5"/>
  <cols>
    <col min="1" max="1" width="7.26953125" style="64" bestFit="1" customWidth="1"/>
    <col min="2" max="2" width="2.7265625" style="64" customWidth="1"/>
    <col min="3" max="3" width="6.7265625" style="64" customWidth="1"/>
    <col min="4" max="4" width="61.81640625" style="64" customWidth="1"/>
    <col min="5" max="5" width="22.453125" style="64" customWidth="1"/>
    <col min="6" max="6" width="20.7265625" style="64" customWidth="1"/>
    <col min="7" max="7" width="22" style="64" customWidth="1"/>
    <col min="8" max="8" width="22" style="64" bestFit="1" customWidth="1"/>
    <col min="9" max="9" width="23" style="89" customWidth="1"/>
    <col min="10" max="10" width="21.7265625" style="64" customWidth="1"/>
    <col min="11" max="11" width="24.453125" style="64" customWidth="1"/>
    <col min="12" max="12" width="18.81640625" style="64" customWidth="1"/>
    <col min="13" max="14" width="20" style="64" customWidth="1"/>
    <col min="15" max="15" width="7.26953125" style="64" bestFit="1" customWidth="1"/>
    <col min="16" max="16" width="10.7265625" style="64" bestFit="1" customWidth="1"/>
    <col min="17" max="16384" width="9.1796875" style="64"/>
  </cols>
  <sheetData>
    <row r="1" spans="1:28">
      <c r="A1" s="86"/>
      <c r="B1" s="86" t="s">
        <v>52</v>
      </c>
      <c r="N1" s="15" t="s">
        <v>1625</v>
      </c>
      <c r="O1" s="86"/>
    </row>
    <row r="2" spans="1:28">
      <c r="A2" s="86"/>
      <c r="B2" s="439" t="s">
        <v>1626</v>
      </c>
      <c r="C2" s="87"/>
      <c r="D2" s="87"/>
      <c r="K2" s="71"/>
      <c r="L2" s="164"/>
      <c r="O2" s="86"/>
    </row>
    <row r="3" spans="1:28">
      <c r="A3" s="86"/>
      <c r="K3" s="164"/>
      <c r="L3" s="164"/>
      <c r="O3" s="86"/>
    </row>
    <row r="4" spans="1:28">
      <c r="A4" s="91" t="s">
        <v>1141</v>
      </c>
      <c r="K4" s="164"/>
      <c r="L4" s="164"/>
      <c r="O4" s="91" t="s">
        <v>1141</v>
      </c>
    </row>
    <row r="5" spans="1:28">
      <c r="A5" s="71">
        <v>100</v>
      </c>
      <c r="C5" s="86" t="s">
        <v>1627</v>
      </c>
      <c r="E5" s="88" t="s">
        <v>413</v>
      </c>
      <c r="F5" s="88" t="s">
        <v>414</v>
      </c>
      <c r="G5" s="88" t="s">
        <v>415</v>
      </c>
      <c r="H5" s="88" t="s">
        <v>416</v>
      </c>
      <c r="I5" s="88" t="s">
        <v>1628</v>
      </c>
      <c r="J5" s="91" t="s">
        <v>418</v>
      </c>
      <c r="K5" s="91" t="s">
        <v>1629</v>
      </c>
      <c r="L5" s="91"/>
      <c r="O5" s="71">
        <v>100</v>
      </c>
    </row>
    <row r="6" spans="1:28">
      <c r="A6" s="71">
        <v>101</v>
      </c>
      <c r="G6" s="329" t="s">
        <v>1630</v>
      </c>
      <c r="J6" s="329" t="s">
        <v>1275</v>
      </c>
      <c r="O6" s="71">
        <v>101</v>
      </c>
    </row>
    <row r="7" spans="1:28">
      <c r="A7" s="71">
        <v>102</v>
      </c>
      <c r="E7" s="71" t="s">
        <v>705</v>
      </c>
      <c r="F7" s="71" t="s">
        <v>1631</v>
      </c>
      <c r="G7" s="71" t="s">
        <v>1632</v>
      </c>
      <c r="H7" s="71" t="s">
        <v>1631</v>
      </c>
      <c r="I7" s="71" t="s">
        <v>1633</v>
      </c>
      <c r="J7" s="71" t="s">
        <v>1633</v>
      </c>
      <c r="K7" s="71" t="s">
        <v>1634</v>
      </c>
      <c r="L7" s="71"/>
      <c r="O7" s="71">
        <v>102</v>
      </c>
    </row>
    <row r="8" spans="1:28">
      <c r="A8" s="71">
        <v>103</v>
      </c>
      <c r="B8" s="91"/>
      <c r="C8" s="91" t="s">
        <v>1635</v>
      </c>
      <c r="D8" s="91" t="s">
        <v>6</v>
      </c>
      <c r="E8" s="91" t="s">
        <v>654</v>
      </c>
      <c r="F8" s="91" t="s">
        <v>134</v>
      </c>
      <c r="G8" s="91" t="s">
        <v>654</v>
      </c>
      <c r="H8" s="91" t="s">
        <v>134</v>
      </c>
      <c r="I8" s="91" t="s">
        <v>654</v>
      </c>
      <c r="J8" s="91" t="s">
        <v>1636</v>
      </c>
      <c r="K8" s="91" t="s">
        <v>266</v>
      </c>
      <c r="L8" s="91" t="s">
        <v>655</v>
      </c>
      <c r="O8" s="71">
        <v>103</v>
      </c>
      <c r="P8" s="91"/>
      <c r="Q8" s="91"/>
      <c r="R8" s="91"/>
      <c r="S8" s="91"/>
      <c r="T8" s="91"/>
      <c r="U8" s="91"/>
      <c r="V8" s="91"/>
      <c r="W8" s="91"/>
      <c r="X8" s="91"/>
      <c r="Y8" s="91"/>
      <c r="Z8" s="91"/>
      <c r="AA8" s="91"/>
      <c r="AB8" s="91"/>
    </row>
    <row r="9" spans="1:28">
      <c r="A9" s="71">
        <v>104</v>
      </c>
      <c r="C9" s="164">
        <v>920</v>
      </c>
      <c r="D9" s="64" t="s">
        <v>1637</v>
      </c>
      <c r="E9" s="485">
        <v>307671632</v>
      </c>
      <c r="F9" s="164" t="s">
        <v>1638</v>
      </c>
      <c r="G9" s="485"/>
      <c r="H9" s="164" t="s">
        <v>1639</v>
      </c>
      <c r="I9" s="481">
        <v>307671632</v>
      </c>
      <c r="J9" s="485">
        <v>24999772.182621215</v>
      </c>
      <c r="K9" s="481">
        <v>282671859.81737876</v>
      </c>
      <c r="L9" s="64" t="s">
        <v>1640</v>
      </c>
      <c r="O9" s="71">
        <v>104</v>
      </c>
    </row>
    <row r="10" spans="1:28">
      <c r="A10" s="71">
        <v>105</v>
      </c>
      <c r="C10" s="164">
        <v>921</v>
      </c>
      <c r="D10" s="64" t="s">
        <v>1641</v>
      </c>
      <c r="E10" s="485">
        <v>91699147</v>
      </c>
      <c r="F10" s="164" t="s">
        <v>1642</v>
      </c>
      <c r="G10" s="485"/>
      <c r="H10" s="164" t="s">
        <v>1643</v>
      </c>
      <c r="I10" s="481">
        <v>91699147</v>
      </c>
      <c r="J10" s="485">
        <v>39865724.729999967</v>
      </c>
      <c r="K10" s="481">
        <v>51833422.270000033</v>
      </c>
      <c r="L10" s="64" t="s">
        <v>1644</v>
      </c>
      <c r="O10" s="71">
        <v>105</v>
      </c>
    </row>
    <row r="11" spans="1:28">
      <c r="A11" s="71">
        <v>106</v>
      </c>
      <c r="C11" s="164">
        <v>922</v>
      </c>
      <c r="D11" s="64" t="s">
        <v>1645</v>
      </c>
      <c r="E11" s="485">
        <v>-82886864</v>
      </c>
      <c r="F11" s="164" t="s">
        <v>1646</v>
      </c>
      <c r="G11" s="485"/>
      <c r="H11" s="164" t="s">
        <v>1647</v>
      </c>
      <c r="I11" s="481">
        <v>-82886864</v>
      </c>
      <c r="J11" s="485">
        <v>0</v>
      </c>
      <c r="K11" s="481">
        <v>-82886864</v>
      </c>
      <c r="L11" s="64" t="s">
        <v>1648</v>
      </c>
      <c r="O11" s="71">
        <v>106</v>
      </c>
    </row>
    <row r="12" spans="1:28">
      <c r="A12" s="71">
        <v>107</v>
      </c>
      <c r="B12" s="71"/>
      <c r="C12" s="164">
        <v>923</v>
      </c>
      <c r="D12" s="64" t="s">
        <v>1649</v>
      </c>
      <c r="E12" s="485">
        <v>497380727</v>
      </c>
      <c r="F12" s="164" t="s">
        <v>1650</v>
      </c>
      <c r="G12" s="485"/>
      <c r="H12" s="164" t="s">
        <v>1651</v>
      </c>
      <c r="I12" s="481">
        <v>497380727</v>
      </c>
      <c r="J12" s="485">
        <v>235643260.2567462</v>
      </c>
      <c r="K12" s="481">
        <v>261737466.7432538</v>
      </c>
      <c r="L12" s="64" t="s">
        <v>1652</v>
      </c>
      <c r="O12" s="71">
        <v>107</v>
      </c>
    </row>
    <row r="13" spans="1:28">
      <c r="A13" s="71">
        <v>108</v>
      </c>
      <c r="B13" s="71"/>
      <c r="C13" s="164">
        <v>924</v>
      </c>
      <c r="D13" s="64" t="s">
        <v>1154</v>
      </c>
      <c r="E13" s="485">
        <v>7948063</v>
      </c>
      <c r="F13" s="164" t="s">
        <v>1653</v>
      </c>
      <c r="G13" s="485"/>
      <c r="H13" s="164" t="s">
        <v>1654</v>
      </c>
      <c r="I13" s="481">
        <v>7948063</v>
      </c>
      <c r="J13" s="485">
        <v>-9420565.1031730473</v>
      </c>
      <c r="K13" s="481">
        <v>17368628.103173047</v>
      </c>
      <c r="L13" s="64" t="s">
        <v>1655</v>
      </c>
      <c r="O13" s="71">
        <v>108</v>
      </c>
    </row>
    <row r="14" spans="1:28">
      <c r="A14" s="71">
        <v>109</v>
      </c>
      <c r="B14" s="71"/>
      <c r="C14" s="164">
        <v>925</v>
      </c>
      <c r="D14" s="64" t="s">
        <v>1214</v>
      </c>
      <c r="E14" s="485">
        <v>1198782625</v>
      </c>
      <c r="F14" s="164" t="s">
        <v>1656</v>
      </c>
      <c r="G14" s="485"/>
      <c r="H14" s="164" t="s">
        <v>1657</v>
      </c>
      <c r="I14" s="481">
        <v>1198782625</v>
      </c>
      <c r="J14" s="485">
        <v>267359484.85880139</v>
      </c>
      <c r="K14" s="481">
        <v>931423140.14119864</v>
      </c>
      <c r="L14" s="64" t="s">
        <v>1658</v>
      </c>
      <c r="O14" s="71">
        <v>109</v>
      </c>
    </row>
    <row r="15" spans="1:28">
      <c r="A15" s="71">
        <v>110</v>
      </c>
      <c r="B15" s="71"/>
      <c r="C15" s="164">
        <v>926</v>
      </c>
      <c r="D15" s="64" t="s">
        <v>1659</v>
      </c>
      <c r="E15" s="485">
        <v>336845887</v>
      </c>
      <c r="F15" s="164" t="s">
        <v>1660</v>
      </c>
      <c r="G15" s="485"/>
      <c r="H15" s="164" t="s">
        <v>1661</v>
      </c>
      <c r="I15" s="481">
        <v>336845887</v>
      </c>
      <c r="J15" s="485">
        <v>4574997.1171287652</v>
      </c>
      <c r="K15" s="481">
        <v>332270889.88287121</v>
      </c>
      <c r="L15" s="64" t="s">
        <v>1662</v>
      </c>
      <c r="O15" s="71">
        <v>110</v>
      </c>
    </row>
    <row r="16" spans="1:28">
      <c r="A16" s="71">
        <v>111</v>
      </c>
      <c r="B16" s="71"/>
      <c r="C16" s="164">
        <v>927</v>
      </c>
      <c r="D16" s="64" t="s">
        <v>1663</v>
      </c>
      <c r="E16" s="485">
        <v>99830022</v>
      </c>
      <c r="F16" s="164" t="s">
        <v>1664</v>
      </c>
      <c r="G16" s="485"/>
      <c r="H16" s="164" t="s">
        <v>1665</v>
      </c>
      <c r="I16" s="481">
        <v>99830022</v>
      </c>
      <c r="J16" s="485">
        <v>99830022.239999995</v>
      </c>
      <c r="K16" s="481">
        <v>-0.23999999463558197</v>
      </c>
      <c r="L16" s="64" t="s">
        <v>1666</v>
      </c>
      <c r="O16" s="71">
        <v>111</v>
      </c>
    </row>
    <row r="17" spans="1:15">
      <c r="A17" s="71">
        <v>112</v>
      </c>
      <c r="B17" s="71"/>
      <c r="C17" s="164">
        <v>928</v>
      </c>
      <c r="D17" s="64" t="s">
        <v>1667</v>
      </c>
      <c r="E17" s="485">
        <v>0</v>
      </c>
      <c r="F17" s="164" t="s">
        <v>1668</v>
      </c>
      <c r="G17" s="485"/>
      <c r="H17" s="164" t="s">
        <v>1669</v>
      </c>
      <c r="I17" s="481">
        <v>0</v>
      </c>
      <c r="J17" s="485">
        <v>0</v>
      </c>
      <c r="K17" s="481">
        <v>0</v>
      </c>
      <c r="L17" s="86" t="s">
        <v>1276</v>
      </c>
      <c r="O17" s="71">
        <v>112</v>
      </c>
    </row>
    <row r="18" spans="1:15">
      <c r="A18" s="71">
        <v>113</v>
      </c>
      <c r="B18" s="71"/>
      <c r="C18" s="164">
        <v>929</v>
      </c>
      <c r="D18" s="64" t="s">
        <v>1670</v>
      </c>
      <c r="E18" s="485">
        <v>0</v>
      </c>
      <c r="F18" s="164" t="s">
        <v>1671</v>
      </c>
      <c r="G18" s="485"/>
      <c r="H18" s="164" t="s">
        <v>1672</v>
      </c>
      <c r="I18" s="481">
        <v>0</v>
      </c>
      <c r="J18" s="485">
        <v>0</v>
      </c>
      <c r="K18" s="481">
        <v>0</v>
      </c>
      <c r="L18" s="86" t="s">
        <v>1276</v>
      </c>
      <c r="O18" s="71">
        <v>113</v>
      </c>
    </row>
    <row r="19" spans="1:15">
      <c r="A19" s="71">
        <v>114</v>
      </c>
      <c r="B19" s="71"/>
      <c r="C19" s="164">
        <v>930.1</v>
      </c>
      <c r="D19" s="64" t="s">
        <v>1673</v>
      </c>
      <c r="E19" s="485">
        <v>0</v>
      </c>
      <c r="F19" s="164" t="s">
        <v>1674</v>
      </c>
      <c r="G19" s="485"/>
      <c r="H19" s="164" t="s">
        <v>1675</v>
      </c>
      <c r="I19" s="481">
        <v>0</v>
      </c>
      <c r="J19" s="485">
        <v>0</v>
      </c>
      <c r="K19" s="481">
        <v>0</v>
      </c>
      <c r="L19" s="64" t="s">
        <v>1676</v>
      </c>
      <c r="O19" s="71">
        <v>114</v>
      </c>
    </row>
    <row r="20" spans="1:15">
      <c r="A20" s="71">
        <v>115</v>
      </c>
      <c r="B20" s="71"/>
      <c r="C20" s="164">
        <v>930.2</v>
      </c>
      <c r="D20" s="64" t="s">
        <v>1677</v>
      </c>
      <c r="E20" s="485">
        <v>27790938</v>
      </c>
      <c r="F20" s="164" t="s">
        <v>1678</v>
      </c>
      <c r="G20" s="485"/>
      <c r="H20" s="164" t="s">
        <v>1679</v>
      </c>
      <c r="I20" s="481">
        <v>27790938</v>
      </c>
      <c r="J20" s="485">
        <v>20880320.984682038</v>
      </c>
      <c r="K20" s="481">
        <v>6910617.0153179616</v>
      </c>
      <c r="L20" s="64" t="s">
        <v>1676</v>
      </c>
      <c r="O20" s="71">
        <v>115</v>
      </c>
    </row>
    <row r="21" spans="1:15">
      <c r="A21" s="71">
        <v>116</v>
      </c>
      <c r="B21" s="71"/>
      <c r="C21" s="164">
        <v>931</v>
      </c>
      <c r="D21" s="64" t="s">
        <v>1609</v>
      </c>
      <c r="E21" s="485">
        <v>0</v>
      </c>
      <c r="F21" s="164" t="s">
        <v>1680</v>
      </c>
      <c r="G21" s="485"/>
      <c r="H21" s="164" t="s">
        <v>1681</v>
      </c>
      <c r="I21" s="481">
        <v>0</v>
      </c>
      <c r="J21" s="485">
        <v>0</v>
      </c>
      <c r="K21" s="481">
        <v>0</v>
      </c>
      <c r="L21" s="86" t="s">
        <v>1276</v>
      </c>
      <c r="O21" s="71">
        <v>116</v>
      </c>
    </row>
    <row r="22" spans="1:15">
      <c r="A22" s="71">
        <v>117</v>
      </c>
      <c r="B22" s="71"/>
      <c r="C22" s="164">
        <v>935</v>
      </c>
      <c r="D22" s="64" t="s">
        <v>1682</v>
      </c>
      <c r="E22" s="486">
        <v>3482559</v>
      </c>
      <c r="F22" s="164" t="s">
        <v>1683</v>
      </c>
      <c r="G22" s="486"/>
      <c r="H22" s="164" t="s">
        <v>1684</v>
      </c>
      <c r="I22" s="483">
        <v>3482559</v>
      </c>
      <c r="J22" s="486">
        <v>396835.72999999992</v>
      </c>
      <c r="K22" s="483">
        <v>3085723.27</v>
      </c>
      <c r="L22" s="64" t="s">
        <v>1685</v>
      </c>
      <c r="O22" s="71">
        <v>117</v>
      </c>
    </row>
    <row r="23" spans="1:15" s="86" customFormat="1">
      <c r="A23" s="71">
        <v>118</v>
      </c>
      <c r="D23" s="341" t="s">
        <v>1686</v>
      </c>
      <c r="E23" s="482">
        <v>2488544736</v>
      </c>
      <c r="F23" s="164" t="s">
        <v>1687</v>
      </c>
      <c r="G23" s="482">
        <v>0</v>
      </c>
      <c r="H23" s="164" t="s">
        <v>1688</v>
      </c>
      <c r="I23" s="484">
        <v>2488544736</v>
      </c>
      <c r="J23" s="484">
        <v>684129852.9968065</v>
      </c>
      <c r="K23" s="482">
        <v>1804414883.0031931</v>
      </c>
      <c r="O23" s="71">
        <v>118</v>
      </c>
    </row>
    <row r="24" spans="1:15">
      <c r="A24" s="71"/>
      <c r="I24" s="340"/>
      <c r="O24" s="71"/>
    </row>
    <row r="25" spans="1:15">
      <c r="A25" s="71">
        <v>200</v>
      </c>
      <c r="C25" s="86" t="s">
        <v>1689</v>
      </c>
      <c r="I25" s="340"/>
      <c r="O25" s="71">
        <v>200</v>
      </c>
    </row>
    <row r="26" spans="1:15">
      <c r="A26" s="71">
        <v>201</v>
      </c>
      <c r="D26" s="334" t="s">
        <v>1690</v>
      </c>
      <c r="E26" s="339"/>
      <c r="F26" s="338" t="s">
        <v>654</v>
      </c>
      <c r="G26" s="338" t="s">
        <v>134</v>
      </c>
      <c r="H26" s="337"/>
      <c r="I26" s="336"/>
      <c r="K26" s="76"/>
      <c r="O26" s="71">
        <v>201</v>
      </c>
    </row>
    <row r="27" spans="1:15">
      <c r="A27" s="71">
        <v>202</v>
      </c>
      <c r="D27" s="332"/>
      <c r="E27" s="89" t="s">
        <v>1691</v>
      </c>
      <c r="F27" s="481">
        <v>1804414883.0031931</v>
      </c>
      <c r="G27" s="73" t="s">
        <v>1692</v>
      </c>
      <c r="H27" s="687"/>
      <c r="I27" s="340"/>
      <c r="O27" s="71">
        <v>202</v>
      </c>
    </row>
    <row r="28" spans="1:15">
      <c r="A28" s="71">
        <v>203</v>
      </c>
      <c r="D28" s="332"/>
      <c r="E28" s="89" t="s">
        <v>1693</v>
      </c>
      <c r="F28" s="481">
        <v>17368628.103173047</v>
      </c>
      <c r="G28" s="73" t="s">
        <v>1694</v>
      </c>
      <c r="H28" s="688"/>
      <c r="I28" s="689"/>
      <c r="J28" s="690"/>
      <c r="O28" s="71">
        <v>203</v>
      </c>
    </row>
    <row r="29" spans="1:15">
      <c r="A29" s="71">
        <v>204</v>
      </c>
      <c r="D29" s="335"/>
      <c r="E29" s="691" t="s">
        <v>1695</v>
      </c>
      <c r="F29" s="485">
        <v>902527225.65119886</v>
      </c>
      <c r="G29" s="73" t="s">
        <v>1696</v>
      </c>
      <c r="H29" s="688"/>
      <c r="I29" s="689"/>
      <c r="O29" s="71">
        <v>204</v>
      </c>
    </row>
    <row r="30" spans="1:15">
      <c r="A30" s="71">
        <v>205</v>
      </c>
      <c r="D30" s="332"/>
      <c r="E30" s="89" t="s">
        <v>1697</v>
      </c>
      <c r="F30" s="692">
        <v>884519029.24882126</v>
      </c>
      <c r="G30" s="73" t="s">
        <v>1698</v>
      </c>
      <c r="H30" s="687"/>
      <c r="I30" s="340"/>
      <c r="O30" s="71">
        <v>205</v>
      </c>
    </row>
    <row r="31" spans="1:15">
      <c r="A31" s="71">
        <v>206</v>
      </c>
      <c r="D31" s="734"/>
      <c r="E31" s="733" t="s">
        <v>1699</v>
      </c>
      <c r="F31" s="722">
        <v>1</v>
      </c>
      <c r="G31" s="731" t="s">
        <v>1700</v>
      </c>
      <c r="H31" s="764" t="s">
        <v>1630</v>
      </c>
      <c r="I31" s="694"/>
      <c r="O31" s="71">
        <v>206</v>
      </c>
    </row>
    <row r="32" spans="1:15">
      <c r="A32" s="71">
        <v>207</v>
      </c>
      <c r="D32" s="332"/>
      <c r="E32" s="89" t="s">
        <v>1701</v>
      </c>
      <c r="F32" s="692">
        <v>884519029.24882126</v>
      </c>
      <c r="G32" s="73" t="s">
        <v>2119</v>
      </c>
      <c r="H32" s="687"/>
      <c r="I32" s="340"/>
      <c r="J32" s="695"/>
      <c r="K32" s="480"/>
      <c r="O32" s="71">
        <v>207</v>
      </c>
    </row>
    <row r="33" spans="1:15">
      <c r="A33" s="71">
        <v>208</v>
      </c>
      <c r="D33" s="332"/>
      <c r="E33" s="89" t="s">
        <v>1702</v>
      </c>
      <c r="F33" s="28">
        <v>0.13651159222612441</v>
      </c>
      <c r="G33" s="693" t="s">
        <v>233</v>
      </c>
      <c r="H33" s="687"/>
      <c r="I33" s="694"/>
      <c r="O33" s="71">
        <v>208</v>
      </c>
    </row>
    <row r="34" spans="1:15">
      <c r="A34" s="71">
        <v>209</v>
      </c>
      <c r="D34" s="330"/>
      <c r="E34" s="696" t="s">
        <v>1703</v>
      </c>
      <c r="F34" s="697">
        <v>120747101.0370625</v>
      </c>
      <c r="G34" s="698" t="s">
        <v>2120</v>
      </c>
      <c r="H34" s="699"/>
      <c r="I34" s="340"/>
      <c r="O34" s="71">
        <v>209</v>
      </c>
    </row>
    <row r="35" spans="1:15">
      <c r="A35" s="71">
        <v>210</v>
      </c>
      <c r="D35" s="334" t="s">
        <v>1704</v>
      </c>
      <c r="E35" s="700"/>
      <c r="F35" s="701"/>
      <c r="G35" s="702"/>
      <c r="H35" s="703"/>
      <c r="I35" s="340"/>
      <c r="O35" s="71">
        <v>210</v>
      </c>
    </row>
    <row r="36" spans="1:15">
      <c r="A36" s="71">
        <v>211</v>
      </c>
      <c r="D36" s="734"/>
      <c r="E36" s="733" t="s">
        <v>1705</v>
      </c>
      <c r="F36" s="722">
        <v>0.21556613519261669</v>
      </c>
      <c r="G36" s="731" t="s">
        <v>1706</v>
      </c>
      <c r="H36" s="765" t="s">
        <v>1630</v>
      </c>
      <c r="I36" s="694"/>
      <c r="O36" s="71">
        <v>211</v>
      </c>
    </row>
    <row r="37" spans="1:15">
      <c r="A37" s="71">
        <v>212</v>
      </c>
      <c r="D37" s="332"/>
      <c r="E37" s="89" t="s">
        <v>1707</v>
      </c>
      <c r="F37" s="481">
        <v>17368628.103173047</v>
      </c>
      <c r="G37" s="73" t="s">
        <v>1708</v>
      </c>
      <c r="H37" s="688"/>
      <c r="I37" s="689"/>
      <c r="O37" s="71">
        <v>212</v>
      </c>
    </row>
    <row r="38" spans="1:15">
      <c r="A38" s="71">
        <v>213</v>
      </c>
      <c r="D38" s="330"/>
      <c r="E38" s="696" t="s">
        <v>1709</v>
      </c>
      <c r="F38" s="704">
        <v>3744088.0337988827</v>
      </c>
      <c r="G38" s="698" t="s">
        <v>1710</v>
      </c>
      <c r="H38" s="705"/>
      <c r="I38" s="689"/>
      <c r="O38" s="71">
        <v>213</v>
      </c>
    </row>
    <row r="39" spans="1:15">
      <c r="A39" s="71">
        <v>214</v>
      </c>
      <c r="D39" s="333" t="s">
        <v>1711</v>
      </c>
      <c r="E39" s="89"/>
      <c r="F39" s="706"/>
      <c r="G39" s="73"/>
      <c r="H39" s="688"/>
      <c r="I39" s="689"/>
      <c r="O39" s="71">
        <v>214</v>
      </c>
    </row>
    <row r="40" spans="1:15">
      <c r="A40" s="71">
        <v>215</v>
      </c>
      <c r="D40" s="332"/>
      <c r="E40" s="89" t="s">
        <v>1712</v>
      </c>
      <c r="F40" s="482">
        <v>902527225.65119886</v>
      </c>
      <c r="G40" s="73" t="s">
        <v>1713</v>
      </c>
      <c r="H40" s="688"/>
      <c r="I40" s="689"/>
      <c r="O40" s="71">
        <v>215</v>
      </c>
    </row>
    <row r="41" spans="1:15">
      <c r="A41" s="71">
        <v>216</v>
      </c>
      <c r="D41" s="734"/>
      <c r="E41" s="733" t="s">
        <v>1714</v>
      </c>
      <c r="F41" s="722">
        <v>0.16813340941272131</v>
      </c>
      <c r="G41" s="731" t="s">
        <v>1715</v>
      </c>
      <c r="H41" s="765" t="s">
        <v>1630</v>
      </c>
      <c r="I41" s="694"/>
      <c r="O41" s="71">
        <v>216</v>
      </c>
    </row>
    <row r="42" spans="1:15">
      <c r="A42" s="71">
        <v>217</v>
      </c>
      <c r="D42" s="332"/>
      <c r="E42" s="696" t="s">
        <v>1716</v>
      </c>
      <c r="F42" s="704">
        <v>151744979.53654054</v>
      </c>
      <c r="G42" s="698" t="s">
        <v>1717</v>
      </c>
      <c r="H42" s="688"/>
      <c r="I42" s="689"/>
      <c r="O42" s="71">
        <v>217</v>
      </c>
    </row>
    <row r="43" spans="1:15">
      <c r="A43" s="71">
        <v>218</v>
      </c>
      <c r="D43" s="331"/>
      <c r="E43" s="700"/>
      <c r="F43" s="701"/>
      <c r="G43" s="702"/>
      <c r="H43" s="707"/>
      <c r="I43" s="689"/>
      <c r="O43" s="71">
        <v>218</v>
      </c>
    </row>
    <row r="44" spans="1:15">
      <c r="A44" s="71">
        <v>219</v>
      </c>
      <c r="D44" s="332"/>
      <c r="E44" s="89" t="s">
        <v>1718</v>
      </c>
      <c r="F44" s="482">
        <v>276236168.60740191</v>
      </c>
      <c r="G44" s="73" t="s">
        <v>1719</v>
      </c>
      <c r="H44" s="687"/>
      <c r="I44" s="340"/>
      <c r="O44" s="71">
        <v>219</v>
      </c>
    </row>
    <row r="45" spans="1:15" s="755" customFormat="1">
      <c r="A45" s="754">
        <v>220</v>
      </c>
      <c r="D45" s="836" t="s">
        <v>1720</v>
      </c>
      <c r="E45" s="837"/>
      <c r="F45" s="756">
        <v>4449164.6747516226</v>
      </c>
      <c r="G45" s="757" t="s">
        <v>1721</v>
      </c>
      <c r="H45" s="758"/>
      <c r="I45" s="759"/>
      <c r="O45" s="754">
        <v>220</v>
      </c>
    </row>
    <row r="46" spans="1:15">
      <c r="A46" s="71">
        <v>221</v>
      </c>
      <c r="D46" s="330"/>
      <c r="E46" s="696"/>
      <c r="F46" s="704">
        <v>280685333.28215355</v>
      </c>
      <c r="G46" s="698" t="s">
        <v>1722</v>
      </c>
      <c r="H46" s="699"/>
      <c r="I46" s="340"/>
      <c r="O46" s="71">
        <v>221</v>
      </c>
    </row>
    <row r="47" spans="1:15">
      <c r="A47" s="71"/>
      <c r="O47" s="71"/>
    </row>
    <row r="48" spans="1:15" s="17" customFormat="1">
      <c r="A48" s="379">
        <v>300</v>
      </c>
      <c r="C48" s="197" t="s">
        <v>1723</v>
      </c>
      <c r="I48" s="396"/>
      <c r="O48" s="71">
        <v>300</v>
      </c>
    </row>
    <row r="49" spans="1:16" s="17" customFormat="1">
      <c r="A49" s="379">
        <v>301</v>
      </c>
      <c r="E49" s="8" t="s">
        <v>487</v>
      </c>
      <c r="F49" s="720" t="s">
        <v>249</v>
      </c>
      <c r="G49" s="720" t="s">
        <v>285</v>
      </c>
      <c r="H49" s="720" t="s">
        <v>452</v>
      </c>
      <c r="I49" s="720" t="s">
        <v>453</v>
      </c>
      <c r="J49" s="720" t="s">
        <v>454</v>
      </c>
      <c r="K49" s="720" t="s">
        <v>455</v>
      </c>
      <c r="L49" s="720" t="s">
        <v>486</v>
      </c>
      <c r="M49" s="720" t="s">
        <v>501</v>
      </c>
      <c r="N49" s="720"/>
      <c r="O49" s="71">
        <v>301</v>
      </c>
    </row>
    <row r="50" spans="1:16" s="17" customFormat="1" ht="60" customHeight="1">
      <c r="A50" s="542">
        <v>302</v>
      </c>
      <c r="E50" s="543" t="s">
        <v>1724</v>
      </c>
      <c r="F50" s="721" t="s">
        <v>1725</v>
      </c>
      <c r="G50" s="721" t="s">
        <v>1726</v>
      </c>
      <c r="H50" s="721" t="s">
        <v>1727</v>
      </c>
      <c r="I50" s="721" t="s">
        <v>1728</v>
      </c>
      <c r="J50" s="721" t="s">
        <v>1729</v>
      </c>
      <c r="K50" s="721" t="s">
        <v>1730</v>
      </c>
      <c r="L50" s="721" t="s">
        <v>1731</v>
      </c>
      <c r="M50" s="721" t="s">
        <v>1732</v>
      </c>
      <c r="N50" s="746" t="s">
        <v>126</v>
      </c>
      <c r="O50" s="71">
        <v>302</v>
      </c>
    </row>
    <row r="51" spans="1:16" s="17" customFormat="1">
      <c r="A51" s="379">
        <v>303</v>
      </c>
      <c r="C51" s="371">
        <v>920</v>
      </c>
      <c r="D51" s="17" t="s">
        <v>1637</v>
      </c>
      <c r="E51" s="457">
        <v>-24999772.182621218</v>
      </c>
      <c r="F51" s="606">
        <v>-3350483.3398758997</v>
      </c>
      <c r="G51" s="606">
        <v>-14667244.030000001</v>
      </c>
      <c r="H51" s="606">
        <v>0</v>
      </c>
      <c r="I51" s="606">
        <v>0</v>
      </c>
      <c r="J51" s="606">
        <v>-6793009.0300000003</v>
      </c>
      <c r="K51" s="606">
        <v>-208143</v>
      </c>
      <c r="L51" s="606">
        <v>19107.217254683386</v>
      </c>
      <c r="M51" s="606">
        <v>0</v>
      </c>
      <c r="N51" s="606"/>
      <c r="O51" s="71">
        <v>303</v>
      </c>
      <c r="P51" s="376"/>
    </row>
    <row r="52" spans="1:16" s="17" customFormat="1">
      <c r="A52" s="379">
        <v>304</v>
      </c>
      <c r="C52" s="371">
        <v>921</v>
      </c>
      <c r="D52" s="17" t="s">
        <v>1641</v>
      </c>
      <c r="E52" s="457">
        <v>-39865724.729999967</v>
      </c>
      <c r="F52" s="606">
        <v>0</v>
      </c>
      <c r="G52" s="606">
        <v>-1585954.9300000002</v>
      </c>
      <c r="H52" s="606">
        <v>0</v>
      </c>
      <c r="I52" s="606">
        <v>0</v>
      </c>
      <c r="J52" s="606">
        <v>-38236609.799999967</v>
      </c>
      <c r="K52" s="606">
        <v>-43160</v>
      </c>
      <c r="L52" s="606">
        <v>0</v>
      </c>
      <c r="M52" s="606">
        <v>0</v>
      </c>
      <c r="N52" s="606"/>
      <c r="O52" s="71">
        <v>304</v>
      </c>
      <c r="P52" s="376"/>
    </row>
    <row r="53" spans="1:16" s="17" customFormat="1">
      <c r="A53" s="379">
        <v>305</v>
      </c>
      <c r="C53" s="371">
        <v>922</v>
      </c>
      <c r="D53" s="17" t="s">
        <v>1645</v>
      </c>
      <c r="E53" s="457">
        <v>0</v>
      </c>
      <c r="F53" s="606">
        <v>0</v>
      </c>
      <c r="G53" s="606">
        <v>0</v>
      </c>
      <c r="H53" s="606">
        <v>0</v>
      </c>
      <c r="I53" s="606">
        <v>0</v>
      </c>
      <c r="J53" s="606">
        <v>0</v>
      </c>
      <c r="K53" s="606">
        <v>0</v>
      </c>
      <c r="L53" s="606">
        <v>0</v>
      </c>
      <c r="M53" s="606">
        <v>0</v>
      </c>
      <c r="N53" s="606"/>
      <c r="O53" s="71">
        <v>305</v>
      </c>
      <c r="P53" s="376"/>
    </row>
    <row r="54" spans="1:16" s="17" customFormat="1">
      <c r="A54" s="379">
        <v>306</v>
      </c>
      <c r="C54" s="371">
        <v>923</v>
      </c>
      <c r="D54" s="17" t="s">
        <v>1649</v>
      </c>
      <c r="E54" s="457">
        <v>-235643259.11674619</v>
      </c>
      <c r="F54" s="606">
        <v>-706423.64224509022</v>
      </c>
      <c r="G54" s="606">
        <v>-3887999.2455765298</v>
      </c>
      <c r="H54" s="606">
        <v>6016.5209999999997</v>
      </c>
      <c r="I54" s="606">
        <v>-225582123.18481997</v>
      </c>
      <c r="J54" s="606">
        <v>-5605133.1800000174</v>
      </c>
      <c r="K54" s="606">
        <v>-67909</v>
      </c>
      <c r="L54" s="606">
        <v>200312.61489538974</v>
      </c>
      <c r="M54" s="606">
        <v>0</v>
      </c>
      <c r="N54" s="606"/>
      <c r="O54" s="71">
        <v>306</v>
      </c>
      <c r="P54" s="376"/>
    </row>
    <row r="55" spans="1:16" s="17" customFormat="1">
      <c r="A55" s="379">
        <v>307</v>
      </c>
      <c r="C55" s="371">
        <v>924</v>
      </c>
      <c r="D55" s="17" t="s">
        <v>1154</v>
      </c>
      <c r="E55" s="457">
        <v>9420565.1031730473</v>
      </c>
      <c r="F55" s="606">
        <v>0</v>
      </c>
      <c r="G55" s="606">
        <v>0</v>
      </c>
      <c r="H55" s="606">
        <v>0</v>
      </c>
      <c r="I55" s="606">
        <v>7783981.8100000005</v>
      </c>
      <c r="J55" s="606">
        <v>-70863.08</v>
      </c>
      <c r="K55" s="606">
        <v>0</v>
      </c>
      <c r="L55" s="606">
        <v>0</v>
      </c>
      <c r="M55" s="606">
        <v>1707446.3731730469</v>
      </c>
      <c r="N55" s="606"/>
      <c r="O55" s="71">
        <v>307</v>
      </c>
      <c r="P55" s="376"/>
    </row>
    <row r="56" spans="1:16" s="17" customFormat="1">
      <c r="A56" s="379">
        <v>308</v>
      </c>
      <c r="C56" s="371">
        <v>925</v>
      </c>
      <c r="D56" s="17" t="s">
        <v>1214</v>
      </c>
      <c r="E56" s="457">
        <v>-267359484.85880134</v>
      </c>
      <c r="F56" s="606">
        <v>0</v>
      </c>
      <c r="G56" s="606">
        <v>10183.590000000084</v>
      </c>
      <c r="H56" s="606">
        <v>-15813601.550000001</v>
      </c>
      <c r="I56" s="606">
        <v>-514757873.57000005</v>
      </c>
      <c r="J56" s="606">
        <v>223156285.10373098</v>
      </c>
      <c r="K56" s="606">
        <v>0</v>
      </c>
      <c r="L56" s="606">
        <v>0</v>
      </c>
      <c r="M56" s="606">
        <v>40045521.567467719</v>
      </c>
      <c r="N56" s="606"/>
      <c r="O56" s="71">
        <v>308</v>
      </c>
      <c r="P56" s="376"/>
    </row>
    <row r="57" spans="1:16" s="17" customFormat="1">
      <c r="A57" s="379">
        <v>309</v>
      </c>
      <c r="C57" s="371">
        <v>926</v>
      </c>
      <c r="D57" s="17" t="s">
        <v>1659</v>
      </c>
      <c r="E57" s="457">
        <v>-4574997.1171287652</v>
      </c>
      <c r="F57" s="606">
        <v>0</v>
      </c>
      <c r="G57" s="606">
        <v>-3603557.2107460001</v>
      </c>
      <c r="H57" s="606">
        <v>341720.72986800037</v>
      </c>
      <c r="I57" s="606">
        <v>558661.14</v>
      </c>
      <c r="J57" s="606">
        <v>0</v>
      </c>
      <c r="K57" s="606">
        <v>-1269806.2122910302</v>
      </c>
      <c r="L57" s="606">
        <v>-602015.56395973568</v>
      </c>
      <c r="M57" s="606">
        <v>0</v>
      </c>
      <c r="N57" s="606"/>
      <c r="O57" s="71">
        <v>309</v>
      </c>
      <c r="P57" s="376"/>
    </row>
    <row r="58" spans="1:16" s="17" customFormat="1">
      <c r="A58" s="379">
        <v>310</v>
      </c>
      <c r="C58" s="371">
        <v>927</v>
      </c>
      <c r="D58" s="17" t="s">
        <v>1663</v>
      </c>
      <c r="E58" s="457">
        <v>-99830022.239999995</v>
      </c>
      <c r="F58" s="606">
        <v>0</v>
      </c>
      <c r="G58" s="606">
        <v>0</v>
      </c>
      <c r="H58" s="606">
        <v>0</v>
      </c>
      <c r="I58" s="606">
        <v>-99830022.239999995</v>
      </c>
      <c r="J58" s="606">
        <v>0</v>
      </c>
      <c r="K58" s="606">
        <v>0</v>
      </c>
      <c r="L58" s="606">
        <v>0</v>
      </c>
      <c r="M58" s="606">
        <v>0</v>
      </c>
      <c r="N58" s="606"/>
      <c r="O58" s="71">
        <v>310</v>
      </c>
      <c r="P58" s="376"/>
    </row>
    <row r="59" spans="1:16" s="17" customFormat="1">
      <c r="A59" s="379">
        <v>311</v>
      </c>
      <c r="C59" s="371">
        <v>928</v>
      </c>
      <c r="D59" s="17" t="s">
        <v>1667</v>
      </c>
      <c r="E59" s="457">
        <v>0</v>
      </c>
      <c r="F59" s="606">
        <v>0</v>
      </c>
      <c r="G59" s="606">
        <v>0</v>
      </c>
      <c r="H59" s="606">
        <v>0</v>
      </c>
      <c r="I59" s="606">
        <v>0</v>
      </c>
      <c r="J59" s="606">
        <v>0</v>
      </c>
      <c r="K59" s="606">
        <v>0</v>
      </c>
      <c r="L59" s="606">
        <v>0</v>
      </c>
      <c r="M59" s="606">
        <v>0</v>
      </c>
      <c r="N59" s="606"/>
      <c r="O59" s="71">
        <v>311</v>
      </c>
      <c r="P59" s="376"/>
    </row>
    <row r="60" spans="1:16" s="17" customFormat="1">
      <c r="A60" s="379">
        <v>312</v>
      </c>
      <c r="C60" s="371">
        <v>929</v>
      </c>
      <c r="D60" s="17" t="s">
        <v>1670</v>
      </c>
      <c r="E60" s="457">
        <v>0</v>
      </c>
      <c r="F60" s="606">
        <v>0</v>
      </c>
      <c r="G60" s="606">
        <v>0</v>
      </c>
      <c r="H60" s="606">
        <v>0</v>
      </c>
      <c r="I60" s="606">
        <v>0</v>
      </c>
      <c r="J60" s="606">
        <v>0</v>
      </c>
      <c r="K60" s="606">
        <v>0</v>
      </c>
      <c r="L60" s="606">
        <v>0</v>
      </c>
      <c r="M60" s="606">
        <v>0</v>
      </c>
      <c r="N60" s="606"/>
      <c r="O60" s="71">
        <v>312</v>
      </c>
      <c r="P60" s="376"/>
    </row>
    <row r="61" spans="1:16" s="17" customFormat="1">
      <c r="A61" s="379">
        <v>313</v>
      </c>
      <c r="C61" s="371">
        <v>930.1</v>
      </c>
      <c r="D61" s="17" t="s">
        <v>1673</v>
      </c>
      <c r="E61" s="457">
        <v>0</v>
      </c>
      <c r="F61" s="606">
        <v>0</v>
      </c>
      <c r="G61" s="606">
        <v>0</v>
      </c>
      <c r="H61" s="606">
        <v>0</v>
      </c>
      <c r="I61" s="606">
        <v>0</v>
      </c>
      <c r="J61" s="606">
        <v>0</v>
      </c>
      <c r="K61" s="606">
        <v>0</v>
      </c>
      <c r="L61" s="606">
        <v>0</v>
      </c>
      <c r="M61" s="606">
        <v>0</v>
      </c>
      <c r="N61" s="606"/>
      <c r="O61" s="71">
        <v>313</v>
      </c>
      <c r="P61" s="376"/>
    </row>
    <row r="62" spans="1:16" s="17" customFormat="1">
      <c r="A62" s="379">
        <v>314</v>
      </c>
      <c r="C62" s="371">
        <v>930.2</v>
      </c>
      <c r="D62" s="17" t="s">
        <v>1677</v>
      </c>
      <c r="E62" s="457">
        <v>-20880320.984682038</v>
      </c>
      <c r="F62" s="606">
        <v>0</v>
      </c>
      <c r="G62" s="606">
        <v>0</v>
      </c>
      <c r="H62" s="606">
        <v>0</v>
      </c>
      <c r="I62" s="606">
        <v>-11862357.390000045</v>
      </c>
      <c r="J62" s="606">
        <v>-9017963.594681995</v>
      </c>
      <c r="K62" s="606">
        <v>0</v>
      </c>
      <c r="L62" s="606">
        <v>0</v>
      </c>
      <c r="M62" s="606">
        <v>0</v>
      </c>
      <c r="N62" s="606"/>
      <c r="O62" s="71">
        <v>314</v>
      </c>
      <c r="P62" s="376"/>
    </row>
    <row r="63" spans="1:16" s="17" customFormat="1">
      <c r="A63" s="379">
        <v>315</v>
      </c>
      <c r="C63" s="371">
        <v>931</v>
      </c>
      <c r="D63" s="17" t="s">
        <v>1609</v>
      </c>
      <c r="E63" s="457">
        <v>0</v>
      </c>
      <c r="F63" s="606">
        <v>0</v>
      </c>
      <c r="G63" s="606">
        <v>0</v>
      </c>
      <c r="H63" s="606">
        <v>0</v>
      </c>
      <c r="I63" s="606">
        <v>0</v>
      </c>
      <c r="J63" s="606">
        <v>0</v>
      </c>
      <c r="K63" s="606">
        <v>0</v>
      </c>
      <c r="L63" s="606">
        <v>0</v>
      </c>
      <c r="M63" s="606">
        <v>0</v>
      </c>
      <c r="N63" s="606"/>
      <c r="O63" s="71">
        <v>315</v>
      </c>
      <c r="P63" s="376"/>
    </row>
    <row r="64" spans="1:16" s="17" customFormat="1">
      <c r="A64" s="379">
        <v>316</v>
      </c>
      <c r="C64" s="371">
        <v>935</v>
      </c>
      <c r="D64" s="17" t="s">
        <v>1682</v>
      </c>
      <c r="E64" s="457">
        <v>-396835.72999999992</v>
      </c>
      <c r="F64" s="606">
        <v>0</v>
      </c>
      <c r="G64" s="606">
        <v>0</v>
      </c>
      <c r="H64" s="606">
        <v>0</v>
      </c>
      <c r="I64" s="606">
        <v>0</v>
      </c>
      <c r="J64" s="606">
        <v>-396835.72999999992</v>
      </c>
      <c r="K64" s="606">
        <v>0</v>
      </c>
      <c r="L64" s="606">
        <v>0</v>
      </c>
      <c r="M64" s="606">
        <v>0</v>
      </c>
      <c r="N64" s="606"/>
      <c r="O64" s="71">
        <v>316</v>
      </c>
      <c r="P64" s="376"/>
    </row>
    <row r="65" spans="1:15" s="17" customFormat="1">
      <c r="A65" s="379">
        <v>317</v>
      </c>
      <c r="D65" s="200" t="s">
        <v>1733</v>
      </c>
      <c r="E65" s="545">
        <v>-684129851.85680652</v>
      </c>
      <c r="F65" s="545">
        <v>-4056906.9821209898</v>
      </c>
      <c r="G65" s="545">
        <v>-23734571.826322533</v>
      </c>
      <c r="H65" s="545">
        <v>-15465864.299132001</v>
      </c>
      <c r="I65" s="545">
        <v>-843689733.43482018</v>
      </c>
      <c r="J65" s="545">
        <v>163035870.68904901</v>
      </c>
      <c r="K65" s="545">
        <v>-1589018.2122910302</v>
      </c>
      <c r="L65" s="545">
        <v>-382595.73180966254</v>
      </c>
      <c r="M65" s="545">
        <v>41752967.940640762</v>
      </c>
      <c r="N65" s="497"/>
      <c r="O65" s="71">
        <v>317</v>
      </c>
    </row>
    <row r="66" spans="1:15" s="17" customFormat="1">
      <c r="A66" s="379"/>
      <c r="E66" s="544"/>
      <c r="F66" s="544"/>
      <c r="G66" s="544"/>
      <c r="H66" s="544"/>
      <c r="I66" s="546"/>
      <c r="J66" s="544"/>
      <c r="K66" s="544"/>
      <c r="O66" s="379"/>
    </row>
    <row r="67" spans="1:15" s="17" customFormat="1">
      <c r="A67" s="379"/>
      <c r="I67" s="396"/>
      <c r="O67" s="379"/>
    </row>
    <row r="68" spans="1:15" s="17" customFormat="1">
      <c r="A68" s="379"/>
      <c r="C68" s="200" t="s">
        <v>304</v>
      </c>
      <c r="I68" s="396"/>
      <c r="O68" s="379"/>
    </row>
    <row r="69" spans="1:15">
      <c r="C69" s="329">
        <v>1</v>
      </c>
      <c r="D69" s="87" t="s">
        <v>1734</v>
      </c>
      <c r="E69" s="87"/>
      <c r="F69" s="744"/>
      <c r="G69" s="744"/>
      <c r="H69" s="744"/>
      <c r="I69" s="744"/>
      <c r="J69" s="744"/>
      <c r="K69" s="744"/>
      <c r="L69" s="87"/>
      <c r="M69" s="87"/>
      <c r="N69" s="87"/>
    </row>
    <row r="70" spans="1:15">
      <c r="C70" s="329">
        <v>2</v>
      </c>
      <c r="D70" s="87" t="s">
        <v>1735</v>
      </c>
      <c r="E70" s="744"/>
      <c r="F70" s="744"/>
      <c r="G70" s="744"/>
      <c r="H70" s="744"/>
      <c r="I70" s="744"/>
      <c r="J70" s="744"/>
      <c r="K70" s="744"/>
      <c r="L70" s="87"/>
      <c r="M70" s="87"/>
      <c r="N70" s="87"/>
    </row>
    <row r="71" spans="1:15" s="17" customFormat="1">
      <c r="A71" s="379"/>
      <c r="C71" s="379">
        <v>3</v>
      </c>
      <c r="D71" s="408" t="s">
        <v>1736</v>
      </c>
      <c r="E71" s="408"/>
      <c r="F71" s="408"/>
      <c r="G71" s="408"/>
      <c r="H71" s="408"/>
      <c r="I71" s="745"/>
      <c r="J71" s="408"/>
      <c r="K71" s="408"/>
      <c r="L71" s="408"/>
      <c r="M71" s="408"/>
      <c r="N71" s="408"/>
      <c r="O71" s="379"/>
    </row>
    <row r="72" spans="1:15" s="17" customFormat="1">
      <c r="A72" s="379"/>
      <c r="C72" s="379">
        <v>4</v>
      </c>
      <c r="D72" s="408" t="s">
        <v>1737</v>
      </c>
      <c r="E72" s="408"/>
      <c r="F72" s="408"/>
      <c r="G72" s="408"/>
      <c r="H72" s="408"/>
      <c r="I72" s="745"/>
      <c r="J72" s="408"/>
      <c r="K72" s="408"/>
      <c r="L72" s="408"/>
      <c r="M72" s="408"/>
      <c r="N72" s="408"/>
      <c r="O72" s="379"/>
    </row>
    <row r="73" spans="1:15" s="17" customFormat="1">
      <c r="A73" s="379"/>
      <c r="C73" s="8">
        <v>5</v>
      </c>
      <c r="D73" s="408" t="s">
        <v>1738</v>
      </c>
      <c r="E73" s="408"/>
      <c r="F73" s="408"/>
      <c r="G73" s="408"/>
      <c r="H73" s="408"/>
      <c r="I73" s="745"/>
      <c r="J73" s="408"/>
      <c r="K73" s="408"/>
      <c r="L73" s="408"/>
      <c r="M73" s="408"/>
      <c r="N73" s="408"/>
      <c r="O73" s="379"/>
    </row>
    <row r="74" spans="1:15" s="17" customFormat="1">
      <c r="A74" s="379"/>
      <c r="C74" s="8">
        <v>6</v>
      </c>
      <c r="D74" s="408" t="s">
        <v>1739</v>
      </c>
      <c r="E74" s="408"/>
      <c r="F74" s="408"/>
      <c r="G74" s="408"/>
      <c r="H74" s="408"/>
      <c r="I74" s="745"/>
      <c r="J74" s="408"/>
      <c r="K74" s="408"/>
      <c r="L74" s="408"/>
      <c r="M74" s="408"/>
      <c r="N74" s="408"/>
      <c r="O74" s="379"/>
    </row>
    <row r="75" spans="1:15" s="17" customFormat="1">
      <c r="A75" s="379"/>
      <c r="C75" s="8">
        <v>7</v>
      </c>
      <c r="D75" s="408" t="s">
        <v>1740</v>
      </c>
      <c r="E75" s="408"/>
      <c r="F75" s="408"/>
      <c r="G75" s="408"/>
      <c r="H75" s="408"/>
      <c r="I75" s="745"/>
      <c r="J75" s="408"/>
      <c r="K75" s="408"/>
      <c r="L75" s="408"/>
      <c r="M75" s="408"/>
      <c r="N75" s="408"/>
      <c r="O75" s="379"/>
    </row>
    <row r="76" spans="1:15" s="17" customFormat="1">
      <c r="A76" s="379"/>
      <c r="C76" s="8">
        <v>8</v>
      </c>
      <c r="D76" s="408" t="s">
        <v>1741</v>
      </c>
      <c r="E76" s="408"/>
      <c r="F76" s="408"/>
      <c r="G76" s="408"/>
      <c r="H76" s="408"/>
      <c r="I76" s="745"/>
      <c r="J76" s="408"/>
      <c r="K76" s="408"/>
      <c r="L76" s="408"/>
      <c r="M76" s="408"/>
      <c r="N76" s="408"/>
      <c r="O76" s="379"/>
    </row>
    <row r="77" spans="1:15" s="17" customFormat="1">
      <c r="A77" s="379"/>
      <c r="C77" s="8">
        <v>9</v>
      </c>
      <c r="D77" s="408" t="s">
        <v>1742</v>
      </c>
      <c r="E77" s="408"/>
      <c r="F77" s="408"/>
      <c r="G77" s="408"/>
      <c r="H77" s="408"/>
      <c r="I77" s="745"/>
      <c r="J77" s="408"/>
      <c r="K77" s="408"/>
      <c r="L77" s="408"/>
      <c r="M77" s="408"/>
      <c r="N77" s="408"/>
      <c r="O77" s="379"/>
    </row>
    <row r="78" spans="1:15" s="17" customFormat="1">
      <c r="A78" s="379"/>
      <c r="C78" s="8">
        <v>10</v>
      </c>
      <c r="D78" s="408" t="s">
        <v>1743</v>
      </c>
      <c r="E78" s="408"/>
      <c r="F78" s="408"/>
      <c r="G78" s="408"/>
      <c r="H78" s="408"/>
      <c r="I78" s="745"/>
      <c r="J78" s="408"/>
      <c r="K78" s="408"/>
      <c r="L78" s="408"/>
      <c r="M78" s="408"/>
      <c r="N78" s="408"/>
      <c r="O78" s="379"/>
    </row>
    <row r="79" spans="1:15" ht="15" customHeight="1">
      <c r="C79" s="379">
        <v>11</v>
      </c>
      <c r="D79" s="838" t="s">
        <v>1744</v>
      </c>
      <c r="E79" s="838"/>
      <c r="F79" s="838"/>
      <c r="G79" s="838"/>
      <c r="H79" s="838"/>
      <c r="I79" s="838"/>
      <c r="J79" s="838"/>
      <c r="K79" s="838"/>
      <c r="L79" s="838"/>
      <c r="M79" s="838"/>
      <c r="N79" s="769"/>
    </row>
    <row r="80" spans="1:15" ht="63" customHeight="1">
      <c r="D80" s="838"/>
      <c r="E80" s="838"/>
      <c r="F80" s="838"/>
      <c r="G80" s="838"/>
      <c r="H80" s="838"/>
      <c r="I80" s="838"/>
      <c r="J80" s="838"/>
      <c r="K80" s="838"/>
      <c r="L80" s="838"/>
      <c r="M80" s="838"/>
      <c r="N80" s="769"/>
    </row>
    <row r="81" spans="3:14">
      <c r="C81" s="8">
        <v>12</v>
      </c>
      <c r="D81" s="87" t="s">
        <v>1745</v>
      </c>
      <c r="E81" s="87"/>
      <c r="F81" s="87"/>
      <c r="G81" s="87"/>
      <c r="H81" s="87"/>
      <c r="I81" s="733"/>
      <c r="J81" s="87"/>
      <c r="K81" s="87"/>
      <c r="L81" s="87"/>
      <c r="M81" s="87"/>
      <c r="N81" s="87"/>
    </row>
    <row r="82" spans="3:14">
      <c r="C82" s="379"/>
    </row>
    <row r="83" spans="3:14">
      <c r="C83" s="8"/>
      <c r="D83" s="17"/>
    </row>
    <row r="84" spans="3:14">
      <c r="C84" s="8"/>
      <c r="D84" s="17"/>
    </row>
    <row r="85" spans="3:14">
      <c r="C85" s="8"/>
      <c r="D85" s="17"/>
    </row>
    <row r="86" spans="3:14">
      <c r="C86" s="8"/>
      <c r="D86" s="17"/>
    </row>
    <row r="87" spans="3:14">
      <c r="C87" s="8"/>
      <c r="D87" s="17"/>
    </row>
    <row r="88" spans="3:14">
      <c r="C88" s="8"/>
      <c r="D88" s="17"/>
    </row>
    <row r="89" spans="3:14">
      <c r="C89" s="8"/>
      <c r="D89" s="17"/>
    </row>
  </sheetData>
  <mergeCells count="2">
    <mergeCell ref="D45:E45"/>
    <mergeCell ref="D79:M80"/>
  </mergeCells>
  <printOptions horizontalCentered="1"/>
  <pageMargins left="1" right="1" top="1" bottom="1" header="0.5" footer="0.5"/>
  <pageSetup scale="37" fitToHeight="0" orientation="landscape" r:id="rId1"/>
  <headerFooter>
    <oddHeader xml:space="preserve">&amp;C&amp;"-,Bold"Pacific Gas and Electric Company
Formula Rate Model
Schedule &amp;A&amp;R&amp;10Docket No. ER19-13-000, et al- Annual Update RY2024
&amp;F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K70"/>
  <sheetViews>
    <sheetView tabSelected="1" view="pageBreakPreview" topLeftCell="A48" zoomScale="70" zoomScaleNormal="85" zoomScaleSheetLayoutView="70" zoomScalePageLayoutView="70" workbookViewId="0">
      <selection activeCell="E21" sqref="E21"/>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28" bestFit="1" customWidth="1"/>
    <col min="11" max="11" width="4.7265625" bestFit="1" customWidth="1"/>
  </cols>
  <sheetData>
    <row r="1" spans="1:11">
      <c r="B1" s="12" t="s">
        <v>54</v>
      </c>
      <c r="I1" s="15"/>
      <c r="J1" s="15" t="str">
        <f>CONCATENATE("Prior Year: ",'1-BaseTRR'!$G$2)</f>
        <v>Prior Year: 2020</v>
      </c>
    </row>
    <row r="2" spans="1:11">
      <c r="B2" s="113" t="s">
        <v>130</v>
      </c>
      <c r="C2" s="49"/>
      <c r="I2" s="15"/>
      <c r="J2" s="15"/>
    </row>
    <row r="3" spans="1:11">
      <c r="A3" s="12"/>
      <c r="B3" s="200"/>
      <c r="J3" s="15"/>
      <c r="K3" s="12"/>
    </row>
    <row r="4" spans="1:11">
      <c r="B4" s="16" t="s">
        <v>350</v>
      </c>
      <c r="D4" s="310"/>
    </row>
    <row r="5" spans="1:11">
      <c r="B5" t="s">
        <v>1746</v>
      </c>
    </row>
    <row r="7" spans="1:11">
      <c r="B7" s="13" t="s">
        <v>413</v>
      </c>
      <c r="C7" s="13" t="s">
        <v>414</v>
      </c>
      <c r="D7" s="13" t="s">
        <v>415</v>
      </c>
      <c r="E7" s="13" t="s">
        <v>416</v>
      </c>
      <c r="F7" s="13" t="s">
        <v>417</v>
      </c>
      <c r="G7" s="13" t="s">
        <v>418</v>
      </c>
      <c r="H7" s="13" t="s">
        <v>419</v>
      </c>
      <c r="I7" s="13" t="s">
        <v>420</v>
      </c>
      <c r="J7" s="13" t="s">
        <v>451</v>
      </c>
    </row>
    <row r="8" spans="1:11">
      <c r="B8" s="8"/>
      <c r="C8" s="8"/>
      <c r="D8" s="8"/>
      <c r="E8" s="8"/>
      <c r="F8" s="8"/>
      <c r="G8" s="8"/>
      <c r="H8" s="8" t="s">
        <v>1747</v>
      </c>
      <c r="I8" s="8"/>
      <c r="J8" s="8"/>
    </row>
    <row r="9" spans="1:11" ht="29">
      <c r="A9" s="13" t="s">
        <v>99</v>
      </c>
      <c r="B9" s="13" t="s">
        <v>1748</v>
      </c>
      <c r="C9" s="162" t="s">
        <v>1749</v>
      </c>
      <c r="D9" s="13" t="s">
        <v>1750</v>
      </c>
      <c r="E9" s="13" t="s">
        <v>1751</v>
      </c>
      <c r="F9" s="162" t="s">
        <v>1752</v>
      </c>
      <c r="G9" s="162" t="s">
        <v>1753</v>
      </c>
      <c r="H9" s="162" t="s">
        <v>1754</v>
      </c>
      <c r="I9" s="162" t="s">
        <v>1755</v>
      </c>
      <c r="J9" s="162" t="s">
        <v>135</v>
      </c>
      <c r="K9" s="13" t="str">
        <f>A9</f>
        <v>Line</v>
      </c>
    </row>
    <row r="10" spans="1:11" ht="29">
      <c r="A10" s="8">
        <v>100</v>
      </c>
      <c r="D10" s="15" t="s">
        <v>840</v>
      </c>
      <c r="E10" s="345">
        <f>E14+E20+E30+E36+E44</f>
        <v>-83174137.339999989</v>
      </c>
      <c r="F10" s="345">
        <f>F14+F20+F30+F36+F44</f>
        <v>6557826.1055999994</v>
      </c>
      <c r="G10" s="345">
        <f t="shared" ref="G10:I10" si="0">G14+G20+G30+G36+G44</f>
        <v>3957436.8944000001</v>
      </c>
      <c r="H10" s="345">
        <f t="shared" si="0"/>
        <v>10515263</v>
      </c>
      <c r="I10" s="345">
        <f t="shared" si="0"/>
        <v>52156341</v>
      </c>
      <c r="J10" s="304" t="s">
        <v>1756</v>
      </c>
      <c r="K10" s="13">
        <f>A10</f>
        <v>100</v>
      </c>
    </row>
    <row r="11" spans="1:11">
      <c r="A11" s="13"/>
      <c r="E11" s="15"/>
      <c r="F11" s="25"/>
      <c r="G11" s="25"/>
      <c r="H11" s="25"/>
      <c r="I11" s="25"/>
      <c r="J11" s="162"/>
      <c r="K11" s="13"/>
    </row>
    <row r="12" spans="1:11">
      <c r="A12" s="13"/>
      <c r="B12" s="47" t="s">
        <v>1757</v>
      </c>
      <c r="C12" s="346"/>
      <c r="D12" s="346"/>
      <c r="E12" s="346"/>
      <c r="F12" s="219"/>
      <c r="G12" s="219"/>
      <c r="H12" s="219"/>
      <c r="I12" s="219"/>
      <c r="J12" s="219"/>
    </row>
    <row r="13" spans="1:11">
      <c r="A13" s="8">
        <v>200</v>
      </c>
      <c r="B13" s="35"/>
      <c r="D13" s="15" t="s">
        <v>1758</v>
      </c>
      <c r="E13" s="531">
        <v>733289</v>
      </c>
      <c r="F13" s="343"/>
      <c r="G13" s="343"/>
      <c r="H13" s="343"/>
      <c r="I13" s="343"/>
      <c r="J13" s="343"/>
      <c r="K13" s="8">
        <f>A13</f>
        <v>200</v>
      </c>
    </row>
    <row r="14" spans="1:11">
      <c r="A14" s="8">
        <f>A13+1</f>
        <v>201</v>
      </c>
      <c r="B14" s="35"/>
      <c r="D14" s="15" t="s">
        <v>1759</v>
      </c>
      <c r="E14" s="345">
        <f>SUM(E15:E17)</f>
        <v>733288.75</v>
      </c>
      <c r="F14" s="345">
        <f>SUM(F15:F17)</f>
        <v>0</v>
      </c>
      <c r="G14" s="345">
        <f>SUM(G15:G17)</f>
        <v>0</v>
      </c>
      <c r="H14" s="345">
        <f>SUM(F14:G14)</f>
        <v>0</v>
      </c>
      <c r="I14" s="345">
        <f>SUM(I15:I17)</f>
        <v>0</v>
      </c>
      <c r="J14" s="343"/>
      <c r="K14" s="8">
        <f>A14</f>
        <v>201</v>
      </c>
    </row>
    <row r="15" spans="1:11">
      <c r="A15" s="8">
        <f>A14+1</f>
        <v>202</v>
      </c>
      <c r="B15" s="35">
        <v>450</v>
      </c>
      <c r="C15">
        <v>4500000</v>
      </c>
      <c r="D15" t="s">
        <v>1757</v>
      </c>
      <c r="E15" s="743">
        <v>733288.75</v>
      </c>
      <c r="F15" s="344"/>
      <c r="G15" s="344"/>
      <c r="H15" s="30">
        <f>SUM(F15:G15)</f>
        <v>0</v>
      </c>
      <c r="I15" s="344"/>
      <c r="J15" s="343" t="s">
        <v>202</v>
      </c>
      <c r="K15" s="8">
        <f>A15</f>
        <v>202</v>
      </c>
    </row>
    <row r="16" spans="1:11">
      <c r="A16" s="8">
        <f>A15+1</f>
        <v>203</v>
      </c>
      <c r="B16" s="51"/>
      <c r="C16" s="49"/>
      <c r="D16" s="49"/>
      <c r="E16" s="344"/>
      <c r="F16" s="344"/>
      <c r="G16" s="344"/>
      <c r="H16" s="30">
        <f>SUM(F16:G16)</f>
        <v>0</v>
      </c>
      <c r="I16" s="344"/>
      <c r="J16" s="343"/>
      <c r="K16" s="8">
        <f>A16</f>
        <v>203</v>
      </c>
    </row>
    <row r="17" spans="1:11">
      <c r="A17" s="8">
        <f>A16+1</f>
        <v>204</v>
      </c>
      <c r="B17" s="342" t="s">
        <v>695</v>
      </c>
      <c r="C17" s="49"/>
      <c r="D17" s="49"/>
      <c r="E17" s="344"/>
      <c r="F17" s="344"/>
      <c r="G17" s="344"/>
      <c r="H17" s="30">
        <f>SUM(F17:G17)</f>
        <v>0</v>
      </c>
      <c r="I17" s="344"/>
      <c r="J17" s="343"/>
      <c r="K17" s="8">
        <f>A17</f>
        <v>204</v>
      </c>
    </row>
    <row r="18" spans="1:11">
      <c r="A18" s="8"/>
      <c r="B18" s="52" t="s">
        <v>1760</v>
      </c>
      <c r="C18" s="219"/>
      <c r="D18" s="219"/>
      <c r="E18" s="219"/>
      <c r="F18" s="219"/>
      <c r="G18" s="219"/>
      <c r="H18" s="219"/>
      <c r="I18" s="219"/>
      <c r="J18" s="219"/>
      <c r="K18" s="8"/>
    </row>
    <row r="19" spans="1:11">
      <c r="A19" s="8">
        <v>300</v>
      </c>
      <c r="B19" s="35"/>
      <c r="D19" s="15" t="s">
        <v>1761</v>
      </c>
      <c r="E19" s="531">
        <v>7472766</v>
      </c>
      <c r="F19" s="345"/>
      <c r="G19" s="345"/>
      <c r="H19" s="345"/>
      <c r="I19" s="30"/>
      <c r="J19" s="343"/>
      <c r="K19" s="8">
        <f t="shared" ref="K19:K27" si="1">A19</f>
        <v>300</v>
      </c>
    </row>
    <row r="20" spans="1:11">
      <c r="A20" s="8">
        <f t="shared" ref="A20:A27" si="2">A19+1</f>
        <v>301</v>
      </c>
      <c r="B20" s="35"/>
      <c r="D20" s="15" t="s">
        <v>1762</v>
      </c>
      <c r="E20" s="566">
        <f>SUM(E21:E27)+1</f>
        <v>7472766.1899999995</v>
      </c>
      <c r="F20" s="345">
        <f>SUM(F21:F27)</f>
        <v>0</v>
      </c>
      <c r="G20" s="345">
        <f>SUM(G21:G27)</f>
        <v>0</v>
      </c>
      <c r="H20" s="345">
        <f t="shared" ref="H20:H27" si="3">SUM(F20:G20)</f>
        <v>0</v>
      </c>
      <c r="I20" s="345">
        <f>SUM(I21:I27)</f>
        <v>1151974</v>
      </c>
      <c r="J20" s="343"/>
      <c r="K20" s="8">
        <f t="shared" si="1"/>
        <v>301</v>
      </c>
    </row>
    <row r="21" spans="1:11">
      <c r="A21" s="8">
        <f t="shared" si="2"/>
        <v>302</v>
      </c>
      <c r="B21" s="35">
        <v>451</v>
      </c>
      <c r="C21">
        <v>4510000</v>
      </c>
      <c r="D21" t="s">
        <v>1760</v>
      </c>
      <c r="E21" s="743">
        <v>1455931.73</v>
      </c>
      <c r="F21" s="344"/>
      <c r="G21" s="344"/>
      <c r="H21" s="30">
        <f t="shared" si="3"/>
        <v>0</v>
      </c>
      <c r="I21" s="344"/>
      <c r="J21" s="343" t="s">
        <v>202</v>
      </c>
      <c r="K21" s="8">
        <f t="shared" si="1"/>
        <v>302</v>
      </c>
    </row>
    <row r="22" spans="1:11">
      <c r="A22" s="8">
        <f t="shared" si="2"/>
        <v>303</v>
      </c>
      <c r="B22" s="35">
        <v>451</v>
      </c>
      <c r="C22">
        <v>4510007</v>
      </c>
      <c r="D22" t="s">
        <v>1763</v>
      </c>
      <c r="E22" s="743">
        <v>1429250.66</v>
      </c>
      <c r="F22" s="344"/>
      <c r="G22" s="344"/>
      <c r="H22" s="30">
        <f t="shared" si="3"/>
        <v>0</v>
      </c>
      <c r="I22" s="344">
        <v>1151974</v>
      </c>
      <c r="J22" s="343" t="s">
        <v>202</v>
      </c>
      <c r="K22" s="8">
        <f t="shared" si="1"/>
        <v>303</v>
      </c>
    </row>
    <row r="23" spans="1:11">
      <c r="A23" s="8">
        <f t="shared" si="2"/>
        <v>304</v>
      </c>
      <c r="B23" s="35">
        <v>451</v>
      </c>
      <c r="C23">
        <v>4510040</v>
      </c>
      <c r="D23" t="s">
        <v>1764</v>
      </c>
      <c r="E23" s="743">
        <v>3034495.6</v>
      </c>
      <c r="F23" s="344"/>
      <c r="G23" s="344"/>
      <c r="H23" s="30">
        <f t="shared" si="3"/>
        <v>0</v>
      </c>
      <c r="I23" s="344"/>
      <c r="J23" s="343" t="s">
        <v>202</v>
      </c>
      <c r="K23" s="8">
        <f t="shared" si="1"/>
        <v>304</v>
      </c>
    </row>
    <row r="24" spans="1:11">
      <c r="A24" s="8">
        <f t="shared" si="2"/>
        <v>305</v>
      </c>
      <c r="B24" s="35">
        <v>451</v>
      </c>
      <c r="C24">
        <v>4510041</v>
      </c>
      <c r="D24" t="s">
        <v>1765</v>
      </c>
      <c r="E24" s="743">
        <v>966915.39</v>
      </c>
      <c r="F24" s="344"/>
      <c r="G24" s="344"/>
      <c r="H24" s="30">
        <f t="shared" si="3"/>
        <v>0</v>
      </c>
      <c r="I24" s="344"/>
      <c r="J24" s="343" t="s">
        <v>202</v>
      </c>
      <c r="K24" s="8">
        <f t="shared" si="1"/>
        <v>305</v>
      </c>
    </row>
    <row r="25" spans="1:11">
      <c r="A25" s="8">
        <f t="shared" si="2"/>
        <v>306</v>
      </c>
      <c r="B25" s="35">
        <v>451</v>
      </c>
      <c r="C25">
        <v>4510043</v>
      </c>
      <c r="D25" t="s">
        <v>1766</v>
      </c>
      <c r="E25" s="743">
        <v>582411.81000000006</v>
      </c>
      <c r="F25" s="344"/>
      <c r="G25" s="344"/>
      <c r="H25" s="30">
        <f t="shared" si="3"/>
        <v>0</v>
      </c>
      <c r="I25" s="344"/>
      <c r="J25" s="343" t="s">
        <v>202</v>
      </c>
      <c r="K25" s="8">
        <f t="shared" si="1"/>
        <v>306</v>
      </c>
    </row>
    <row r="26" spans="1:11">
      <c r="A26" s="8">
        <f t="shared" si="2"/>
        <v>307</v>
      </c>
      <c r="B26" s="51">
        <v>451</v>
      </c>
      <c r="C26" s="49">
        <v>4510005</v>
      </c>
      <c r="D26" s="49" t="s">
        <v>1767</v>
      </c>
      <c r="E26" s="344">
        <v>3760</v>
      </c>
      <c r="F26" s="344"/>
      <c r="G26" s="344"/>
      <c r="H26" s="30">
        <f t="shared" si="3"/>
        <v>0</v>
      </c>
      <c r="I26" s="344"/>
      <c r="J26" s="343"/>
      <c r="K26" s="8">
        <f t="shared" si="1"/>
        <v>307</v>
      </c>
    </row>
    <row r="27" spans="1:11">
      <c r="A27" s="8">
        <f t="shared" si="2"/>
        <v>308</v>
      </c>
      <c r="B27" s="342" t="s">
        <v>695</v>
      </c>
      <c r="C27" s="49"/>
      <c r="D27" s="49"/>
      <c r="E27" s="344"/>
      <c r="F27" s="344"/>
      <c r="G27" s="344"/>
      <c r="H27" s="30">
        <f t="shared" si="3"/>
        <v>0</v>
      </c>
      <c r="I27" s="344"/>
      <c r="J27" s="343"/>
      <c r="K27" s="8">
        <f t="shared" si="1"/>
        <v>308</v>
      </c>
    </row>
    <row r="28" spans="1:11">
      <c r="A28" s="8"/>
      <c r="B28" s="52" t="s">
        <v>1768</v>
      </c>
      <c r="C28" s="219"/>
      <c r="D28" s="219"/>
      <c r="E28" s="219"/>
      <c r="F28" s="219"/>
      <c r="G28" s="219"/>
      <c r="H28" s="219"/>
      <c r="I28" s="219"/>
      <c r="J28" s="219"/>
      <c r="K28" s="8"/>
    </row>
    <row r="29" spans="1:11">
      <c r="A29" s="8">
        <v>400</v>
      </c>
      <c r="B29" s="35"/>
      <c r="D29" s="15" t="s">
        <v>1769</v>
      </c>
      <c r="E29" s="531">
        <v>4720958</v>
      </c>
      <c r="F29" s="345"/>
      <c r="G29" s="345"/>
      <c r="H29" s="345"/>
      <c r="I29" s="30"/>
      <c r="J29" s="343"/>
      <c r="K29" s="8">
        <f>A29</f>
        <v>400</v>
      </c>
    </row>
    <row r="30" spans="1:11">
      <c r="A30" s="8">
        <f>A29+1</f>
        <v>401</v>
      </c>
      <c r="B30" s="35"/>
      <c r="D30" s="15" t="s">
        <v>1770</v>
      </c>
      <c r="E30" s="345">
        <f>SUM(E31:E33)</f>
        <v>4720957.51</v>
      </c>
      <c r="F30" s="345">
        <f>SUM(F31:F33)</f>
        <v>0</v>
      </c>
      <c r="G30" s="345">
        <f>SUM(G31:G33)</f>
        <v>0</v>
      </c>
      <c r="H30" s="345">
        <f>SUM(F30:G30)</f>
        <v>0</v>
      </c>
      <c r="I30" s="345">
        <f>SUM(I31:I33)</f>
        <v>0</v>
      </c>
      <c r="J30" s="343"/>
      <c r="K30" s="8">
        <f>A30</f>
        <v>401</v>
      </c>
    </row>
    <row r="31" spans="1:11">
      <c r="A31" s="8">
        <f>A30+1</f>
        <v>402</v>
      </c>
      <c r="B31" s="35">
        <v>453</v>
      </c>
      <c r="C31">
        <v>4530000</v>
      </c>
      <c r="D31" t="s">
        <v>1768</v>
      </c>
      <c r="E31" s="743">
        <v>4720957.51</v>
      </c>
      <c r="F31" s="344"/>
      <c r="G31" s="344"/>
      <c r="H31" s="30">
        <f>SUM(F31:G31)</f>
        <v>0</v>
      </c>
      <c r="I31" s="344"/>
      <c r="J31" s="343" t="s">
        <v>202</v>
      </c>
      <c r="K31" s="8">
        <f>A31</f>
        <v>402</v>
      </c>
    </row>
    <row r="32" spans="1:11">
      <c r="A32" s="8">
        <f>A31+1</f>
        <v>403</v>
      </c>
      <c r="B32" s="51"/>
      <c r="C32" s="49"/>
      <c r="D32" s="49"/>
      <c r="E32" s="344"/>
      <c r="F32" s="344"/>
      <c r="G32" s="344"/>
      <c r="H32" s="30">
        <f>SUM(F32:G32)</f>
        <v>0</v>
      </c>
      <c r="I32" s="344"/>
      <c r="J32" s="343"/>
      <c r="K32" s="8">
        <f>A32</f>
        <v>403</v>
      </c>
    </row>
    <row r="33" spans="1:11">
      <c r="A33" s="8">
        <f>A32+1</f>
        <v>404</v>
      </c>
      <c r="B33" s="342" t="s">
        <v>1771</v>
      </c>
      <c r="C33" s="49"/>
      <c r="D33" s="49"/>
      <c r="E33" s="344"/>
      <c r="F33" s="344"/>
      <c r="G33" s="344"/>
      <c r="H33" s="30">
        <f>SUM(F33:G33)</f>
        <v>0</v>
      </c>
      <c r="I33" s="344"/>
      <c r="J33" s="343"/>
      <c r="K33" s="8">
        <f>A33</f>
        <v>404</v>
      </c>
    </row>
    <row r="34" spans="1:11">
      <c r="A34" s="8"/>
      <c r="B34" s="52" t="s">
        <v>1609</v>
      </c>
      <c r="C34" s="219"/>
      <c r="D34" s="219"/>
      <c r="E34" s="219"/>
      <c r="F34" s="219"/>
      <c r="G34" s="219"/>
      <c r="H34" s="219"/>
      <c r="I34" s="219"/>
      <c r="J34" s="219"/>
      <c r="K34" s="8"/>
    </row>
    <row r="35" spans="1:11">
      <c r="A35" s="8">
        <v>500</v>
      </c>
      <c r="B35" s="35"/>
      <c r="D35" s="15" t="s">
        <v>1772</v>
      </c>
      <c r="E35" s="531">
        <v>98163916</v>
      </c>
      <c r="F35" s="345"/>
      <c r="G35" s="345"/>
      <c r="H35" s="345"/>
      <c r="I35" s="30"/>
      <c r="J35" s="343"/>
      <c r="K35" s="8">
        <f t="shared" ref="K35:K41" si="4">A35</f>
        <v>500</v>
      </c>
    </row>
    <row r="36" spans="1:11">
      <c r="A36" s="8">
        <f t="shared" ref="A36:A41" si="5">A35+1</f>
        <v>501</v>
      </c>
      <c r="B36" s="35"/>
      <c r="D36" s="15" t="s">
        <v>1773</v>
      </c>
      <c r="E36" s="345">
        <f>SUM(E37:E41)</f>
        <v>98163916.319999993</v>
      </c>
      <c r="F36" s="345">
        <f>SUM(F37:F41)</f>
        <v>3030975</v>
      </c>
      <c r="G36" s="345">
        <f>SUM(G37:G41)</f>
        <v>3392103</v>
      </c>
      <c r="H36" s="345">
        <f t="shared" ref="H36:H41" si="6">SUM(F36:G36)</f>
        <v>6423078</v>
      </c>
      <c r="I36" s="345">
        <f>SUM(I37:I41)</f>
        <v>41615179</v>
      </c>
      <c r="J36" s="343"/>
      <c r="K36" s="8">
        <f t="shared" si="4"/>
        <v>501</v>
      </c>
    </row>
    <row r="37" spans="1:11">
      <c r="A37" s="8">
        <f t="shared" si="5"/>
        <v>502</v>
      </c>
      <c r="B37" s="35">
        <v>454</v>
      </c>
      <c r="C37">
        <v>4540010</v>
      </c>
      <c r="D37" s="17" t="s">
        <v>1774</v>
      </c>
      <c r="E37" s="743">
        <v>44453576.829999998</v>
      </c>
      <c r="F37" s="344">
        <v>3030975</v>
      </c>
      <c r="G37" s="344">
        <v>3392103</v>
      </c>
      <c r="H37" s="30">
        <f t="shared" si="6"/>
        <v>6423078</v>
      </c>
      <c r="I37" s="344"/>
      <c r="J37" s="343" t="s">
        <v>1775</v>
      </c>
      <c r="K37" s="8">
        <f t="shared" si="4"/>
        <v>502</v>
      </c>
    </row>
    <row r="38" spans="1:11">
      <c r="A38" s="8">
        <f t="shared" si="5"/>
        <v>503</v>
      </c>
      <c r="B38" s="35">
        <v>454</v>
      </c>
      <c r="C38">
        <v>4540012</v>
      </c>
      <c r="D38" t="s">
        <v>1776</v>
      </c>
      <c r="E38" s="743">
        <v>48828455.990000002</v>
      </c>
      <c r="F38" s="344"/>
      <c r="G38" s="344"/>
      <c r="H38" s="30">
        <f t="shared" si="6"/>
        <v>0</v>
      </c>
      <c r="I38" s="344">
        <v>38024431</v>
      </c>
      <c r="J38" s="343" t="s">
        <v>202</v>
      </c>
      <c r="K38" s="8">
        <f t="shared" si="4"/>
        <v>503</v>
      </c>
    </row>
    <row r="39" spans="1:11">
      <c r="A39" s="8">
        <f t="shared" si="5"/>
        <v>504</v>
      </c>
      <c r="B39" s="35">
        <v>454</v>
      </c>
      <c r="C39">
        <v>4540013</v>
      </c>
      <c r="D39" t="s">
        <v>1777</v>
      </c>
      <c r="E39" s="743">
        <v>4881883.5</v>
      </c>
      <c r="F39" s="344"/>
      <c r="G39" s="344"/>
      <c r="H39" s="30">
        <f t="shared" si="6"/>
        <v>0</v>
      </c>
      <c r="I39" s="344">
        <v>3590748</v>
      </c>
      <c r="J39" s="343" t="s">
        <v>202</v>
      </c>
      <c r="K39" s="8">
        <f t="shared" si="4"/>
        <v>504</v>
      </c>
    </row>
    <row r="40" spans="1:11">
      <c r="A40" s="8">
        <f t="shared" si="5"/>
        <v>505</v>
      </c>
      <c r="B40" s="51"/>
      <c r="C40" s="49"/>
      <c r="D40" s="49"/>
      <c r="E40" s="344"/>
      <c r="F40" s="344"/>
      <c r="G40" s="344"/>
      <c r="H40" s="30">
        <f t="shared" si="6"/>
        <v>0</v>
      </c>
      <c r="I40" s="344"/>
      <c r="J40" s="343"/>
      <c r="K40" s="8">
        <f t="shared" si="4"/>
        <v>505</v>
      </c>
    </row>
    <row r="41" spans="1:11">
      <c r="A41" s="8">
        <f t="shared" si="5"/>
        <v>506</v>
      </c>
      <c r="B41" s="342" t="s">
        <v>1771</v>
      </c>
      <c r="C41" s="49"/>
      <c r="D41" s="49"/>
      <c r="E41" s="344"/>
      <c r="F41" s="344"/>
      <c r="G41" s="344"/>
      <c r="H41" s="30">
        <f t="shared" si="6"/>
        <v>0</v>
      </c>
      <c r="I41" s="344"/>
      <c r="J41" s="343"/>
      <c r="K41" s="8">
        <f t="shared" si="4"/>
        <v>506</v>
      </c>
    </row>
    <row r="42" spans="1:11">
      <c r="A42" s="8"/>
      <c r="B42" s="52" t="s">
        <v>1778</v>
      </c>
      <c r="C42" s="219"/>
      <c r="D42" s="219"/>
      <c r="E42" s="219"/>
      <c r="F42" s="219"/>
      <c r="G42" s="219"/>
      <c r="H42" s="219"/>
      <c r="I42" s="219"/>
      <c r="J42" s="219"/>
      <c r="K42" s="8"/>
    </row>
    <row r="43" spans="1:11">
      <c r="A43" s="8">
        <v>600</v>
      </c>
      <c r="B43" s="35"/>
      <c r="D43" s="15" t="s">
        <v>1779</v>
      </c>
      <c r="E43" s="531">
        <v>-194265066</v>
      </c>
      <c r="F43" s="345"/>
      <c r="G43" s="345"/>
      <c r="H43" s="345"/>
      <c r="I43" s="30"/>
      <c r="J43" s="17" t="s">
        <v>110</v>
      </c>
      <c r="K43" s="8">
        <f t="shared" ref="K43:K63" si="7">A43</f>
        <v>600</v>
      </c>
    </row>
    <row r="44" spans="1:11">
      <c r="A44" s="8">
        <f t="shared" ref="A44:A63" si="8">A43+1</f>
        <v>601</v>
      </c>
      <c r="B44" s="35"/>
      <c r="D44" s="15" t="s">
        <v>1780</v>
      </c>
      <c r="E44" s="345">
        <f>SUM(E45:E63)</f>
        <v>-194265066.10999998</v>
      </c>
      <c r="F44" s="345">
        <f>SUM(F45:F63)</f>
        <v>3526851.1055999999</v>
      </c>
      <c r="G44" s="345">
        <f>SUM(G45:G63)</f>
        <v>565333.89439999999</v>
      </c>
      <c r="H44" s="345">
        <f t="shared" ref="H44:H61" si="9">SUM(F44:G44)</f>
        <v>4092185</v>
      </c>
      <c r="I44" s="345">
        <f>SUM(I45:I63)</f>
        <v>9389188</v>
      </c>
      <c r="J44" s="343"/>
      <c r="K44" s="8">
        <f t="shared" si="7"/>
        <v>601</v>
      </c>
    </row>
    <row r="45" spans="1:11">
      <c r="A45" s="8">
        <f t="shared" si="8"/>
        <v>602</v>
      </c>
      <c r="B45" s="35">
        <v>456</v>
      </c>
      <c r="C45">
        <v>4560099</v>
      </c>
      <c r="D45" t="s">
        <v>1781</v>
      </c>
      <c r="E45" s="743">
        <v>63723128.899999999</v>
      </c>
      <c r="F45" s="344"/>
      <c r="G45" s="344"/>
      <c r="H45" s="30">
        <f t="shared" si="9"/>
        <v>0</v>
      </c>
      <c r="I45" s="344"/>
      <c r="J45" s="343" t="s">
        <v>202</v>
      </c>
      <c r="K45" s="8">
        <f t="shared" si="7"/>
        <v>602</v>
      </c>
    </row>
    <row r="46" spans="1:11">
      <c r="A46" s="8">
        <f t="shared" si="8"/>
        <v>603</v>
      </c>
      <c r="B46" s="35">
        <v>456</v>
      </c>
      <c r="D46" t="s">
        <v>1782</v>
      </c>
      <c r="E46" s="743">
        <v>650161</v>
      </c>
      <c r="F46" s="344"/>
      <c r="G46" s="344"/>
      <c r="H46" s="30">
        <f t="shared" si="9"/>
        <v>0</v>
      </c>
      <c r="I46" s="344"/>
      <c r="J46" s="343" t="s">
        <v>202</v>
      </c>
      <c r="K46" s="8">
        <f t="shared" si="7"/>
        <v>603</v>
      </c>
    </row>
    <row r="47" spans="1:11">
      <c r="A47" s="8">
        <f t="shared" si="8"/>
        <v>604</v>
      </c>
      <c r="B47" s="35">
        <v>456</v>
      </c>
      <c r="C47">
        <v>4560050</v>
      </c>
      <c r="D47" t="s">
        <v>1783</v>
      </c>
      <c r="E47" s="743">
        <v>523630.04</v>
      </c>
      <c r="F47" s="344"/>
      <c r="G47" s="344"/>
      <c r="H47" s="30">
        <f t="shared" si="9"/>
        <v>0</v>
      </c>
      <c r="I47" s="344"/>
      <c r="J47" s="343" t="s">
        <v>202</v>
      </c>
      <c r="K47" s="8">
        <f t="shared" si="7"/>
        <v>604</v>
      </c>
    </row>
    <row r="48" spans="1:11">
      <c r="A48" s="8">
        <f t="shared" si="8"/>
        <v>605</v>
      </c>
      <c r="B48" s="35">
        <v>456</v>
      </c>
      <c r="C48">
        <v>4560070</v>
      </c>
      <c r="D48" t="s">
        <v>1784</v>
      </c>
      <c r="E48" s="743">
        <v>39831.879999999997</v>
      </c>
      <c r="F48" s="344"/>
      <c r="G48" s="344"/>
      <c r="H48" s="30">
        <f t="shared" si="9"/>
        <v>0</v>
      </c>
      <c r="I48" s="344"/>
      <c r="J48" s="343" t="s">
        <v>202</v>
      </c>
      <c r="K48" s="8">
        <f t="shared" si="7"/>
        <v>605</v>
      </c>
    </row>
    <row r="49" spans="1:11">
      <c r="A49" s="8">
        <f t="shared" si="8"/>
        <v>606</v>
      </c>
      <c r="B49" s="35">
        <v>456</v>
      </c>
      <c r="C49">
        <v>4560014</v>
      </c>
      <c r="D49" t="s">
        <v>1785</v>
      </c>
      <c r="E49" s="743">
        <v>71011.539999999994</v>
      </c>
      <c r="F49" s="344"/>
      <c r="G49" s="344"/>
      <c r="H49" s="30">
        <f t="shared" si="9"/>
        <v>0</v>
      </c>
      <c r="I49" s="344"/>
      <c r="J49" s="343" t="s">
        <v>202</v>
      </c>
      <c r="K49" s="8">
        <f t="shared" si="7"/>
        <v>606</v>
      </c>
    </row>
    <row r="50" spans="1:11">
      <c r="A50" s="8">
        <f t="shared" si="8"/>
        <v>607</v>
      </c>
      <c r="B50" s="35">
        <v>456</v>
      </c>
      <c r="C50">
        <v>4560022</v>
      </c>
      <c r="D50" t="s">
        <v>1786</v>
      </c>
      <c r="E50" s="743">
        <v>2382664.33</v>
      </c>
      <c r="F50" s="344"/>
      <c r="G50" s="344"/>
      <c r="H50" s="30">
        <f t="shared" si="9"/>
        <v>0</v>
      </c>
      <c r="I50" s="344"/>
      <c r="J50" s="343" t="s">
        <v>202</v>
      </c>
      <c r="K50" s="8">
        <f t="shared" si="7"/>
        <v>607</v>
      </c>
    </row>
    <row r="51" spans="1:11">
      <c r="A51" s="8">
        <f t="shared" si="8"/>
        <v>608</v>
      </c>
      <c r="B51" s="35">
        <v>456</v>
      </c>
      <c r="C51">
        <v>4560093</v>
      </c>
      <c r="D51" t="s">
        <v>1787</v>
      </c>
      <c r="E51" s="743">
        <v>5328.45</v>
      </c>
      <c r="F51" s="344"/>
      <c r="G51" s="344"/>
      <c r="H51" s="30">
        <f t="shared" si="9"/>
        <v>0</v>
      </c>
      <c r="I51" s="344"/>
      <c r="J51" s="343" t="s">
        <v>202</v>
      </c>
      <c r="K51" s="8">
        <f t="shared" si="7"/>
        <v>608</v>
      </c>
    </row>
    <row r="52" spans="1:11">
      <c r="A52" s="8">
        <f t="shared" si="8"/>
        <v>609</v>
      </c>
      <c r="B52" s="35">
        <v>456</v>
      </c>
      <c r="C52">
        <v>4560091</v>
      </c>
      <c r="D52" t="s">
        <v>1788</v>
      </c>
      <c r="E52" s="743">
        <v>32208380.399999999</v>
      </c>
      <c r="F52" s="344"/>
      <c r="G52" s="344"/>
      <c r="H52" s="30">
        <f t="shared" si="9"/>
        <v>0</v>
      </c>
      <c r="I52" s="344"/>
      <c r="J52" s="343" t="s">
        <v>202</v>
      </c>
      <c r="K52" s="8">
        <f t="shared" si="7"/>
        <v>609</v>
      </c>
    </row>
    <row r="53" spans="1:11">
      <c r="A53" s="8">
        <f t="shared" si="8"/>
        <v>610</v>
      </c>
      <c r="B53" s="35">
        <v>456</v>
      </c>
      <c r="C53">
        <v>4560098</v>
      </c>
      <c r="D53" t="s">
        <v>1789</v>
      </c>
      <c r="E53" s="743">
        <v>52107814.909999996</v>
      </c>
      <c r="F53" s="344"/>
      <c r="G53" s="344"/>
      <c r="H53" s="30">
        <f t="shared" si="9"/>
        <v>0</v>
      </c>
      <c r="I53" s="344">
        <v>9389188</v>
      </c>
      <c r="J53" s="343" t="s">
        <v>202</v>
      </c>
      <c r="K53" s="8">
        <f t="shared" si="7"/>
        <v>610</v>
      </c>
    </row>
    <row r="54" spans="1:11">
      <c r="A54" s="8">
        <f t="shared" si="8"/>
        <v>611</v>
      </c>
      <c r="B54" s="35">
        <v>456</v>
      </c>
      <c r="C54">
        <v>4560000</v>
      </c>
      <c r="D54" t="s">
        <v>1790</v>
      </c>
      <c r="E54" s="743">
        <v>70574259</v>
      </c>
      <c r="F54" s="344"/>
      <c r="G54" s="344"/>
      <c r="H54" s="30">
        <f t="shared" si="9"/>
        <v>0</v>
      </c>
      <c r="I54" s="344"/>
      <c r="J54" s="343" t="s">
        <v>202</v>
      </c>
      <c r="K54" s="8">
        <f t="shared" si="7"/>
        <v>611</v>
      </c>
    </row>
    <row r="55" spans="1:11">
      <c r="A55" s="8">
        <f t="shared" si="8"/>
        <v>612</v>
      </c>
      <c r="B55" s="35">
        <v>456</v>
      </c>
      <c r="C55">
        <v>4560001</v>
      </c>
      <c r="D55" t="s">
        <v>1791</v>
      </c>
      <c r="E55" s="743">
        <v>39784409.969999999</v>
      </c>
      <c r="F55" s="344">
        <v>739082.10560000001</v>
      </c>
      <c r="G55" s="344">
        <v>565333.89439999999</v>
      </c>
      <c r="H55" s="30">
        <f t="shared" si="9"/>
        <v>1304416</v>
      </c>
      <c r="I55" s="344"/>
      <c r="J55" s="343" t="s">
        <v>1792</v>
      </c>
      <c r="K55" s="8">
        <f t="shared" si="7"/>
        <v>612</v>
      </c>
    </row>
    <row r="56" spans="1:11">
      <c r="A56" s="8">
        <f t="shared" si="8"/>
        <v>613</v>
      </c>
      <c r="B56" s="35">
        <v>456</v>
      </c>
      <c r="C56">
        <v>4560002</v>
      </c>
      <c r="D56" t="s">
        <v>1793</v>
      </c>
      <c r="E56" s="344">
        <v>0</v>
      </c>
      <c r="F56" s="344"/>
      <c r="G56" s="344"/>
      <c r="H56" s="30">
        <f t="shared" si="9"/>
        <v>0</v>
      </c>
      <c r="I56" s="344"/>
      <c r="J56" s="343" t="s">
        <v>202</v>
      </c>
      <c r="K56" s="8">
        <f t="shared" si="7"/>
        <v>613</v>
      </c>
    </row>
    <row r="57" spans="1:11">
      <c r="A57" s="8">
        <f t="shared" si="8"/>
        <v>614</v>
      </c>
      <c r="B57" s="35">
        <v>456</v>
      </c>
      <c r="C57">
        <v>4560003</v>
      </c>
      <c r="D57" t="s">
        <v>1794</v>
      </c>
      <c r="E57" s="743">
        <v>13757317.57</v>
      </c>
      <c r="F57" s="344"/>
      <c r="G57" s="344"/>
      <c r="H57" s="30">
        <f t="shared" si="9"/>
        <v>0</v>
      </c>
      <c r="I57" s="344"/>
      <c r="J57" s="343" t="s">
        <v>202</v>
      </c>
      <c r="K57" s="8">
        <f t="shared" si="7"/>
        <v>614</v>
      </c>
    </row>
    <row r="58" spans="1:11">
      <c r="A58" s="8">
        <f t="shared" si="8"/>
        <v>615</v>
      </c>
      <c r="B58" s="35">
        <v>456</v>
      </c>
      <c r="C58">
        <v>4560095</v>
      </c>
      <c r="D58" t="s">
        <v>1795</v>
      </c>
      <c r="E58" s="743">
        <v>-416607371.00999999</v>
      </c>
      <c r="F58" s="344"/>
      <c r="G58" s="344"/>
      <c r="H58" s="30">
        <f t="shared" si="9"/>
        <v>0</v>
      </c>
      <c r="I58" s="344"/>
      <c r="J58" s="343" t="s">
        <v>202</v>
      </c>
      <c r="K58" s="8">
        <f t="shared" si="7"/>
        <v>615</v>
      </c>
    </row>
    <row r="59" spans="1:11">
      <c r="A59" s="8">
        <f t="shared" si="8"/>
        <v>616</v>
      </c>
      <c r="B59" s="35">
        <v>456</v>
      </c>
      <c r="C59">
        <v>4560005</v>
      </c>
      <c r="D59" t="s">
        <v>1796</v>
      </c>
      <c r="E59" s="743">
        <v>-56360401.619999997</v>
      </c>
      <c r="F59" s="344"/>
      <c r="G59" s="344"/>
      <c r="H59" s="30">
        <f t="shared" si="9"/>
        <v>0</v>
      </c>
      <c r="I59" s="344"/>
      <c r="J59" s="343" t="s">
        <v>202</v>
      </c>
      <c r="K59" s="8">
        <f t="shared" si="7"/>
        <v>616</v>
      </c>
    </row>
    <row r="60" spans="1:11">
      <c r="A60" s="8">
        <f t="shared" si="8"/>
        <v>617</v>
      </c>
      <c r="B60" s="35">
        <v>456</v>
      </c>
      <c r="C60">
        <v>9414000</v>
      </c>
      <c r="D60" t="s">
        <v>1797</v>
      </c>
      <c r="E60" s="743">
        <v>0</v>
      </c>
      <c r="F60" s="344"/>
      <c r="G60" s="344"/>
      <c r="H60" s="30">
        <f t="shared" si="9"/>
        <v>0</v>
      </c>
      <c r="I60" s="344"/>
      <c r="J60" s="343" t="s">
        <v>202</v>
      </c>
      <c r="K60" s="8">
        <f t="shared" si="7"/>
        <v>617</v>
      </c>
    </row>
    <row r="61" spans="1:11">
      <c r="A61" s="8">
        <f t="shared" si="8"/>
        <v>618</v>
      </c>
      <c r="B61" s="35">
        <v>456.1</v>
      </c>
      <c r="C61">
        <v>4561000</v>
      </c>
      <c r="D61" t="s">
        <v>1798</v>
      </c>
      <c r="E61" s="743">
        <v>2874768.53</v>
      </c>
      <c r="F61" s="344">
        <v>2787769</v>
      </c>
      <c r="G61" s="344"/>
      <c r="H61" s="30">
        <f t="shared" si="9"/>
        <v>2787769</v>
      </c>
      <c r="I61" s="344"/>
      <c r="J61" s="343" t="s">
        <v>1799</v>
      </c>
      <c r="K61" s="8">
        <f t="shared" si="7"/>
        <v>618</v>
      </c>
    </row>
    <row r="62" spans="1:11">
      <c r="A62" s="8">
        <f t="shared" si="8"/>
        <v>619</v>
      </c>
      <c r="B62" s="51"/>
      <c r="C62" s="49"/>
      <c r="D62" s="49"/>
      <c r="E62" s="344"/>
      <c r="F62" s="344"/>
      <c r="G62" s="344"/>
      <c r="H62" s="30"/>
      <c r="I62" s="344"/>
      <c r="J62" s="343"/>
      <c r="K62" s="8">
        <f t="shared" si="7"/>
        <v>619</v>
      </c>
    </row>
    <row r="63" spans="1:11">
      <c r="A63" s="8">
        <f t="shared" si="8"/>
        <v>620</v>
      </c>
      <c r="B63" s="342" t="s">
        <v>1771</v>
      </c>
      <c r="C63" s="49"/>
      <c r="D63" s="49"/>
      <c r="E63" s="344"/>
      <c r="F63" s="344"/>
      <c r="G63" s="344"/>
      <c r="H63" s="30"/>
      <c r="I63" s="344"/>
      <c r="J63" s="343"/>
      <c r="K63" s="8">
        <f t="shared" si="7"/>
        <v>620</v>
      </c>
    </row>
    <row r="65" spans="1:11">
      <c r="A65" s="8"/>
      <c r="B65" s="16" t="s">
        <v>304</v>
      </c>
      <c r="E65" s="343"/>
      <c r="K65" s="8"/>
    </row>
    <row r="66" spans="1:11">
      <c r="A66" s="8"/>
      <c r="B66" t="s">
        <v>1800</v>
      </c>
      <c r="K66" s="8"/>
    </row>
    <row r="67" spans="1:11">
      <c r="A67" s="8"/>
      <c r="B67" t="s">
        <v>1801</v>
      </c>
      <c r="K67" s="8"/>
    </row>
    <row r="68" spans="1:11">
      <c r="B68" t="s">
        <v>1802</v>
      </c>
    </row>
    <row r="69" spans="1:11">
      <c r="B69" t="s">
        <v>1803</v>
      </c>
    </row>
    <row r="70" spans="1:11">
      <c r="B70" t="s">
        <v>1804</v>
      </c>
    </row>
  </sheetData>
  <printOptions horizontalCentered="1"/>
  <pageMargins left="1" right="1" top="1" bottom="1" header="0.5" footer="0.5"/>
  <pageSetup scale="5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50"/>
    <pageSetUpPr fitToPage="1"/>
  </sheetPr>
  <dimension ref="A1:G43"/>
  <sheetViews>
    <sheetView tabSelected="1" view="pageBreakPreview" zoomScaleSheetLayoutView="100" workbookViewId="0">
      <selection activeCell="E21" sqref="E21"/>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s>
  <sheetData>
    <row r="1" spans="1:7">
      <c r="B1" s="12" t="s">
        <v>56</v>
      </c>
      <c r="C1" s="15"/>
      <c r="F1" s="15" t="str">
        <f>CONCATENATE("Prior Year: ",'1-BaseTRR'!$G$2)</f>
        <v>Prior Year: 2020</v>
      </c>
    </row>
    <row r="2" spans="1:7">
      <c r="B2" s="113" t="s">
        <v>130</v>
      </c>
      <c r="C2" s="15"/>
      <c r="D2" s="15"/>
      <c r="E2" s="15"/>
      <c r="F2" s="15"/>
    </row>
    <row r="3" spans="1:7">
      <c r="B3" s="200"/>
    </row>
    <row r="4" spans="1:7">
      <c r="A4" s="13"/>
      <c r="B4" s="350" t="s">
        <v>1805</v>
      </c>
      <c r="C4" s="346"/>
      <c r="D4" s="346"/>
      <c r="E4" s="346"/>
      <c r="F4" s="346"/>
      <c r="G4" s="13"/>
    </row>
    <row r="5" spans="1:7">
      <c r="A5" s="13" t="s">
        <v>99</v>
      </c>
      <c r="B5" s="13" t="s">
        <v>6</v>
      </c>
      <c r="C5" s="13" t="s">
        <v>133</v>
      </c>
      <c r="D5" s="13" t="s">
        <v>134</v>
      </c>
      <c r="E5" s="13"/>
      <c r="F5" s="13"/>
      <c r="G5" s="13" t="str">
        <f>A5</f>
        <v>Line</v>
      </c>
    </row>
    <row r="6" spans="1:7">
      <c r="A6" s="8">
        <v>100</v>
      </c>
      <c r="B6" t="s">
        <v>1806</v>
      </c>
      <c r="C6" s="22">
        <f>'20-RevenueCredits'!I10</f>
        <v>52156341</v>
      </c>
      <c r="D6" s="6" t="s">
        <v>1807</v>
      </c>
      <c r="G6" s="8">
        <f>A6</f>
        <v>100</v>
      </c>
    </row>
    <row r="7" spans="1:7">
      <c r="A7" s="8"/>
      <c r="C7" s="30"/>
      <c r="G7" s="8"/>
    </row>
    <row r="8" spans="1:7">
      <c r="A8" s="8">
        <f>A6+1</f>
        <v>101</v>
      </c>
      <c r="B8" t="s">
        <v>1808</v>
      </c>
      <c r="C8" s="46">
        <v>15095030.91</v>
      </c>
      <c r="D8" s="599" t="s">
        <v>1809</v>
      </c>
      <c r="E8" s="599"/>
      <c r="F8" s="599"/>
      <c r="G8" s="8">
        <f>A8</f>
        <v>101</v>
      </c>
    </row>
    <row r="9" spans="1:7">
      <c r="A9" s="8">
        <f>A8+1</f>
        <v>102</v>
      </c>
      <c r="B9" t="s">
        <v>1810</v>
      </c>
      <c r="C9" s="793">
        <v>563049.31846253609</v>
      </c>
      <c r="D9" s="599" t="s">
        <v>1811</v>
      </c>
      <c r="E9" s="599"/>
      <c r="F9" s="599"/>
      <c r="G9" s="8">
        <f>A9</f>
        <v>102</v>
      </c>
    </row>
    <row r="10" spans="1:7">
      <c r="A10" s="8">
        <f>A9+1</f>
        <v>103</v>
      </c>
      <c r="B10" s="12" t="s">
        <v>1812</v>
      </c>
      <c r="C10" s="24">
        <f>C8+C9</f>
        <v>15658080.228462536</v>
      </c>
      <c r="D10" t="str">
        <f>"Line "&amp;A8&amp;" + Line "&amp;A9&amp;""</f>
        <v>Line 101 + Line 102</v>
      </c>
      <c r="G10" s="8">
        <f>A10</f>
        <v>103</v>
      </c>
    </row>
    <row r="11" spans="1:7">
      <c r="A11" s="8"/>
      <c r="C11" s="108"/>
      <c r="G11" s="8"/>
    </row>
    <row r="12" spans="1:7">
      <c r="A12" s="8"/>
      <c r="B12" s="350" t="s">
        <v>1813</v>
      </c>
      <c r="C12" s="346"/>
      <c r="D12" s="346"/>
      <c r="E12" s="346"/>
      <c r="F12" s="346"/>
      <c r="G12" s="13"/>
    </row>
    <row r="13" spans="1:7">
      <c r="A13" s="8"/>
      <c r="B13" s="349"/>
      <c r="C13" s="13" t="s">
        <v>413</v>
      </c>
      <c r="D13" s="13" t="s">
        <v>414</v>
      </c>
      <c r="E13" s="13" t="s">
        <v>415</v>
      </c>
      <c r="F13" s="13" t="s">
        <v>416</v>
      </c>
      <c r="G13" s="13"/>
    </row>
    <row r="14" spans="1:7">
      <c r="A14" s="8"/>
      <c r="B14" s="349"/>
      <c r="C14" s="35" t="s">
        <v>110</v>
      </c>
      <c r="D14" s="35" t="s">
        <v>202</v>
      </c>
      <c r="E14" s="35" t="s">
        <v>1449</v>
      </c>
      <c r="F14" s="35" t="s">
        <v>249</v>
      </c>
      <c r="G14" s="13"/>
    </row>
    <row r="15" spans="1:7">
      <c r="A15" s="8"/>
      <c r="B15" s="349"/>
      <c r="C15" s="13"/>
      <c r="D15" s="13"/>
      <c r="E15" s="13"/>
      <c r="F15" s="8" t="s">
        <v>1814</v>
      </c>
      <c r="G15" s="13"/>
    </row>
    <row r="16" spans="1:7">
      <c r="A16" s="13" t="s">
        <v>99</v>
      </c>
      <c r="B16" s="13" t="s">
        <v>1815</v>
      </c>
      <c r="C16" s="13" t="s">
        <v>464</v>
      </c>
      <c r="D16" s="13" t="s">
        <v>1470</v>
      </c>
      <c r="E16" s="13" t="s">
        <v>1816</v>
      </c>
      <c r="F16" s="13" t="s">
        <v>1816</v>
      </c>
      <c r="G16" s="13" t="s">
        <v>99</v>
      </c>
    </row>
    <row r="17" spans="1:7">
      <c r="A17" s="8">
        <v>200</v>
      </c>
      <c r="B17" s="14" t="s">
        <v>509</v>
      </c>
      <c r="C17" s="590">
        <f>SUM(C18:C22)</f>
        <v>52156341.380000003</v>
      </c>
      <c r="D17" s="590">
        <f>SUM(D18:D22)</f>
        <v>15658080.228462536</v>
      </c>
      <c r="E17" s="590">
        <f>SUM(E18:E22)</f>
        <v>36498261.151537463</v>
      </c>
      <c r="F17" s="590">
        <f>SUM(F18:F22)</f>
        <v>36498261.151537463</v>
      </c>
      <c r="G17" s="8">
        <f t="shared" ref="G17:G23" si="0">A17</f>
        <v>200</v>
      </c>
    </row>
    <row r="18" spans="1:7">
      <c r="A18" s="8">
        <f>A17+1</f>
        <v>201</v>
      </c>
      <c r="B18" t="s">
        <v>1817</v>
      </c>
      <c r="C18" s="46">
        <v>9416457.6799999978</v>
      </c>
      <c r="D18" s="46">
        <v>1512035.4158680351</v>
      </c>
      <c r="E18" s="29">
        <f>C18-D18</f>
        <v>7904422.2641319633</v>
      </c>
      <c r="F18" s="29">
        <f>IF(E18&gt;0,E18,0)</f>
        <v>7904422.2641319633</v>
      </c>
      <c r="G18" s="8">
        <f t="shared" si="0"/>
        <v>201</v>
      </c>
    </row>
    <row r="19" spans="1:7">
      <c r="A19" s="8">
        <f>A18+1</f>
        <v>202</v>
      </c>
      <c r="B19" t="s">
        <v>1818</v>
      </c>
      <c r="C19" s="46">
        <v>41133269.18</v>
      </c>
      <c r="D19" s="46">
        <v>12803438.74938868</v>
      </c>
      <c r="E19" s="29">
        <f>C19-D19</f>
        <v>28329830.43061132</v>
      </c>
      <c r="F19" s="29">
        <f>IF(E19&gt;0,E19,0)</f>
        <v>28329830.43061132</v>
      </c>
      <c r="G19" s="8">
        <f t="shared" si="0"/>
        <v>202</v>
      </c>
    </row>
    <row r="20" spans="1:7">
      <c r="A20" s="8">
        <f>A19+1</f>
        <v>203</v>
      </c>
      <c r="B20" t="s">
        <v>1819</v>
      </c>
      <c r="C20" s="46">
        <v>0</v>
      </c>
      <c r="D20" s="46">
        <v>0</v>
      </c>
      <c r="E20" s="29">
        <f>C20-D20</f>
        <v>0</v>
      </c>
      <c r="F20" s="29">
        <f>IF(E20&gt;0,E20,0)</f>
        <v>0</v>
      </c>
      <c r="G20" s="8">
        <f t="shared" si="0"/>
        <v>203</v>
      </c>
    </row>
    <row r="21" spans="1:7">
      <c r="A21" s="8">
        <f>A20+1</f>
        <v>204</v>
      </c>
      <c r="B21" t="s">
        <v>1820</v>
      </c>
      <c r="C21" s="46">
        <v>0</v>
      </c>
      <c r="D21" s="46">
        <v>0</v>
      </c>
      <c r="E21" s="29">
        <f>C21-D21</f>
        <v>0</v>
      </c>
      <c r="F21" s="29">
        <f>IF(E21&gt;0,E21,0)</f>
        <v>0</v>
      </c>
      <c r="G21" s="8">
        <f t="shared" si="0"/>
        <v>204</v>
      </c>
    </row>
    <row r="22" spans="1:7">
      <c r="A22" s="8">
        <f>A21+1</f>
        <v>205</v>
      </c>
      <c r="B22" t="s">
        <v>1821</v>
      </c>
      <c r="C22" s="46">
        <v>1606614.52</v>
      </c>
      <c r="D22" s="46">
        <v>1342606.0632058205</v>
      </c>
      <c r="E22" s="29">
        <f>C22-D22</f>
        <v>264008.45679417951</v>
      </c>
      <c r="F22" s="29">
        <f>IF(E22&gt;0,E22,0)</f>
        <v>264008.45679417951</v>
      </c>
      <c r="G22" s="8">
        <f t="shared" si="0"/>
        <v>205</v>
      </c>
    </row>
    <row r="23" spans="1:7">
      <c r="A23" s="8">
        <v>206</v>
      </c>
      <c r="B23" s="348" t="s">
        <v>126</v>
      </c>
      <c r="C23" s="532"/>
      <c r="D23" s="532"/>
      <c r="E23" s="533"/>
      <c r="F23" s="519"/>
      <c r="G23" s="8">
        <f t="shared" si="0"/>
        <v>206</v>
      </c>
    </row>
    <row r="24" spans="1:7">
      <c r="A24" s="8"/>
      <c r="B24" s="13"/>
      <c r="C24" s="13"/>
      <c r="D24" s="13"/>
      <c r="E24" s="13"/>
      <c r="F24" s="13"/>
      <c r="G24" s="13"/>
    </row>
    <row r="25" spans="1:7">
      <c r="A25" s="8"/>
      <c r="B25" s="347" t="s">
        <v>1822</v>
      </c>
      <c r="C25" s="219"/>
      <c r="D25" s="219"/>
      <c r="E25" s="219"/>
      <c r="F25" s="219"/>
      <c r="G25" s="35"/>
    </row>
    <row r="26" spans="1:7">
      <c r="A26" s="13" t="s">
        <v>99</v>
      </c>
      <c r="B26" s="13" t="s">
        <v>6</v>
      </c>
      <c r="C26" s="13" t="s">
        <v>133</v>
      </c>
      <c r="D26" s="13" t="s">
        <v>134</v>
      </c>
      <c r="E26" s="13"/>
      <c r="F26" s="13"/>
      <c r="G26" s="13" t="str">
        <f t="shared" ref="G26:G31" si="1">A26</f>
        <v>Line</v>
      </c>
    </row>
    <row r="27" spans="1:7">
      <c r="A27" s="8">
        <v>300</v>
      </c>
      <c r="B27" t="s">
        <v>1823</v>
      </c>
      <c r="C27" s="29">
        <f>F17</f>
        <v>36498261.151537463</v>
      </c>
      <c r="D27" t="str">
        <f>"Line "&amp;A17&amp;", col 4"</f>
        <v>Line 200, col 4</v>
      </c>
      <c r="G27" s="8">
        <f t="shared" si="1"/>
        <v>300</v>
      </c>
    </row>
    <row r="28" spans="1:7">
      <c r="A28" s="8">
        <f>A27+1</f>
        <v>301</v>
      </c>
      <c r="B28" t="s">
        <v>1824</v>
      </c>
      <c r="C28" s="124">
        <f>'1-BaseTRR'!E99</f>
        <v>0.27983599999999997</v>
      </c>
      <c r="D28" t="str">
        <f>"1-BaseTRR, L. "&amp;'1-BaseTRR'!A99&amp;""</f>
        <v>1-BaseTRR, L. 402</v>
      </c>
      <c r="G28" s="8">
        <f t="shared" si="1"/>
        <v>301</v>
      </c>
    </row>
    <row r="29" spans="1:7">
      <c r="A29" s="8">
        <f>A28+1</f>
        <v>302</v>
      </c>
      <c r="B29" t="s">
        <v>1825</v>
      </c>
      <c r="C29">
        <v>1</v>
      </c>
      <c r="D29" s="21" t="s">
        <v>1826</v>
      </c>
      <c r="E29" s="21"/>
      <c r="F29" s="21"/>
      <c r="G29" s="8">
        <f t="shared" si="1"/>
        <v>302</v>
      </c>
    </row>
    <row r="30" spans="1:7">
      <c r="A30" s="8">
        <f>A29+1</f>
        <v>303</v>
      </c>
      <c r="B30" t="s">
        <v>1827</v>
      </c>
      <c r="C30" s="124">
        <f>1/(1+C29-C29*C28)</f>
        <v>0.58133991875193292</v>
      </c>
      <c r="D30" t="str">
        <f>"1 / [1 + Line "&amp;A29&amp;" - (Line "&amp;A29&amp;" * Line "&amp;A28&amp;")]"</f>
        <v>1 / [1 + Line 302 - (Line 302 * Line 301)]</v>
      </c>
      <c r="G30" s="8">
        <f t="shared" si="1"/>
        <v>303</v>
      </c>
    </row>
    <row r="31" spans="1:7">
      <c r="A31" s="8">
        <f>A30+1</f>
        <v>304</v>
      </c>
      <c r="B31" t="s">
        <v>1828</v>
      </c>
      <c r="C31" s="124">
        <f>1-C30</f>
        <v>0.41866008124806708</v>
      </c>
      <c r="D31" t="str">
        <f>"1 - Line "&amp;A30&amp;""</f>
        <v>1 - Line 303</v>
      </c>
      <c r="G31" s="8">
        <f t="shared" si="1"/>
        <v>304</v>
      </c>
    </row>
    <row r="32" spans="1:7">
      <c r="A32" s="8"/>
      <c r="G32" s="8"/>
    </row>
    <row r="33" spans="1:7">
      <c r="A33" s="8"/>
      <c r="B33" s="347" t="s">
        <v>1829</v>
      </c>
      <c r="C33" s="219"/>
      <c r="D33" s="219"/>
      <c r="E33" s="219"/>
      <c r="F33" s="219"/>
      <c r="G33" s="8"/>
    </row>
    <row r="34" spans="1:7">
      <c r="A34" s="13" t="s">
        <v>99</v>
      </c>
      <c r="B34" s="13" t="s">
        <v>6</v>
      </c>
      <c r="C34" s="13" t="s">
        <v>133</v>
      </c>
      <c r="D34" s="13" t="s">
        <v>134</v>
      </c>
      <c r="E34" s="13"/>
      <c r="F34" s="13"/>
      <c r="G34" s="13" t="str">
        <f>A34</f>
        <v>Line</v>
      </c>
    </row>
    <row r="35" spans="1:7">
      <c r="A35" s="8">
        <v>400</v>
      </c>
      <c r="B35" t="s">
        <v>1830</v>
      </c>
      <c r="C35" s="29">
        <f>C30*C27</f>
        <v>21217896.172421619</v>
      </c>
      <c r="D35" t="str">
        <f>"Line "&amp;A27&amp;" * Line "&amp;A30&amp;""</f>
        <v>Line 300 * Line 303</v>
      </c>
      <c r="G35" s="8">
        <f>A35</f>
        <v>400</v>
      </c>
    </row>
    <row r="36" spans="1:7">
      <c r="A36" s="8">
        <f>A35+1</f>
        <v>401</v>
      </c>
      <c r="B36" t="s">
        <v>1831</v>
      </c>
      <c r="C36" s="29">
        <f>C35*C28</f>
        <v>5937531.1933057755</v>
      </c>
      <c r="D36" t="str">
        <f>"Line "&amp;A35&amp;" * Line "&amp;A28&amp;""</f>
        <v>Line 400 * Line 301</v>
      </c>
      <c r="G36" s="8">
        <f>A36</f>
        <v>401</v>
      </c>
    </row>
    <row r="37" spans="1:7">
      <c r="A37" s="8">
        <f>A36+1</f>
        <v>402</v>
      </c>
      <c r="B37" t="s">
        <v>1832</v>
      </c>
      <c r="C37" s="29">
        <f>C35-C36</f>
        <v>15280364.979115844</v>
      </c>
      <c r="D37" t="str">
        <f>"Line "&amp;A35&amp;" - Line "&amp;A36&amp;""</f>
        <v>Line 400 - Line 401</v>
      </c>
      <c r="G37" s="8">
        <f>A37</f>
        <v>402</v>
      </c>
    </row>
    <row r="38" spans="1:7">
      <c r="A38" s="8">
        <f>A37+1</f>
        <v>403</v>
      </c>
      <c r="B38" t="s">
        <v>1833</v>
      </c>
      <c r="C38" s="29">
        <f>C31*C27</f>
        <v>15280364.979115846</v>
      </c>
      <c r="D38" t="str">
        <f>"Line "&amp;A31&amp;" * Line "&amp;A27&amp;""</f>
        <v>Line 304 * Line 300</v>
      </c>
      <c r="G38" s="8">
        <f>A38</f>
        <v>403</v>
      </c>
    </row>
    <row r="40" spans="1:7">
      <c r="B40" s="16" t="s">
        <v>304</v>
      </c>
    </row>
    <row r="41" spans="1:7">
      <c r="B41" t="s">
        <v>1834</v>
      </c>
    </row>
    <row r="42" spans="1:7">
      <c r="B42" t="s">
        <v>1835</v>
      </c>
    </row>
    <row r="43" spans="1:7">
      <c r="B43" t="s">
        <v>1836</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666F8-9D1A-4CB1-A92F-C72213E76E14}">
  <sheetPr>
    <tabColor rgb="FFC00000"/>
    <pageSetUpPr fitToPage="1"/>
  </sheetPr>
  <dimension ref="A1:G43"/>
  <sheetViews>
    <sheetView tabSelected="1" view="pageBreakPreview" zoomScaleSheetLayoutView="100" workbookViewId="0">
      <selection activeCell="E21" sqref="E21"/>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s>
  <sheetData>
    <row r="1" spans="1:7">
      <c r="B1" s="12" t="s">
        <v>56</v>
      </c>
      <c r="C1" s="15"/>
      <c r="F1" s="15" t="s">
        <v>368</v>
      </c>
    </row>
    <row r="2" spans="1:7">
      <c r="B2" s="113" t="s">
        <v>130</v>
      </c>
      <c r="C2" s="15"/>
      <c r="D2" s="15"/>
      <c r="E2" s="15"/>
      <c r="F2" s="15"/>
    </row>
    <row r="3" spans="1:7">
      <c r="B3" s="200"/>
    </row>
    <row r="4" spans="1:7">
      <c r="A4" s="13"/>
      <c r="B4" s="350" t="s">
        <v>1805</v>
      </c>
      <c r="C4" s="346"/>
      <c r="D4" s="346"/>
      <c r="E4" s="346"/>
      <c r="F4" s="346"/>
      <c r="G4" s="13"/>
    </row>
    <row r="5" spans="1:7">
      <c r="A5" s="13" t="s">
        <v>99</v>
      </c>
      <c r="B5" s="13" t="s">
        <v>6</v>
      </c>
      <c r="C5" s="13" t="s">
        <v>133</v>
      </c>
      <c r="D5" s="13" t="s">
        <v>134</v>
      </c>
      <c r="E5" s="13"/>
      <c r="F5" s="13"/>
      <c r="G5" s="13" t="s">
        <v>99</v>
      </c>
    </row>
    <row r="6" spans="1:7">
      <c r="A6" s="8">
        <v>100</v>
      </c>
      <c r="B6" t="s">
        <v>1806</v>
      </c>
      <c r="C6" s="22">
        <v>52156341</v>
      </c>
      <c r="D6" s="6" t="s">
        <v>1807</v>
      </c>
      <c r="G6" s="8">
        <v>100</v>
      </c>
    </row>
    <row r="7" spans="1:7">
      <c r="A7" s="8"/>
      <c r="C7" s="30"/>
      <c r="G7" s="8"/>
    </row>
    <row r="8" spans="1:7">
      <c r="A8" s="8">
        <v>101</v>
      </c>
      <c r="B8" t="s">
        <v>1808</v>
      </c>
      <c r="C8" s="46">
        <v>15095030.91</v>
      </c>
      <c r="D8" s="599" t="s">
        <v>1809</v>
      </c>
      <c r="E8" s="599"/>
      <c r="F8" s="599"/>
      <c r="G8" s="8">
        <v>101</v>
      </c>
    </row>
    <row r="9" spans="1:7">
      <c r="A9" s="8">
        <v>102</v>
      </c>
      <c r="B9" t="s">
        <v>1810</v>
      </c>
      <c r="C9" s="44">
        <v>1589018.2122910295</v>
      </c>
      <c r="D9" s="599" t="s">
        <v>1811</v>
      </c>
      <c r="E9" s="599"/>
      <c r="F9" s="599"/>
      <c r="G9" s="8">
        <v>102</v>
      </c>
    </row>
    <row r="10" spans="1:7">
      <c r="A10" s="8">
        <v>103</v>
      </c>
      <c r="B10" s="12" t="s">
        <v>1812</v>
      </c>
      <c r="C10" s="24">
        <v>16684049.12229103</v>
      </c>
      <c r="D10" t="s">
        <v>1837</v>
      </c>
      <c r="G10" s="8">
        <v>103</v>
      </c>
    </row>
    <row r="11" spans="1:7">
      <c r="A11" s="8"/>
      <c r="C11" s="108"/>
      <c r="G11" s="8"/>
    </row>
    <row r="12" spans="1:7">
      <c r="A12" s="8"/>
      <c r="B12" s="350" t="s">
        <v>1813</v>
      </c>
      <c r="C12" s="346"/>
      <c r="D12" s="346"/>
      <c r="E12" s="346"/>
      <c r="F12" s="346"/>
      <c r="G12" s="13"/>
    </row>
    <row r="13" spans="1:7">
      <c r="A13" s="8"/>
      <c r="B13" s="349"/>
      <c r="C13" s="13" t="s">
        <v>413</v>
      </c>
      <c r="D13" s="13" t="s">
        <v>414</v>
      </c>
      <c r="E13" s="13" t="s">
        <v>415</v>
      </c>
      <c r="F13" s="13" t="s">
        <v>416</v>
      </c>
      <c r="G13" s="13"/>
    </row>
    <row r="14" spans="1:7">
      <c r="A14" s="8"/>
      <c r="B14" s="349"/>
      <c r="C14" s="35" t="s">
        <v>110</v>
      </c>
      <c r="D14" s="35" t="s">
        <v>202</v>
      </c>
      <c r="E14" s="35" t="s">
        <v>1449</v>
      </c>
      <c r="F14" s="35" t="s">
        <v>249</v>
      </c>
      <c r="G14" s="13"/>
    </row>
    <row r="15" spans="1:7">
      <c r="A15" s="8"/>
      <c r="B15" s="349"/>
      <c r="C15" s="13"/>
      <c r="D15" s="13"/>
      <c r="E15" s="13"/>
      <c r="F15" s="8" t="s">
        <v>1814</v>
      </c>
      <c r="G15" s="13"/>
    </row>
    <row r="16" spans="1:7">
      <c r="A16" s="13" t="s">
        <v>99</v>
      </c>
      <c r="B16" s="13" t="s">
        <v>1815</v>
      </c>
      <c r="C16" s="13" t="s">
        <v>464</v>
      </c>
      <c r="D16" s="13" t="s">
        <v>1470</v>
      </c>
      <c r="E16" s="13" t="s">
        <v>1816</v>
      </c>
      <c r="F16" s="13" t="s">
        <v>1816</v>
      </c>
      <c r="G16" s="13" t="s">
        <v>99</v>
      </c>
    </row>
    <row r="17" spans="1:7">
      <c r="A17" s="8">
        <v>200</v>
      </c>
      <c r="B17" s="14" t="s">
        <v>509</v>
      </c>
      <c r="C17" s="590">
        <v>52156341.380000003</v>
      </c>
      <c r="D17" s="590">
        <v>16684049.122291028</v>
      </c>
      <c r="E17" s="590">
        <v>35472292.257708974</v>
      </c>
      <c r="F17" s="590">
        <v>35472292.257708974</v>
      </c>
      <c r="G17" s="8">
        <v>200</v>
      </c>
    </row>
    <row r="18" spans="1:7">
      <c r="A18" s="8">
        <v>201</v>
      </c>
      <c r="B18" t="s">
        <v>1817</v>
      </c>
      <c r="C18" s="46">
        <v>9416457.6799999978</v>
      </c>
      <c r="D18" s="46">
        <v>1649010.3205414726</v>
      </c>
      <c r="E18" s="29">
        <v>7767447.3594585247</v>
      </c>
      <c r="F18" s="29">
        <v>7767447.3594585247</v>
      </c>
      <c r="G18" s="8">
        <v>201</v>
      </c>
    </row>
    <row r="19" spans="1:7">
      <c r="A19" s="8">
        <v>202</v>
      </c>
      <c r="B19" t="s">
        <v>1818</v>
      </c>
      <c r="C19" s="46">
        <v>41133269.18</v>
      </c>
      <c r="D19" s="46">
        <v>13670562.79578075</v>
      </c>
      <c r="E19" s="29">
        <v>27462706.384219252</v>
      </c>
      <c r="F19" s="29">
        <v>27462706.384219252</v>
      </c>
      <c r="G19" s="8">
        <v>202</v>
      </c>
    </row>
    <row r="20" spans="1:7">
      <c r="A20" s="8">
        <v>203</v>
      </c>
      <c r="B20" t="s">
        <v>1819</v>
      </c>
      <c r="C20" s="46">
        <v>0</v>
      </c>
      <c r="D20" s="46">
        <v>0</v>
      </c>
      <c r="E20" s="29">
        <v>0</v>
      </c>
      <c r="F20" s="29">
        <v>0</v>
      </c>
      <c r="G20" s="8">
        <v>203</v>
      </c>
    </row>
    <row r="21" spans="1:7">
      <c r="A21" s="8">
        <v>204</v>
      </c>
      <c r="B21" t="s">
        <v>1820</v>
      </c>
      <c r="C21" s="46">
        <v>0</v>
      </c>
      <c r="D21" s="46">
        <v>0</v>
      </c>
      <c r="E21" s="29">
        <v>0</v>
      </c>
      <c r="F21" s="29">
        <v>0</v>
      </c>
      <c r="G21" s="8">
        <v>204</v>
      </c>
    </row>
    <row r="22" spans="1:7">
      <c r="A22" s="8">
        <v>205</v>
      </c>
      <c r="B22" t="s">
        <v>1821</v>
      </c>
      <c r="C22" s="46">
        <v>1606614.52</v>
      </c>
      <c r="D22" s="46">
        <v>1364476.0059688063</v>
      </c>
      <c r="E22" s="29">
        <v>242138.51403119368</v>
      </c>
      <c r="F22" s="29">
        <v>242138.51403119368</v>
      </c>
      <c r="G22" s="8">
        <v>205</v>
      </c>
    </row>
    <row r="23" spans="1:7">
      <c r="A23" s="8">
        <v>206</v>
      </c>
      <c r="B23" s="348" t="s">
        <v>126</v>
      </c>
      <c r="C23" s="532"/>
      <c r="D23" s="532"/>
      <c r="E23" s="533"/>
      <c r="F23" s="519"/>
      <c r="G23" s="8">
        <v>206</v>
      </c>
    </row>
    <row r="24" spans="1:7">
      <c r="A24" s="8"/>
      <c r="B24" s="13"/>
      <c r="C24" s="13"/>
      <c r="D24" s="13"/>
      <c r="E24" s="13"/>
      <c r="F24" s="13"/>
      <c r="G24" s="13"/>
    </row>
    <row r="25" spans="1:7">
      <c r="A25" s="8"/>
      <c r="B25" s="347" t="s">
        <v>1822</v>
      </c>
      <c r="C25" s="219"/>
      <c r="D25" s="219"/>
      <c r="E25" s="219"/>
      <c r="F25" s="219"/>
      <c r="G25" s="35"/>
    </row>
    <row r="26" spans="1:7">
      <c r="A26" s="13" t="s">
        <v>99</v>
      </c>
      <c r="B26" s="13" t="s">
        <v>6</v>
      </c>
      <c r="C26" s="13" t="s">
        <v>133</v>
      </c>
      <c r="D26" s="13" t="s">
        <v>134</v>
      </c>
      <c r="E26" s="13"/>
      <c r="F26" s="13"/>
      <c r="G26" s="13" t="s">
        <v>99</v>
      </c>
    </row>
    <row r="27" spans="1:7">
      <c r="A27" s="8">
        <v>300</v>
      </c>
      <c r="B27" t="s">
        <v>1823</v>
      </c>
      <c r="C27" s="29">
        <v>35472292.257708974</v>
      </c>
      <c r="D27" t="s">
        <v>1838</v>
      </c>
      <c r="G27" s="8">
        <v>300</v>
      </c>
    </row>
    <row r="28" spans="1:7">
      <c r="A28" s="8">
        <v>301</v>
      </c>
      <c r="B28" t="s">
        <v>1824</v>
      </c>
      <c r="C28" s="124">
        <v>0.27983599999999997</v>
      </c>
      <c r="D28" t="s">
        <v>558</v>
      </c>
      <c r="G28" s="8">
        <v>301</v>
      </c>
    </row>
    <row r="29" spans="1:7">
      <c r="A29" s="8">
        <v>302</v>
      </c>
      <c r="B29" t="s">
        <v>1825</v>
      </c>
      <c r="C29">
        <v>1</v>
      </c>
      <c r="D29" s="21" t="s">
        <v>1826</v>
      </c>
      <c r="E29" s="21"/>
      <c r="F29" s="21"/>
      <c r="G29" s="8">
        <v>302</v>
      </c>
    </row>
    <row r="30" spans="1:7">
      <c r="A30" s="8">
        <v>303</v>
      </c>
      <c r="B30" t="s">
        <v>1827</v>
      </c>
      <c r="C30" s="124">
        <v>0.58133991875193292</v>
      </c>
      <c r="D30" t="s">
        <v>1839</v>
      </c>
      <c r="G30" s="8">
        <v>303</v>
      </c>
    </row>
    <row r="31" spans="1:7">
      <c r="A31" s="8">
        <v>304</v>
      </c>
      <c r="B31" t="s">
        <v>1828</v>
      </c>
      <c r="C31" s="124">
        <v>0.41866008124806708</v>
      </c>
      <c r="D31" t="s">
        <v>1840</v>
      </c>
      <c r="G31" s="8">
        <v>304</v>
      </c>
    </row>
    <row r="32" spans="1:7">
      <c r="A32" s="8"/>
      <c r="G32" s="8"/>
    </row>
    <row r="33" spans="1:7">
      <c r="A33" s="8"/>
      <c r="B33" s="347" t="s">
        <v>1829</v>
      </c>
      <c r="C33" s="219"/>
      <c r="D33" s="219"/>
      <c r="E33" s="219"/>
      <c r="F33" s="219"/>
      <c r="G33" s="8"/>
    </row>
    <row r="34" spans="1:7">
      <c r="A34" s="13" t="s">
        <v>99</v>
      </c>
      <c r="B34" s="13" t="s">
        <v>6</v>
      </c>
      <c r="C34" s="13" t="s">
        <v>133</v>
      </c>
      <c r="D34" s="13" t="s">
        <v>134</v>
      </c>
      <c r="E34" s="13"/>
      <c r="F34" s="13"/>
      <c r="G34" s="13" t="s">
        <v>99</v>
      </c>
    </row>
    <row r="35" spans="1:7">
      <c r="A35" s="8">
        <v>400</v>
      </c>
      <c r="B35" t="s">
        <v>1830</v>
      </c>
      <c r="C35" s="29">
        <v>20621459.499041352</v>
      </c>
      <c r="D35" t="s">
        <v>1841</v>
      </c>
      <c r="G35" s="8">
        <v>400</v>
      </c>
    </row>
    <row r="36" spans="1:7">
      <c r="A36" s="8">
        <v>401</v>
      </c>
      <c r="B36" t="s">
        <v>1831</v>
      </c>
      <c r="C36" s="29">
        <v>5770626.7403737353</v>
      </c>
      <c r="D36" t="s">
        <v>1842</v>
      </c>
      <c r="G36" s="8">
        <v>401</v>
      </c>
    </row>
    <row r="37" spans="1:7">
      <c r="A37" s="8">
        <v>402</v>
      </c>
      <c r="B37" t="s">
        <v>1832</v>
      </c>
      <c r="C37" s="29">
        <v>14850832.758667618</v>
      </c>
      <c r="D37" t="s">
        <v>1843</v>
      </c>
      <c r="G37" s="8">
        <v>402</v>
      </c>
    </row>
    <row r="38" spans="1:7">
      <c r="A38" s="8">
        <v>403</v>
      </c>
      <c r="B38" t="s">
        <v>1833</v>
      </c>
      <c r="C38" s="29">
        <v>14850832.75866762</v>
      </c>
      <c r="D38" t="s">
        <v>1844</v>
      </c>
      <c r="G38" s="8">
        <v>403</v>
      </c>
    </row>
    <row r="40" spans="1:7">
      <c r="B40" s="16" t="s">
        <v>304</v>
      </c>
    </row>
    <row r="41" spans="1:7">
      <c r="B41" t="s">
        <v>1834</v>
      </c>
    </row>
    <row r="42" spans="1:7">
      <c r="B42" t="s">
        <v>1835</v>
      </c>
    </row>
    <row r="43" spans="1:7">
      <c r="B43" t="s">
        <v>1836</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ER19-13-000, et al- Annual Update RY2024
&amp;F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F25"/>
  <sheetViews>
    <sheetView tabSelected="1" view="pageBreakPreview" zoomScale="115" zoomScaleSheetLayoutView="115" workbookViewId="0">
      <selection activeCell="E21" sqref="E21"/>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200" t="s">
        <v>58</v>
      </c>
      <c r="D1" s="14"/>
      <c r="E1" s="15" t="str">
        <f>CONCATENATE("Prior Year: ",'1-BaseTRR'!$G$2)</f>
        <v>Prior Year: 2020</v>
      </c>
    </row>
    <row r="2" spans="1:6">
      <c r="B2" s="113" t="s">
        <v>130</v>
      </c>
      <c r="D2" s="14"/>
      <c r="E2" s="15"/>
    </row>
    <row r="3" spans="1:6">
      <c r="B3" s="200"/>
    </row>
    <row r="4" spans="1:6">
      <c r="B4" s="52" t="s">
        <v>1845</v>
      </c>
      <c r="C4" s="219"/>
      <c r="D4" s="219"/>
      <c r="E4" s="219"/>
    </row>
    <row r="5" spans="1:6">
      <c r="A5" s="13" t="s">
        <v>99</v>
      </c>
      <c r="B5" s="13" t="s">
        <v>6</v>
      </c>
      <c r="C5" s="13" t="s">
        <v>1424</v>
      </c>
      <c r="D5" s="13" t="s">
        <v>655</v>
      </c>
      <c r="E5" s="13" t="s">
        <v>135</v>
      </c>
      <c r="F5" s="13" t="str">
        <f>A5</f>
        <v>Line</v>
      </c>
    </row>
    <row r="6" spans="1:6">
      <c r="A6" s="379">
        <v>100</v>
      </c>
      <c r="B6" t="s">
        <v>237</v>
      </c>
      <c r="C6" s="45">
        <v>0.21</v>
      </c>
      <c r="D6" s="6" t="s">
        <v>1846</v>
      </c>
      <c r="E6" s="408"/>
      <c r="F6" s="379">
        <f>A6</f>
        <v>100</v>
      </c>
    </row>
    <row r="7" spans="1:6">
      <c r="A7" s="379">
        <f>A6+1</f>
        <v>101</v>
      </c>
      <c r="B7" t="s">
        <v>1847</v>
      </c>
      <c r="C7" s="45">
        <v>8.8400000000000006E-2</v>
      </c>
      <c r="D7" t="s">
        <v>1848</v>
      </c>
      <c r="E7" s="408"/>
      <c r="F7" s="379">
        <f>A7</f>
        <v>101</v>
      </c>
    </row>
    <row r="8" spans="1:6" ht="30.75" customHeight="1">
      <c r="A8" s="379">
        <v>102</v>
      </c>
      <c r="B8" t="s">
        <v>1849</v>
      </c>
      <c r="C8" s="38">
        <f>-C6*C7</f>
        <v>-1.8564000000000001E-2</v>
      </c>
      <c r="D8" s="304" t="s">
        <v>1850</v>
      </c>
      <c r="E8" s="299" t="s">
        <v>1851</v>
      </c>
      <c r="F8" s="379">
        <v>102</v>
      </c>
    </row>
    <row r="9" spans="1:6">
      <c r="A9" s="379">
        <v>103</v>
      </c>
      <c r="B9" s="12" t="s">
        <v>1852</v>
      </c>
      <c r="C9" s="570">
        <f>SUM(C6:C8)</f>
        <v>0.27983599999999997</v>
      </c>
      <c r="D9" t="s">
        <v>1853</v>
      </c>
      <c r="F9" s="379">
        <v>103</v>
      </c>
    </row>
    <row r="10" spans="1:6">
      <c r="A10" s="379"/>
      <c r="B10" s="12"/>
      <c r="C10" s="363"/>
      <c r="F10" s="379"/>
    </row>
    <row r="11" spans="1:6">
      <c r="A11" s="379"/>
      <c r="B11" s="52" t="s">
        <v>1854</v>
      </c>
      <c r="C11" s="219"/>
      <c r="D11" s="219"/>
      <c r="E11" s="219"/>
    </row>
    <row r="12" spans="1:6">
      <c r="A12" s="13" t="s">
        <v>99</v>
      </c>
      <c r="B12" s="13" t="s">
        <v>6</v>
      </c>
      <c r="C12" s="13" t="s">
        <v>1424</v>
      </c>
      <c r="D12" s="13" t="s">
        <v>655</v>
      </c>
      <c r="E12" s="13" t="s">
        <v>135</v>
      </c>
      <c r="F12" s="13" t="str">
        <f>A12</f>
        <v>Line</v>
      </c>
    </row>
    <row r="13" spans="1:6">
      <c r="A13" s="379">
        <v>200</v>
      </c>
      <c r="B13" t="s">
        <v>237</v>
      </c>
      <c r="C13" s="45">
        <v>0.21</v>
      </c>
      <c r="D13" s="6" t="s">
        <v>1846</v>
      </c>
      <c r="E13" s="408"/>
      <c r="F13" s="379">
        <f>A13</f>
        <v>200</v>
      </c>
    </row>
    <row r="14" spans="1:6">
      <c r="A14" s="379">
        <f>A13+1</f>
        <v>201</v>
      </c>
      <c r="B14" t="s">
        <v>1847</v>
      </c>
      <c r="C14" s="45">
        <v>8.8400000000000006E-2</v>
      </c>
      <c r="D14" t="s">
        <v>1848</v>
      </c>
      <c r="E14" s="408"/>
      <c r="F14" s="379">
        <f>A14</f>
        <v>201</v>
      </c>
    </row>
    <row r="15" spans="1:6" ht="29">
      <c r="A15" s="379">
        <f>A14+1</f>
        <v>202</v>
      </c>
      <c r="B15" t="s">
        <v>1849</v>
      </c>
      <c r="C15" s="38">
        <f>-C13*C14</f>
        <v>-1.8564000000000001E-2</v>
      </c>
      <c r="D15" s="304" t="s">
        <v>1850</v>
      </c>
      <c r="E15" s="299" t="s">
        <v>1851</v>
      </c>
      <c r="F15" s="379">
        <f>A15</f>
        <v>202</v>
      </c>
    </row>
    <row r="16" spans="1:6">
      <c r="A16" s="379">
        <f>A15+1</f>
        <v>203</v>
      </c>
      <c r="B16" s="12" t="s">
        <v>1852</v>
      </c>
      <c r="C16" s="570">
        <f>SUM(C13:C15)</f>
        <v>0.27983599999999997</v>
      </c>
      <c r="D16" t="s">
        <v>1853</v>
      </c>
      <c r="F16" s="379">
        <f>A16</f>
        <v>203</v>
      </c>
    </row>
    <row r="25" spans="4:4">
      <c r="D25" s="17"/>
    </row>
  </sheetData>
  <printOptions horizontalCentered="1"/>
  <pageMargins left="1" right="1" top="1" bottom="1" header="0.5" footer="0.5"/>
  <pageSetup scale="7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K68"/>
  <sheetViews>
    <sheetView tabSelected="1" view="pageBreakPreview" topLeftCell="A46" zoomScale="85" zoomScaleNormal="85" zoomScaleSheetLayoutView="85" zoomScalePageLayoutView="70" workbookViewId="0">
      <selection activeCell="E21" sqref="E21"/>
    </sheetView>
  </sheetViews>
  <sheetFormatPr defaultColWidth="9.1796875" defaultRowHeight="14.5"/>
  <cols>
    <col min="1" max="1" width="4.54296875" bestFit="1" customWidth="1"/>
    <col min="2" max="2" width="43" customWidth="1"/>
    <col min="3" max="4" width="14.81640625" bestFit="1" customWidth="1"/>
    <col min="5" max="5" width="13.1796875" bestFit="1" customWidth="1"/>
    <col min="6" max="6" width="40.54296875" customWidth="1"/>
    <col min="7" max="7" width="15.1796875" bestFit="1" customWidth="1"/>
    <col min="8" max="9" width="17.453125" customWidth="1"/>
    <col min="10" max="10" width="19.54296875" bestFit="1" customWidth="1"/>
    <col min="11" max="11" width="4.7265625" bestFit="1" customWidth="1"/>
  </cols>
  <sheetData>
    <row r="1" spans="1:11">
      <c r="A1" s="8"/>
      <c r="B1" s="14" t="s">
        <v>60</v>
      </c>
      <c r="E1" s="15"/>
      <c r="J1" s="15" t="str">
        <f>CONCATENATE("Prior Year: ",'1-BaseTRR'!$G$2)</f>
        <v>Prior Year: 2020</v>
      </c>
    </row>
    <row r="2" spans="1:11">
      <c r="A2" s="8"/>
      <c r="B2" s="113" t="s">
        <v>130</v>
      </c>
      <c r="E2" s="15"/>
      <c r="I2" s="15"/>
    </row>
    <row r="3" spans="1:11">
      <c r="A3" s="14"/>
    </row>
    <row r="4" spans="1:11">
      <c r="A4" s="8"/>
      <c r="B4" s="47" t="s">
        <v>1855</v>
      </c>
      <c r="C4" s="48"/>
      <c r="D4" s="219"/>
      <c r="E4" s="219"/>
      <c r="F4" s="219"/>
      <c r="G4" s="219"/>
      <c r="H4" s="219"/>
      <c r="I4" s="219"/>
      <c r="J4" s="219"/>
    </row>
    <row r="5" spans="1:11">
      <c r="A5" s="8"/>
      <c r="B5" s="147" t="s">
        <v>413</v>
      </c>
      <c r="C5" s="147" t="s">
        <v>414</v>
      </c>
      <c r="D5" s="147" t="s">
        <v>415</v>
      </c>
      <c r="E5" s="147" t="s">
        <v>416</v>
      </c>
      <c r="F5" s="147" t="s">
        <v>417</v>
      </c>
      <c r="G5" s="147" t="s">
        <v>418</v>
      </c>
    </row>
    <row r="6" spans="1:11" ht="58">
      <c r="A6" s="13" t="s">
        <v>99</v>
      </c>
      <c r="B6" s="13" t="s">
        <v>6</v>
      </c>
      <c r="D6" s="162" t="s">
        <v>1856</v>
      </c>
      <c r="E6" s="162" t="s">
        <v>1857</v>
      </c>
      <c r="F6" s="13" t="s">
        <v>134</v>
      </c>
      <c r="G6" s="13" t="s">
        <v>135</v>
      </c>
      <c r="K6" s="13" t="str">
        <f>A6</f>
        <v>Line</v>
      </c>
    </row>
    <row r="7" spans="1:11">
      <c r="A7" s="379">
        <v>100</v>
      </c>
      <c r="B7" s="14" t="s">
        <v>1858</v>
      </c>
      <c r="C7" s="14"/>
      <c r="D7" s="606">
        <v>24539256</v>
      </c>
      <c r="E7" s="606">
        <v>24539256</v>
      </c>
      <c r="F7" t="s">
        <v>1859</v>
      </c>
      <c r="G7" t="s">
        <v>110</v>
      </c>
      <c r="K7" s="379">
        <f>A7</f>
        <v>100</v>
      </c>
    </row>
    <row r="8" spans="1:11" ht="15" thickBot="1">
      <c r="A8" s="379">
        <f>A7+1</f>
        <v>101</v>
      </c>
      <c r="B8" s="14" t="s">
        <v>1860</v>
      </c>
      <c r="E8" s="606">
        <v>26416693</v>
      </c>
      <c r="F8" t="s">
        <v>1859</v>
      </c>
      <c r="G8" s="234" t="s">
        <v>202</v>
      </c>
      <c r="K8" s="379">
        <f>A8</f>
        <v>101</v>
      </c>
    </row>
    <row r="9" spans="1:11" ht="15" thickBot="1">
      <c r="A9" s="379">
        <f>A8+1</f>
        <v>102</v>
      </c>
      <c r="B9" s="14" t="s">
        <v>1861</v>
      </c>
      <c r="D9" s="592"/>
      <c r="E9" s="598">
        <f>+J60</f>
        <v>25546985.312100459</v>
      </c>
      <c r="F9" s="6" t="str">
        <f>CONCATENATE("Line ",A60,", ","col 9")</f>
        <v>Line 414, col 9</v>
      </c>
      <c r="G9" s="234"/>
      <c r="K9" s="379">
        <f>A9</f>
        <v>102</v>
      </c>
    </row>
    <row r="10" spans="1:11">
      <c r="A10" s="379"/>
      <c r="B10" s="14"/>
      <c r="C10" s="14"/>
      <c r="D10" s="29"/>
      <c r="E10" s="29"/>
      <c r="K10" s="379"/>
    </row>
    <row r="11" spans="1:11">
      <c r="A11" s="379"/>
      <c r="B11" s="47" t="s">
        <v>1862</v>
      </c>
      <c r="C11" s="219"/>
      <c r="D11" s="219"/>
      <c r="E11" s="219"/>
      <c r="F11" s="219"/>
      <c r="G11" s="219"/>
      <c r="H11" s="219"/>
      <c r="I11" s="219"/>
      <c r="J11" s="219"/>
      <c r="K11" s="379"/>
    </row>
    <row r="12" spans="1:11">
      <c r="A12" s="13" t="s">
        <v>99</v>
      </c>
      <c r="B12" s="13" t="s">
        <v>6</v>
      </c>
      <c r="D12" s="13"/>
      <c r="E12" s="13"/>
      <c r="F12" s="13" t="s">
        <v>134</v>
      </c>
      <c r="G12" s="13" t="s">
        <v>135</v>
      </c>
      <c r="K12" s="13" t="str">
        <f>A12</f>
        <v>Line</v>
      </c>
    </row>
    <row r="13" spans="1:11">
      <c r="A13" s="379">
        <v>200</v>
      </c>
      <c r="B13" t="s">
        <v>237</v>
      </c>
      <c r="D13" s="28">
        <f>'22-TaxRates'!C6</f>
        <v>0.21</v>
      </c>
      <c r="E13" s="28">
        <f>'22-TaxRates'!C6</f>
        <v>0.21</v>
      </c>
      <c r="F13" t="s">
        <v>238</v>
      </c>
      <c r="K13" s="379">
        <f>A13</f>
        <v>200</v>
      </c>
    </row>
    <row r="14" spans="1:11">
      <c r="A14" s="379">
        <f>A13+1</f>
        <v>201</v>
      </c>
      <c r="B14" t="s">
        <v>239</v>
      </c>
      <c r="D14" s="31">
        <f>'22-TaxRates'!C7</f>
        <v>8.8400000000000006E-2</v>
      </c>
      <c r="E14" s="31">
        <f>'22-TaxRates'!C7</f>
        <v>8.8400000000000006E-2</v>
      </c>
      <c r="F14" t="s">
        <v>240</v>
      </c>
      <c r="K14" s="379">
        <f>A14</f>
        <v>201</v>
      </c>
    </row>
    <row r="15" spans="1:11">
      <c r="A15" s="379">
        <f>A14+1</f>
        <v>202</v>
      </c>
      <c r="B15" s="12" t="s">
        <v>241</v>
      </c>
      <c r="C15" s="12"/>
      <c r="D15" s="591">
        <f>(D13+D14)-(D13*D14)</f>
        <v>0.27983599999999997</v>
      </c>
      <c r="E15" s="591">
        <f>(E13+E14)-(E13*E14)</f>
        <v>0.27983599999999997</v>
      </c>
      <c r="F15" s="17" t="str">
        <f>"(Line "&amp;A13&amp;" + Line "&amp;A14&amp;") - (Line "&amp;A13&amp;" * Line "&amp;A14&amp;")"</f>
        <v>(Line 200 + Line 201) - (Line 200 * Line 201)</v>
      </c>
      <c r="K15" s="379">
        <f>A15</f>
        <v>202</v>
      </c>
    </row>
    <row r="16" spans="1:11">
      <c r="A16" s="379"/>
      <c r="K16" s="379"/>
    </row>
    <row r="17" spans="1:11">
      <c r="A17" s="379">
        <f>A15+1</f>
        <v>203</v>
      </c>
      <c r="B17" s="12" t="s">
        <v>253</v>
      </c>
      <c r="D17" s="359">
        <f>(((D22*D23)+D26)*(D24/(1-D24)))+D25/(1-D24)</f>
        <v>3105317.2945139576</v>
      </c>
      <c r="E17" s="359">
        <f>(((E22*E23)+E26)*(E24/(1-E24)))+E25/(1-E24)</f>
        <v>3125782.9390464178</v>
      </c>
      <c r="K17" s="379">
        <f>A17</f>
        <v>203</v>
      </c>
    </row>
    <row r="18" spans="1:11">
      <c r="A18" s="379"/>
      <c r="D18" s="17"/>
      <c r="E18" s="17"/>
      <c r="K18" s="379"/>
    </row>
    <row r="19" spans="1:11">
      <c r="A19" s="379"/>
      <c r="B19" t="s">
        <v>1863</v>
      </c>
      <c r="K19" s="379"/>
    </row>
    <row r="20" spans="1:11">
      <c r="A20" s="379"/>
      <c r="K20" s="379"/>
    </row>
    <row r="21" spans="1:11">
      <c r="A21" s="379"/>
      <c r="B21" t="s">
        <v>255</v>
      </c>
      <c r="K21" s="379"/>
    </row>
    <row r="22" spans="1:11">
      <c r="A22" s="379">
        <f>A17+1</f>
        <v>204</v>
      </c>
      <c r="B22" s="269" t="s">
        <v>256</v>
      </c>
      <c r="C22" s="269"/>
      <c r="D22" s="30">
        <f>D7</f>
        <v>24539256</v>
      </c>
      <c r="E22" s="30">
        <f>+E9</f>
        <v>25546985.312100459</v>
      </c>
      <c r="F22" s="6" t="str">
        <f>CONCATENATE("Line ",A7," or ",A9)</f>
        <v>Line 100 or 102</v>
      </c>
      <c r="K22" s="379">
        <f>A22</f>
        <v>204</v>
      </c>
    </row>
    <row r="23" spans="1:11">
      <c r="A23" s="379">
        <f>A22+1</f>
        <v>205</v>
      </c>
      <c r="B23" s="18" t="s">
        <v>257</v>
      </c>
      <c r="C23" s="18"/>
      <c r="D23" s="28">
        <f>D32+D33</f>
        <v>5.2264807947588816E-2</v>
      </c>
      <c r="E23" s="28">
        <f>D32+D33</f>
        <v>5.2264807947588816E-2</v>
      </c>
      <c r="F23" s="6" t="str">
        <f>CONCATENATE("Line ",A32," + ","Line ",A33)</f>
        <v>Line 301 + Line 302</v>
      </c>
      <c r="K23" s="379">
        <f>A23</f>
        <v>205</v>
      </c>
    </row>
    <row r="24" spans="1:11">
      <c r="A24" s="379">
        <f>A23+1</f>
        <v>206</v>
      </c>
      <c r="B24" s="269" t="s">
        <v>258</v>
      </c>
      <c r="C24" s="269"/>
      <c r="D24" s="124">
        <f>+D15</f>
        <v>0.27983599999999997</v>
      </c>
      <c r="E24" s="124">
        <f>+D15</f>
        <v>0.27983599999999997</v>
      </c>
      <c r="F24" s="6" t="str">
        <f>CONCATENATE("Line ",A15)</f>
        <v>Line 202</v>
      </c>
      <c r="K24" s="379">
        <f>A24</f>
        <v>206</v>
      </c>
    </row>
    <row r="25" spans="1:11">
      <c r="A25" s="379">
        <f>A24+1</f>
        <v>207</v>
      </c>
      <c r="B25" s="269" t="s">
        <v>259</v>
      </c>
      <c r="C25" s="269"/>
      <c r="D25" s="606">
        <v>1877437</v>
      </c>
      <c r="E25" s="606">
        <v>1877437</v>
      </c>
      <c r="F25" t="s">
        <v>1859</v>
      </c>
      <c r="G25" t="s">
        <v>249</v>
      </c>
      <c r="K25" s="379">
        <f>A25</f>
        <v>207</v>
      </c>
    </row>
    <row r="26" spans="1:11">
      <c r="A26" s="379">
        <f>A25+1</f>
        <v>208</v>
      </c>
      <c r="B26" s="269" t="s">
        <v>260</v>
      </c>
      <c r="C26" s="269"/>
      <c r="D26" s="157">
        <v>0</v>
      </c>
      <c r="E26" s="157">
        <v>0</v>
      </c>
      <c r="K26" s="379">
        <f>A26</f>
        <v>208</v>
      </c>
    </row>
    <row r="27" spans="1:11">
      <c r="A27" s="379"/>
      <c r="B27" s="269"/>
      <c r="C27" s="269"/>
      <c r="D27" s="157"/>
      <c r="E27" s="157"/>
      <c r="K27" s="379"/>
    </row>
    <row r="28" spans="1:11">
      <c r="A28" s="379"/>
      <c r="B28" s="47" t="s">
        <v>1864</v>
      </c>
      <c r="C28" s="219"/>
      <c r="D28" s="219"/>
      <c r="E28" s="219"/>
      <c r="F28" s="219"/>
      <c r="G28" s="219"/>
      <c r="H28" s="219"/>
      <c r="I28" s="219"/>
      <c r="J28" s="219"/>
      <c r="K28" s="379"/>
    </row>
    <row r="29" spans="1:11" ht="43.5">
      <c r="A29" s="13" t="s">
        <v>99</v>
      </c>
      <c r="B29" s="13" t="s">
        <v>6</v>
      </c>
      <c r="D29" s="162" t="s">
        <v>1865</v>
      </c>
      <c r="E29" s="162" t="s">
        <v>1866</v>
      </c>
      <c r="F29" s="13" t="s">
        <v>134</v>
      </c>
      <c r="G29" s="13" t="s">
        <v>135</v>
      </c>
      <c r="K29" s="13" t="str">
        <f>A29</f>
        <v>Line</v>
      </c>
    </row>
    <row r="30" spans="1:11">
      <c r="A30" s="379"/>
      <c r="B30" s="11" t="s">
        <v>203</v>
      </c>
      <c r="C30" s="11"/>
      <c r="K30" s="379"/>
    </row>
    <row r="31" spans="1:11">
      <c r="A31" s="379">
        <v>300</v>
      </c>
      <c r="B31" t="s">
        <v>204</v>
      </c>
      <c r="D31" s="124">
        <f>'1-BaseTRR'!E63</f>
        <v>1.527325E-2</v>
      </c>
      <c r="E31" s="124">
        <f>'1-BaseTRR'!E63</f>
        <v>1.527325E-2</v>
      </c>
      <c r="F31" t="s">
        <v>1867</v>
      </c>
      <c r="K31" s="379">
        <f>A31</f>
        <v>300</v>
      </c>
    </row>
    <row r="32" spans="1:11">
      <c r="A32" s="379">
        <f>A31+1</f>
        <v>301</v>
      </c>
      <c r="B32" t="s">
        <v>205</v>
      </c>
      <c r="D32" s="124">
        <f>'1-BaseTRR'!E64</f>
        <v>2.7605794758881429E-4</v>
      </c>
      <c r="E32" s="124">
        <f>'1-BaseTRR'!E64</f>
        <v>2.7605794758881429E-4</v>
      </c>
      <c r="F32" t="s">
        <v>375</v>
      </c>
      <c r="K32" s="379">
        <f>A32</f>
        <v>301</v>
      </c>
    </row>
    <row r="33" spans="1:11">
      <c r="A33" s="379">
        <f>A32+1</f>
        <v>302</v>
      </c>
      <c r="B33" t="s">
        <v>206</v>
      </c>
      <c r="D33" s="31">
        <f>'1-BaseTRR'!E65</f>
        <v>5.198875E-2</v>
      </c>
      <c r="E33" s="31">
        <f>'1-BaseTRR'!E65</f>
        <v>5.198875E-2</v>
      </c>
      <c r="F33" t="s">
        <v>1868</v>
      </c>
      <c r="K33" s="379">
        <f>A33</f>
        <v>302</v>
      </c>
    </row>
    <row r="34" spans="1:11">
      <c r="A34" s="379">
        <f>A33+1</f>
        <v>303</v>
      </c>
      <c r="B34" s="12" t="s">
        <v>207</v>
      </c>
      <c r="C34" s="12"/>
      <c r="D34" s="28">
        <f>SUM(D31:D33)</f>
        <v>6.7538057947588812E-2</v>
      </c>
      <c r="E34" s="28">
        <f>SUM(E31:E33)</f>
        <v>6.7538057947588812E-2</v>
      </c>
      <c r="F34" s="6" t="str">
        <f>"Sum of Lines "&amp;A31&amp;" to "&amp;A33&amp;""</f>
        <v>Sum of Lines 300 to 302</v>
      </c>
      <c r="K34" s="379">
        <f>A34</f>
        <v>303</v>
      </c>
    </row>
    <row r="35" spans="1:11">
      <c r="A35" s="379"/>
      <c r="K35" s="379"/>
    </row>
    <row r="36" spans="1:11">
      <c r="A36" s="379">
        <f>A34+1</f>
        <v>304</v>
      </c>
      <c r="B36" s="12" t="s">
        <v>210</v>
      </c>
      <c r="C36" s="12"/>
      <c r="D36" s="359">
        <f>+D7*D34</f>
        <v>1657333.6937187165</v>
      </c>
      <c r="E36" s="359">
        <f>+E9*E34</f>
        <v>1725393.7743948409</v>
      </c>
      <c r="F36" t="str">
        <f>CONCATENATE("Line ",A7," or ",A9," * ","Line ",A34)</f>
        <v>Line 100 or 102 * Line 303</v>
      </c>
      <c r="K36" s="379">
        <f>A36</f>
        <v>304</v>
      </c>
    </row>
    <row r="37" spans="1:11">
      <c r="A37" s="379"/>
      <c r="H37" s="280"/>
      <c r="I37" s="18"/>
      <c r="K37" s="379"/>
    </row>
    <row r="38" spans="1:11" ht="15" thickBot="1">
      <c r="A38" s="379">
        <f>A36+1</f>
        <v>305</v>
      </c>
      <c r="B38" s="12" t="s">
        <v>1869</v>
      </c>
      <c r="D38" s="358">
        <f>+D17+D36</f>
        <v>4762650.9882326741</v>
      </c>
      <c r="E38" s="358">
        <f>+E17+E36</f>
        <v>4851176.7134412583</v>
      </c>
      <c r="F38" s="6" t="str">
        <f>CONCATENATE("Line ",A36," + ","Line ",A17)</f>
        <v>Line 304 + Line 203</v>
      </c>
      <c r="H38" s="280"/>
      <c r="I38" s="18"/>
      <c r="K38" s="379">
        <f>A38</f>
        <v>305</v>
      </c>
    </row>
    <row r="39" spans="1:11" ht="15" thickTop="1">
      <c r="A39" s="379"/>
      <c r="E39" s="30"/>
      <c r="H39" s="301"/>
      <c r="I39" s="302"/>
      <c r="J39" s="379"/>
    </row>
    <row r="40" spans="1:11">
      <c r="A40" s="379"/>
      <c r="B40" s="136" t="s">
        <v>1870</v>
      </c>
      <c r="C40" s="174"/>
      <c r="D40" s="294"/>
      <c r="E40" s="294"/>
      <c r="F40" s="289"/>
      <c r="G40" s="289"/>
      <c r="H40" s="357"/>
      <c r="I40" s="356"/>
      <c r="J40" s="356"/>
    </row>
    <row r="41" spans="1:11">
      <c r="A41" s="379"/>
      <c r="B41" s="147" t="s">
        <v>413</v>
      </c>
      <c r="C41" s="147" t="s">
        <v>414</v>
      </c>
      <c r="D41" s="147" t="s">
        <v>415</v>
      </c>
      <c r="E41" s="147" t="s">
        <v>416</v>
      </c>
      <c r="F41" s="147" t="s">
        <v>417</v>
      </c>
      <c r="G41" s="147" t="s">
        <v>418</v>
      </c>
      <c r="H41" s="147" t="s">
        <v>419</v>
      </c>
      <c r="I41" s="147" t="s">
        <v>420</v>
      </c>
      <c r="J41" s="144" t="s">
        <v>451</v>
      </c>
      <c r="K41" s="379"/>
    </row>
    <row r="42" spans="1:11" ht="30" customHeight="1">
      <c r="A42" s="379"/>
      <c r="B42" s="170"/>
      <c r="C42" s="170"/>
      <c r="D42" s="355" t="s">
        <v>1871</v>
      </c>
      <c r="E42" s="355" t="s">
        <v>1872</v>
      </c>
      <c r="F42" s="280"/>
      <c r="G42" s="280"/>
      <c r="H42" s="296" t="s">
        <v>1873</v>
      </c>
      <c r="I42" s="297" t="s">
        <v>1874</v>
      </c>
      <c r="J42" s="354" t="s">
        <v>1875</v>
      </c>
      <c r="K42" s="379"/>
    </row>
    <row r="43" spans="1:11">
      <c r="A43" s="379"/>
      <c r="B43" s="170"/>
      <c r="C43" s="170"/>
      <c r="D43" s="284"/>
      <c r="E43" s="284"/>
      <c r="F43" s="280"/>
      <c r="G43" s="280"/>
      <c r="H43" s="280"/>
      <c r="I43" s="18"/>
      <c r="J43" s="17"/>
      <c r="K43" s="379"/>
    </row>
    <row r="44" spans="1:11">
      <c r="A44" s="379"/>
      <c r="B44" s="176"/>
      <c r="C44" s="176"/>
      <c r="D44" s="296" t="s">
        <v>1280</v>
      </c>
      <c r="E44" s="296" t="s">
        <v>1281</v>
      </c>
      <c r="F44" s="296"/>
      <c r="G44" s="296" t="s">
        <v>1282</v>
      </c>
      <c r="H44" s="296" t="s">
        <v>1283</v>
      </c>
      <c r="I44" s="379" t="s">
        <v>1284</v>
      </c>
      <c r="J44" s="379" t="s">
        <v>1285</v>
      </c>
      <c r="K44" s="379"/>
    </row>
    <row r="45" spans="1:11">
      <c r="A45" s="13" t="s">
        <v>99</v>
      </c>
      <c r="B45" s="176" t="s">
        <v>1286</v>
      </c>
      <c r="C45" s="176" t="s">
        <v>462</v>
      </c>
      <c r="D45" s="298" t="s">
        <v>1287</v>
      </c>
      <c r="E45" s="298" t="s">
        <v>1288</v>
      </c>
      <c r="F45" s="298" t="s">
        <v>1289</v>
      </c>
      <c r="G45" s="298" t="s">
        <v>1290</v>
      </c>
      <c r="H45" s="298" t="s">
        <v>1291</v>
      </c>
      <c r="I45" s="144" t="s">
        <v>1292</v>
      </c>
      <c r="J45" s="144" t="s">
        <v>1293</v>
      </c>
      <c r="K45" s="13" t="str">
        <f t="shared" ref="K45:K60" si="0">A45</f>
        <v>Line</v>
      </c>
    </row>
    <row r="46" spans="1:11">
      <c r="A46" s="379">
        <v>400</v>
      </c>
      <c r="B46" s="299" t="s">
        <v>1876</v>
      </c>
      <c r="C46" s="299"/>
      <c r="D46" s="300"/>
      <c r="E46" s="201">
        <f>+E8</f>
        <v>26416693</v>
      </c>
      <c r="F46" s="280"/>
      <c r="G46" s="304">
        <f>+G47+F47-G58</f>
        <v>365</v>
      </c>
      <c r="H46" s="301">
        <f>1</f>
        <v>1</v>
      </c>
      <c r="I46" s="302"/>
      <c r="J46" s="457">
        <f>+E46</f>
        <v>26416693</v>
      </c>
      <c r="K46" s="379">
        <f t="shared" si="0"/>
        <v>400</v>
      </c>
    </row>
    <row r="47" spans="1:11">
      <c r="A47" s="379">
        <f t="shared" ref="A47:A60" si="1">A46+1</f>
        <v>401</v>
      </c>
      <c r="B47" s="299" t="s">
        <v>472</v>
      </c>
      <c r="C47" s="143">
        <f>'1-BaseTRR'!$G$2</f>
        <v>2020</v>
      </c>
      <c r="D47" s="201">
        <f t="shared" ref="D47:D58" si="2">($D$7-$E$8)/12</f>
        <v>-156453.08333333334</v>
      </c>
      <c r="E47" s="201">
        <f t="shared" ref="E47:E58" si="3">E46+D47</f>
        <v>26260239.916666668</v>
      </c>
      <c r="F47" s="304">
        <v>31</v>
      </c>
      <c r="G47" s="304">
        <f t="shared" ref="G47:G56" si="4">+G48+F48</f>
        <v>335</v>
      </c>
      <c r="H47" s="301">
        <f>G47/G46</f>
        <v>0.9178082191780822</v>
      </c>
      <c r="I47" s="475">
        <f t="shared" ref="I47:I58" si="5">D47*H47</f>
        <v>-143593.92579908678</v>
      </c>
      <c r="J47" s="30">
        <f t="shared" ref="J47:J58" si="6">J46+I47</f>
        <v>26273099.074200913</v>
      </c>
      <c r="K47" s="379">
        <f t="shared" si="0"/>
        <v>401</v>
      </c>
    </row>
    <row r="48" spans="1:11">
      <c r="A48" s="379">
        <f t="shared" si="1"/>
        <v>402</v>
      </c>
      <c r="B48" s="299" t="s">
        <v>473</v>
      </c>
      <c r="C48" s="143">
        <f>'1-BaseTRR'!$G$2</f>
        <v>2020</v>
      </c>
      <c r="D48" s="201">
        <f t="shared" si="2"/>
        <v>-156453.08333333334</v>
      </c>
      <c r="E48" s="201">
        <f t="shared" si="3"/>
        <v>26103786.833333336</v>
      </c>
      <c r="F48" s="305">
        <v>28</v>
      </c>
      <c r="G48" s="304">
        <f t="shared" si="4"/>
        <v>307</v>
      </c>
      <c r="H48" s="301">
        <f>G48/G46</f>
        <v>0.84109589041095889</v>
      </c>
      <c r="I48" s="475">
        <f t="shared" si="5"/>
        <v>-131592.04543378996</v>
      </c>
      <c r="J48" s="30">
        <f t="shared" si="6"/>
        <v>26141507.028767124</v>
      </c>
      <c r="K48" s="379">
        <f t="shared" si="0"/>
        <v>402</v>
      </c>
    </row>
    <row r="49" spans="1:11">
      <c r="A49" s="379">
        <f t="shared" si="1"/>
        <v>403</v>
      </c>
      <c r="B49" s="299" t="s">
        <v>474</v>
      </c>
      <c r="C49" s="143">
        <f>'1-BaseTRR'!$G$2</f>
        <v>2020</v>
      </c>
      <c r="D49" s="201">
        <f t="shared" si="2"/>
        <v>-156453.08333333334</v>
      </c>
      <c r="E49" s="201">
        <f t="shared" si="3"/>
        <v>25947333.750000004</v>
      </c>
      <c r="F49" s="304">
        <v>31</v>
      </c>
      <c r="G49" s="304">
        <f t="shared" si="4"/>
        <v>276</v>
      </c>
      <c r="H49" s="301">
        <f>G49/G46</f>
        <v>0.75616438356164384</v>
      </c>
      <c r="I49" s="475">
        <f t="shared" si="5"/>
        <v>-118304.2493150685</v>
      </c>
      <c r="J49" s="30">
        <f t="shared" si="6"/>
        <v>26023202.779452056</v>
      </c>
      <c r="K49" s="379">
        <f t="shared" si="0"/>
        <v>403</v>
      </c>
    </row>
    <row r="50" spans="1:11">
      <c r="A50" s="379">
        <f t="shared" si="1"/>
        <v>404</v>
      </c>
      <c r="B50" s="299" t="s">
        <v>475</v>
      </c>
      <c r="C50" s="143">
        <f>'1-BaseTRR'!$G$2</f>
        <v>2020</v>
      </c>
      <c r="D50" s="201">
        <f t="shared" si="2"/>
        <v>-156453.08333333334</v>
      </c>
      <c r="E50" s="201">
        <f t="shared" si="3"/>
        <v>25790880.666666672</v>
      </c>
      <c r="F50" s="304">
        <v>30</v>
      </c>
      <c r="G50" s="304">
        <f t="shared" si="4"/>
        <v>246</v>
      </c>
      <c r="H50" s="301">
        <f>G50/G46</f>
        <v>0.67397260273972603</v>
      </c>
      <c r="I50" s="475">
        <f t="shared" si="5"/>
        <v>-105445.09178082192</v>
      </c>
      <c r="J50" s="30">
        <f t="shared" si="6"/>
        <v>25917757.687671233</v>
      </c>
      <c r="K50" s="379">
        <f t="shared" si="0"/>
        <v>404</v>
      </c>
    </row>
    <row r="51" spans="1:11">
      <c r="A51" s="379">
        <f t="shared" si="1"/>
        <v>405</v>
      </c>
      <c r="B51" s="299" t="s">
        <v>437</v>
      </c>
      <c r="C51" s="143">
        <f>'1-BaseTRR'!$G$2</f>
        <v>2020</v>
      </c>
      <c r="D51" s="201">
        <f t="shared" si="2"/>
        <v>-156453.08333333334</v>
      </c>
      <c r="E51" s="201">
        <f t="shared" si="3"/>
        <v>25634427.58333334</v>
      </c>
      <c r="F51" s="304">
        <v>31</v>
      </c>
      <c r="G51" s="304">
        <f t="shared" si="4"/>
        <v>215</v>
      </c>
      <c r="H51" s="301">
        <f>G51/G46</f>
        <v>0.58904109589041098</v>
      </c>
      <c r="I51" s="475">
        <f t="shared" si="5"/>
        <v>-92157.295662100471</v>
      </c>
      <c r="J51" s="30">
        <f t="shared" si="6"/>
        <v>25825600.392009132</v>
      </c>
      <c r="K51" s="379">
        <f t="shared" si="0"/>
        <v>405</v>
      </c>
    </row>
    <row r="52" spans="1:11">
      <c r="A52" s="379">
        <f t="shared" si="1"/>
        <v>406</v>
      </c>
      <c r="B52" s="299" t="s">
        <v>592</v>
      </c>
      <c r="C52" s="143">
        <f>'1-BaseTRR'!$G$2</f>
        <v>2020</v>
      </c>
      <c r="D52" s="201">
        <f t="shared" si="2"/>
        <v>-156453.08333333334</v>
      </c>
      <c r="E52" s="201">
        <f t="shared" si="3"/>
        <v>25477974.500000007</v>
      </c>
      <c r="F52" s="304">
        <v>30</v>
      </c>
      <c r="G52" s="304">
        <f t="shared" si="4"/>
        <v>185</v>
      </c>
      <c r="H52" s="301">
        <f>G52/G46</f>
        <v>0.50684931506849318</v>
      </c>
      <c r="I52" s="475">
        <f t="shared" si="5"/>
        <v>-79298.13812785389</v>
      </c>
      <c r="J52" s="30">
        <f t="shared" si="6"/>
        <v>25746302.253881279</v>
      </c>
      <c r="K52" s="379">
        <f t="shared" si="0"/>
        <v>406</v>
      </c>
    </row>
    <row r="53" spans="1:11">
      <c r="A53" s="379">
        <f t="shared" si="1"/>
        <v>407</v>
      </c>
      <c r="B53" s="299" t="s">
        <v>477</v>
      </c>
      <c r="C53" s="143">
        <f>'1-BaseTRR'!$G$2</f>
        <v>2020</v>
      </c>
      <c r="D53" s="201">
        <f t="shared" si="2"/>
        <v>-156453.08333333334</v>
      </c>
      <c r="E53" s="201">
        <f t="shared" si="3"/>
        <v>25321521.416666675</v>
      </c>
      <c r="F53" s="304">
        <v>31</v>
      </c>
      <c r="G53" s="304">
        <f t="shared" si="4"/>
        <v>154</v>
      </c>
      <c r="H53" s="301">
        <f>G53/G46</f>
        <v>0.42191780821917807</v>
      </c>
      <c r="I53" s="475">
        <f t="shared" si="5"/>
        <v>-66010.342009132422</v>
      </c>
      <c r="J53" s="30">
        <f t="shared" si="6"/>
        <v>25680291.911872149</v>
      </c>
      <c r="K53" s="379">
        <f t="shared" si="0"/>
        <v>407</v>
      </c>
    </row>
    <row r="54" spans="1:11">
      <c r="A54" s="379">
        <f t="shared" si="1"/>
        <v>408</v>
      </c>
      <c r="B54" s="299" t="s">
        <v>478</v>
      </c>
      <c r="C54" s="143">
        <f>'1-BaseTRR'!$G$2</f>
        <v>2020</v>
      </c>
      <c r="D54" s="201">
        <f t="shared" si="2"/>
        <v>-156453.08333333334</v>
      </c>
      <c r="E54" s="201">
        <f t="shared" si="3"/>
        <v>25165068.333333343</v>
      </c>
      <c r="F54" s="304">
        <v>31</v>
      </c>
      <c r="G54" s="304">
        <f t="shared" si="4"/>
        <v>123</v>
      </c>
      <c r="H54" s="301">
        <f>G54/G46</f>
        <v>0.33698630136986302</v>
      </c>
      <c r="I54" s="475">
        <f t="shared" si="5"/>
        <v>-52722.545890410962</v>
      </c>
      <c r="J54" s="30">
        <f t="shared" si="6"/>
        <v>25627569.365981739</v>
      </c>
      <c r="K54" s="379">
        <f t="shared" si="0"/>
        <v>408</v>
      </c>
    </row>
    <row r="55" spans="1:11">
      <c r="A55" s="379">
        <f t="shared" si="1"/>
        <v>409</v>
      </c>
      <c r="B55" s="299" t="s">
        <v>480</v>
      </c>
      <c r="C55" s="143">
        <f>'1-BaseTRR'!$G$2</f>
        <v>2020</v>
      </c>
      <c r="D55" s="201">
        <f t="shared" si="2"/>
        <v>-156453.08333333334</v>
      </c>
      <c r="E55" s="201">
        <f t="shared" si="3"/>
        <v>25008615.250000011</v>
      </c>
      <c r="F55" s="304">
        <v>30</v>
      </c>
      <c r="G55" s="304">
        <f t="shared" si="4"/>
        <v>93</v>
      </c>
      <c r="H55" s="301">
        <f>G55/G46</f>
        <v>0.25479452054794521</v>
      </c>
      <c r="I55" s="475">
        <f t="shared" si="5"/>
        <v>-39863.388356164389</v>
      </c>
      <c r="J55" s="30">
        <f t="shared" si="6"/>
        <v>25587705.977625575</v>
      </c>
      <c r="K55" s="379">
        <f t="shared" si="0"/>
        <v>409</v>
      </c>
    </row>
    <row r="56" spans="1:11">
      <c r="A56" s="379">
        <f t="shared" si="1"/>
        <v>410</v>
      </c>
      <c r="B56" s="299" t="s">
        <v>481</v>
      </c>
      <c r="C56" s="143">
        <f>'1-BaseTRR'!$G$2</f>
        <v>2020</v>
      </c>
      <c r="D56" s="201">
        <f t="shared" si="2"/>
        <v>-156453.08333333334</v>
      </c>
      <c r="E56" s="201">
        <f t="shared" si="3"/>
        <v>24852162.166666679</v>
      </c>
      <c r="F56" s="304">
        <v>31</v>
      </c>
      <c r="G56" s="304">
        <f t="shared" si="4"/>
        <v>62</v>
      </c>
      <c r="H56" s="301">
        <f>G56/G46</f>
        <v>0.16986301369863013</v>
      </c>
      <c r="I56" s="475">
        <f t="shared" si="5"/>
        <v>-26575.592237442925</v>
      </c>
      <c r="J56" s="30">
        <f t="shared" si="6"/>
        <v>25561130.385388132</v>
      </c>
      <c r="K56" s="379">
        <f t="shared" si="0"/>
        <v>410</v>
      </c>
    </row>
    <row r="57" spans="1:11">
      <c r="A57" s="379">
        <f t="shared" si="1"/>
        <v>411</v>
      </c>
      <c r="B57" s="299" t="s">
        <v>482</v>
      </c>
      <c r="C57" s="143">
        <f>'1-BaseTRR'!$G$2</f>
        <v>2020</v>
      </c>
      <c r="D57" s="201">
        <f t="shared" si="2"/>
        <v>-156453.08333333334</v>
      </c>
      <c r="E57" s="201">
        <f t="shared" si="3"/>
        <v>24695709.083333347</v>
      </c>
      <c r="F57" s="304">
        <v>30</v>
      </c>
      <c r="G57" s="304">
        <f>+G58+F58</f>
        <v>32</v>
      </c>
      <c r="H57" s="301">
        <f>G57/G46</f>
        <v>8.7671232876712329E-2</v>
      </c>
      <c r="I57" s="475">
        <f t="shared" si="5"/>
        <v>-13716.434703196348</v>
      </c>
      <c r="J57" s="30">
        <f t="shared" si="6"/>
        <v>25547413.950684935</v>
      </c>
      <c r="K57" s="379">
        <f t="shared" si="0"/>
        <v>411</v>
      </c>
    </row>
    <row r="58" spans="1:11">
      <c r="A58" s="379">
        <f t="shared" si="1"/>
        <v>412</v>
      </c>
      <c r="B58" s="299" t="s">
        <v>470</v>
      </c>
      <c r="C58" s="143">
        <f>'1-BaseTRR'!$G$2</f>
        <v>2020</v>
      </c>
      <c r="D58" s="201">
        <f t="shared" si="2"/>
        <v>-156453.08333333334</v>
      </c>
      <c r="E58" s="201">
        <f t="shared" si="3"/>
        <v>24539256.000000015</v>
      </c>
      <c r="F58" s="304">
        <v>31</v>
      </c>
      <c r="G58" s="305">
        <v>1</v>
      </c>
      <c r="H58" s="301">
        <f>G58/G46</f>
        <v>2.7397260273972603E-3</v>
      </c>
      <c r="I58" s="475">
        <f t="shared" si="5"/>
        <v>-428.63858447488587</v>
      </c>
      <c r="J58" s="476">
        <f t="shared" si="6"/>
        <v>25546985.312100459</v>
      </c>
      <c r="K58" s="379">
        <f t="shared" si="0"/>
        <v>412</v>
      </c>
    </row>
    <row r="59" spans="1:11">
      <c r="A59" s="379">
        <f t="shared" si="1"/>
        <v>413</v>
      </c>
      <c r="B59" s="299" t="s">
        <v>1877</v>
      </c>
      <c r="C59" s="299"/>
      <c r="D59" s="303"/>
      <c r="E59" s="201">
        <f>+D7</f>
        <v>24539256</v>
      </c>
      <c r="F59" s="280"/>
      <c r="G59" s="280"/>
      <c r="H59" s="280"/>
      <c r="I59" s="18"/>
      <c r="J59" s="199"/>
      <c r="K59" s="379">
        <f t="shared" si="0"/>
        <v>413</v>
      </c>
    </row>
    <row r="60" spans="1:11">
      <c r="A60" s="379">
        <f t="shared" si="1"/>
        <v>414</v>
      </c>
      <c r="B60" s="170"/>
      <c r="C60" s="170"/>
      <c r="D60" s="284"/>
      <c r="E60" s="284"/>
      <c r="F60" s="280"/>
      <c r="G60" s="280"/>
      <c r="H60" s="280"/>
      <c r="I60" s="353" t="s">
        <v>1295</v>
      </c>
      <c r="J60" s="469">
        <f>+J58</f>
        <v>25546985.312100459</v>
      </c>
      <c r="K60" s="379">
        <f t="shared" si="0"/>
        <v>414</v>
      </c>
    </row>
    <row r="61" spans="1:11">
      <c r="A61" s="379"/>
      <c r="B61" s="170"/>
      <c r="C61" s="170"/>
      <c r="D61" s="284"/>
      <c r="E61" s="284"/>
      <c r="F61" s="280"/>
      <c r="G61" s="280"/>
      <c r="H61" s="280"/>
      <c r="I61" s="306"/>
      <c r="J61" s="198"/>
      <c r="K61" s="379"/>
    </row>
    <row r="62" spans="1:11">
      <c r="A62" s="379"/>
      <c r="C62" s="170"/>
      <c r="D62" s="352"/>
      <c r="E62" s="352"/>
      <c r="F62" s="279"/>
      <c r="G62" s="279"/>
      <c r="H62" s="351"/>
      <c r="I62" s="302"/>
      <c r="J62" s="379"/>
    </row>
    <row r="63" spans="1:11">
      <c r="B63" s="197" t="s">
        <v>304</v>
      </c>
    </row>
    <row r="64" spans="1:11">
      <c r="B64" t="s">
        <v>1878</v>
      </c>
    </row>
    <row r="65" spans="2:10">
      <c r="B65" t="s">
        <v>1879</v>
      </c>
    </row>
    <row r="66" spans="2:10">
      <c r="B66" t="s">
        <v>1880</v>
      </c>
    </row>
    <row r="67" spans="2:10">
      <c r="B67" s="806" t="s">
        <v>1881</v>
      </c>
      <c r="C67" s="806"/>
      <c r="D67" s="806"/>
      <c r="E67" s="806"/>
      <c r="F67" s="806"/>
      <c r="G67" s="806"/>
      <c r="H67" s="806"/>
      <c r="I67" s="806"/>
      <c r="J67" s="17"/>
    </row>
    <row r="68" spans="2:10">
      <c r="B68" s="806" t="s">
        <v>1882</v>
      </c>
      <c r="C68" s="806"/>
      <c r="D68" s="806"/>
      <c r="E68" s="806"/>
      <c r="F68" s="806"/>
      <c r="G68" s="806"/>
      <c r="H68" s="806"/>
      <c r="I68" s="806"/>
      <c r="J68" s="17"/>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56"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H69"/>
  <sheetViews>
    <sheetView tabSelected="1" view="pageBreakPreview" topLeftCell="A50" zoomScaleNormal="85" zoomScaleSheetLayoutView="100" workbookViewId="0">
      <selection activeCell="E21" sqref="E21"/>
    </sheetView>
  </sheetViews>
  <sheetFormatPr defaultColWidth="9.1796875" defaultRowHeight="14.5"/>
  <cols>
    <col min="1" max="1" width="4.7265625" bestFit="1" customWidth="1"/>
    <col min="2" max="2" width="68.26953125" customWidth="1"/>
    <col min="3" max="3" width="18.81640625" customWidth="1"/>
    <col min="4" max="4" width="55.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9.453125" bestFit="1" customWidth="1"/>
  </cols>
  <sheetData>
    <row r="1" spans="1:6">
      <c r="B1" s="12" t="s">
        <v>62</v>
      </c>
      <c r="D1" s="15"/>
      <c r="E1" s="15" t="str">
        <f>CONCATENATE("Prior Year: ",'1-BaseTRR'!$G$2)</f>
        <v>Prior Year: 2020</v>
      </c>
    </row>
    <row r="2" spans="1:6">
      <c r="B2" s="113" t="s">
        <v>130</v>
      </c>
    </row>
    <row r="4" spans="1:6">
      <c r="A4" s="13" t="s">
        <v>99</v>
      </c>
      <c r="B4" s="13" t="s">
        <v>6</v>
      </c>
      <c r="C4" s="13" t="s">
        <v>1424</v>
      </c>
      <c r="D4" s="13" t="s">
        <v>655</v>
      </c>
      <c r="E4" s="13" t="s">
        <v>135</v>
      </c>
      <c r="F4" s="13" t="str">
        <f>A4</f>
        <v>Line</v>
      </c>
    </row>
    <row r="5" spans="1:6">
      <c r="B5" s="52" t="s">
        <v>1883</v>
      </c>
      <c r="C5" s="219"/>
      <c r="D5" s="219"/>
      <c r="E5" s="219"/>
    </row>
    <row r="6" spans="1:6">
      <c r="A6" s="8">
        <v>100</v>
      </c>
      <c r="B6" t="s">
        <v>1884</v>
      </c>
      <c r="C6" s="344">
        <v>2262221696</v>
      </c>
      <c r="D6" s="6" t="s">
        <v>1885</v>
      </c>
      <c r="F6" s="8">
        <f>A6</f>
        <v>100</v>
      </c>
    </row>
    <row r="7" spans="1:6">
      <c r="A7" s="8">
        <f>A6+1</f>
        <v>101</v>
      </c>
      <c r="B7" t="s">
        <v>1886</v>
      </c>
      <c r="C7" s="344">
        <v>326474521</v>
      </c>
      <c r="D7" s="6" t="s">
        <v>1887</v>
      </c>
      <c r="F7" s="8">
        <f>A7</f>
        <v>101</v>
      </c>
    </row>
    <row r="8" spans="1:6">
      <c r="A8" s="8">
        <f>A7+1</f>
        <v>102</v>
      </c>
      <c r="B8" t="s">
        <v>1888</v>
      </c>
      <c r="C8" s="344">
        <v>155250291</v>
      </c>
      <c r="D8" s="6" t="s">
        <v>1889</v>
      </c>
      <c r="F8" s="8">
        <f>A8</f>
        <v>102</v>
      </c>
    </row>
    <row r="9" spans="1:6">
      <c r="A9" s="8">
        <f>A8+1</f>
        <v>103</v>
      </c>
      <c r="B9" t="s">
        <v>1890</v>
      </c>
      <c r="C9" s="344">
        <v>-61334400</v>
      </c>
      <c r="D9" s="6" t="s">
        <v>1891</v>
      </c>
      <c r="F9" s="8">
        <f>A9</f>
        <v>103</v>
      </c>
    </row>
    <row r="10" spans="1:6">
      <c r="A10" s="8">
        <f>A9+1</f>
        <v>104</v>
      </c>
      <c r="B10" s="12" t="s">
        <v>1892</v>
      </c>
      <c r="C10" s="345">
        <f>C6-C7-C8+C9</f>
        <v>1719162484</v>
      </c>
      <c r="D10" s="3" t="s">
        <v>1893</v>
      </c>
      <c r="F10" s="8">
        <f>A10</f>
        <v>104</v>
      </c>
    </row>
    <row r="11" spans="1:6">
      <c r="A11" s="8"/>
      <c r="C11" s="30"/>
      <c r="D11" s="6"/>
      <c r="F11" s="8"/>
    </row>
    <row r="12" spans="1:6">
      <c r="A12" s="8">
        <f>A10+1</f>
        <v>105</v>
      </c>
      <c r="B12" t="s">
        <v>1894</v>
      </c>
      <c r="C12" s="344">
        <v>1581939785</v>
      </c>
      <c r="D12" s="6" t="s">
        <v>1895</v>
      </c>
      <c r="F12" s="8">
        <f>A12</f>
        <v>105</v>
      </c>
    </row>
    <row r="13" spans="1:6">
      <c r="A13" s="8">
        <f>A12+1</f>
        <v>106</v>
      </c>
      <c r="B13" t="s">
        <v>1896</v>
      </c>
      <c r="C13" s="30">
        <f>C7</f>
        <v>326474521</v>
      </c>
      <c r="D13" s="3" t="str">
        <f>"Line "&amp;A7&amp;""</f>
        <v>Line 101</v>
      </c>
      <c r="F13" s="8">
        <f>A13</f>
        <v>106</v>
      </c>
    </row>
    <row r="14" spans="1:6">
      <c r="A14" s="8">
        <f>A13+1</f>
        <v>107</v>
      </c>
      <c r="B14" t="s">
        <v>1890</v>
      </c>
      <c r="C14" s="344">
        <v>-54727782</v>
      </c>
      <c r="D14" s="6" t="s">
        <v>1897</v>
      </c>
      <c r="F14" s="8">
        <f>A14</f>
        <v>107</v>
      </c>
    </row>
    <row r="15" spans="1:6">
      <c r="A15" s="8">
        <f>A14+1</f>
        <v>108</v>
      </c>
      <c r="B15" s="12" t="s">
        <v>1898</v>
      </c>
      <c r="C15" s="345">
        <f>C12-C13+C14</f>
        <v>1200737482</v>
      </c>
      <c r="D15" s="3" t="str">
        <f>"Line "&amp;A12&amp;" - Line "&amp;A13&amp;" + Line "&amp;A14&amp;""</f>
        <v>Line 105 - Line 106 + Line 107</v>
      </c>
      <c r="F15" s="8">
        <f>A15</f>
        <v>108</v>
      </c>
    </row>
    <row r="16" spans="1:6">
      <c r="A16" s="8"/>
      <c r="D16" s="6"/>
      <c r="F16" s="8"/>
    </row>
    <row r="17" spans="1:6">
      <c r="A17" s="8">
        <f>A15+1</f>
        <v>109</v>
      </c>
      <c r="B17" s="12" t="s">
        <v>1899</v>
      </c>
      <c r="C17" s="363">
        <f>C15/C10</f>
        <v>0.69844327873315781</v>
      </c>
      <c r="D17" s="3" t="str">
        <f>"Line "&amp;A15&amp;" / Line "&amp;A10&amp;""</f>
        <v>Line 108 / Line 104</v>
      </c>
      <c r="F17" s="8">
        <f>A17</f>
        <v>109</v>
      </c>
    </row>
    <row r="18" spans="1:6">
      <c r="F18" s="8"/>
    </row>
    <row r="19" spans="1:6">
      <c r="B19" s="52" t="s">
        <v>1900</v>
      </c>
      <c r="C19" s="219"/>
      <c r="D19" s="219"/>
      <c r="E19" s="219"/>
      <c r="F19" s="8"/>
    </row>
    <row r="20" spans="1:6">
      <c r="A20" s="8">
        <f>A17+1</f>
        <v>110</v>
      </c>
      <c r="B20" t="s">
        <v>1898</v>
      </c>
      <c r="C20" s="30">
        <f>C15</f>
        <v>1200737482</v>
      </c>
      <c r="D20" s="3" t="str">
        <f>"Line "&amp;A15&amp;""</f>
        <v>Line 108</v>
      </c>
      <c r="F20" s="8">
        <f>A20</f>
        <v>110</v>
      </c>
    </row>
    <row r="21" spans="1:6">
      <c r="A21" s="8">
        <f>A20+1</f>
        <v>111</v>
      </c>
      <c r="B21" t="s">
        <v>1901</v>
      </c>
      <c r="C21" s="742">
        <f>'18-OandM'!N10</f>
        <v>163914585.51340741</v>
      </c>
      <c r="D21" s="3" t="s">
        <v>1902</v>
      </c>
      <c r="F21" s="8">
        <f>A21</f>
        <v>111</v>
      </c>
    </row>
    <row r="22" spans="1:6">
      <c r="A22" s="8"/>
      <c r="D22" s="6"/>
      <c r="F22" s="8"/>
    </row>
    <row r="23" spans="1:6">
      <c r="A23" s="8">
        <f>A21+1</f>
        <v>112</v>
      </c>
      <c r="B23" s="12" t="s">
        <v>1903</v>
      </c>
      <c r="C23" s="363">
        <f>C21/C20</f>
        <v>0.13651159222612441</v>
      </c>
      <c r="D23" s="3" t="str">
        <f>"Line "&amp;A21&amp;" / Line "&amp;A20&amp;""</f>
        <v>Line 111 / Line 110</v>
      </c>
      <c r="F23" s="8">
        <f>A23</f>
        <v>112</v>
      </c>
    </row>
    <row r="24" spans="1:6">
      <c r="A24" s="8">
        <f>+A23+1</f>
        <v>113</v>
      </c>
      <c r="B24" s="12" t="s">
        <v>1904</v>
      </c>
      <c r="C24" s="360">
        <f>C21/C10</f>
        <v>9.5345604059498199E-2</v>
      </c>
      <c r="D24" s="3" t="str">
        <f>"Line "&amp;A21&amp;" / Line "&amp;A10&amp;""</f>
        <v>Line 111 / Line 104</v>
      </c>
      <c r="F24" s="8">
        <f>A24</f>
        <v>113</v>
      </c>
    </row>
    <row r="25" spans="1:6">
      <c r="A25" s="8"/>
      <c r="B25" s="12"/>
      <c r="C25" s="360"/>
      <c r="F25" s="8"/>
    </row>
    <row r="26" spans="1:6">
      <c r="B26" s="52" t="s">
        <v>1905</v>
      </c>
      <c r="C26" s="219"/>
      <c r="D26" s="219"/>
      <c r="E26" s="219"/>
      <c r="F26" s="362"/>
    </row>
    <row r="27" spans="1:6">
      <c r="A27" s="8">
        <f>A24+1</f>
        <v>114</v>
      </c>
      <c r="B27" s="17" t="s">
        <v>1906</v>
      </c>
      <c r="C27" s="30">
        <f>+'7-PlantInService'!$P$24+'7-PlantInService'!$D$128</f>
        <v>15066121061.983534</v>
      </c>
      <c r="D27" s="209" t="s">
        <v>1907</v>
      </c>
      <c r="E27" s="441" t="s">
        <v>1908</v>
      </c>
      <c r="F27" s="8">
        <f>+A27</f>
        <v>114</v>
      </c>
    </row>
    <row r="28" spans="1:6">
      <c r="A28" s="8">
        <f>+A27+1</f>
        <v>115</v>
      </c>
      <c r="B28" s="17" t="s">
        <v>1909</v>
      </c>
      <c r="C28" s="531">
        <v>93627195119</v>
      </c>
      <c r="D28" s="6" t="s">
        <v>1910</v>
      </c>
      <c r="E28" s="441" t="s">
        <v>1908</v>
      </c>
      <c r="F28" s="8">
        <f>+A28</f>
        <v>115</v>
      </c>
    </row>
    <row r="29" spans="1:6">
      <c r="A29" s="8">
        <f>+A28+1</f>
        <v>116</v>
      </c>
      <c r="B29" s="12" t="s">
        <v>1911</v>
      </c>
      <c r="C29" s="232">
        <f>+C27/C28</f>
        <v>0.16091607831287183</v>
      </c>
      <c r="D29" s="3" t="str">
        <f>"Line "&amp;A27&amp;" / Line "&amp;A28&amp;""</f>
        <v>Line 114 / Line 115</v>
      </c>
      <c r="F29" s="8">
        <f>+A29</f>
        <v>116</v>
      </c>
    </row>
    <row r="30" spans="1:6">
      <c r="A30" s="8"/>
      <c r="C30" s="27"/>
      <c r="D30" s="3"/>
      <c r="F30" s="8"/>
    </row>
    <row r="31" spans="1:6">
      <c r="A31" s="8">
        <f>+A29+1</f>
        <v>117</v>
      </c>
      <c r="B31" s="17" t="s">
        <v>1906</v>
      </c>
      <c r="C31" s="30">
        <f>+'7-PlantInService'!$P$24+'7-PlantInService'!$D$128</f>
        <v>15066121061.983534</v>
      </c>
      <c r="D31" s="209" t="s">
        <v>1907</v>
      </c>
      <c r="E31" s="441" t="s">
        <v>1908</v>
      </c>
      <c r="F31" s="8">
        <f>+A31</f>
        <v>117</v>
      </c>
    </row>
    <row r="32" spans="1:6">
      <c r="A32" s="8">
        <f>+A31+1</f>
        <v>118</v>
      </c>
      <c r="B32" s="17" t="s">
        <v>1912</v>
      </c>
      <c r="C32" s="531">
        <v>69890945757.882477</v>
      </c>
      <c r="D32" s="6" t="s">
        <v>1913</v>
      </c>
      <c r="E32" s="441" t="s">
        <v>1908</v>
      </c>
      <c r="F32" s="8">
        <f>+A32</f>
        <v>118</v>
      </c>
    </row>
    <row r="33" spans="1:8">
      <c r="A33" s="8">
        <f>+A32+1</f>
        <v>119</v>
      </c>
      <c r="B33" s="12" t="s">
        <v>1914</v>
      </c>
      <c r="C33" s="232">
        <f>+C31/C32</f>
        <v>0.21556613519261669</v>
      </c>
      <c r="D33" s="3" t="str">
        <f>"Line "&amp;A31&amp;" / Line "&amp;A32&amp;""</f>
        <v>Line 117 / Line 118</v>
      </c>
      <c r="F33" s="8">
        <f>+A33</f>
        <v>119</v>
      </c>
    </row>
    <row r="34" spans="1:8">
      <c r="A34" s="8"/>
      <c r="C34" s="27"/>
      <c r="D34" s="3"/>
      <c r="F34" s="8"/>
    </row>
    <row r="35" spans="1:8">
      <c r="A35" s="8">
        <f>+A33+1</f>
        <v>120</v>
      </c>
      <c r="B35" s="17" t="s">
        <v>1915</v>
      </c>
      <c r="C35" s="30">
        <f>'7-PlantInService'!$P$24</f>
        <v>13772414947.125883</v>
      </c>
      <c r="D35" s="3" t="s">
        <v>138</v>
      </c>
      <c r="F35" s="8">
        <f>+A35</f>
        <v>120</v>
      </c>
    </row>
    <row r="36" spans="1:8">
      <c r="A36" s="8">
        <f>+A35+1</f>
        <v>121</v>
      </c>
      <c r="B36" s="17" t="s">
        <v>1916</v>
      </c>
      <c r="C36" s="30">
        <f>'6-PlantJurisdiction'!D24+'6-PlantJurisdiction'!F24</f>
        <v>14500298083.389999</v>
      </c>
      <c r="D36" s="3" t="s">
        <v>1917</v>
      </c>
      <c r="F36" s="8">
        <f>+A36</f>
        <v>121</v>
      </c>
    </row>
    <row r="37" spans="1:8">
      <c r="A37" s="8">
        <f>+A36+1</f>
        <v>122</v>
      </c>
      <c r="B37" s="200" t="s">
        <v>1918</v>
      </c>
      <c r="C37" s="232">
        <f>C35/C36</f>
        <v>0.94980219495639873</v>
      </c>
      <c r="D37" s="3" t="str">
        <f>"Line "&amp;A35&amp;" / Line "&amp;A36&amp;""</f>
        <v>Line 120 / Line 121</v>
      </c>
      <c r="F37" s="8">
        <f>+A37</f>
        <v>122</v>
      </c>
    </row>
    <row r="38" spans="1:8">
      <c r="A38" s="8"/>
      <c r="C38" s="27"/>
      <c r="D38" s="17"/>
      <c r="F38" s="8"/>
    </row>
    <row r="39" spans="1:8">
      <c r="B39" s="136" t="s">
        <v>1919</v>
      </c>
      <c r="C39" s="219"/>
      <c r="D39" s="219"/>
      <c r="E39" s="219"/>
      <c r="F39" s="20"/>
    </row>
    <row r="40" spans="1:8">
      <c r="A40" s="8">
        <f>+A37+1</f>
        <v>123</v>
      </c>
      <c r="B40" s="17" t="s">
        <v>1915</v>
      </c>
      <c r="C40" s="30">
        <f>'7-PlantInService'!$P$24</f>
        <v>13772414947.125883</v>
      </c>
      <c r="D40" s="3" t="s">
        <v>138</v>
      </c>
      <c r="E40" s="441" t="s">
        <v>1908</v>
      </c>
      <c r="F40" s="8">
        <f>+A40</f>
        <v>123</v>
      </c>
    </row>
    <row r="41" spans="1:8">
      <c r="A41" s="8">
        <f>+A40+1</f>
        <v>124</v>
      </c>
      <c r="B41" s="17" t="s">
        <v>775</v>
      </c>
      <c r="C41" s="30">
        <f>+'7-PlantInService'!P49</f>
        <v>5968876645.82129</v>
      </c>
      <c r="D41" s="3" t="s">
        <v>1920</v>
      </c>
      <c r="E41" s="441" t="s">
        <v>1908</v>
      </c>
      <c r="F41" s="8">
        <f>+A41</f>
        <v>124</v>
      </c>
    </row>
    <row r="42" spans="1:8">
      <c r="A42" s="8">
        <f>+A41+1</f>
        <v>125</v>
      </c>
      <c r="B42" s="17" t="s">
        <v>776</v>
      </c>
      <c r="C42" s="30">
        <f>+'7-PlantInService'!P74</f>
        <v>7803538301.3045979</v>
      </c>
      <c r="D42" s="3" t="s">
        <v>1921</v>
      </c>
      <c r="E42" s="441" t="s">
        <v>1908</v>
      </c>
      <c r="F42" s="8">
        <f>+A42</f>
        <v>125</v>
      </c>
    </row>
    <row r="43" spans="1:8">
      <c r="A43" s="8">
        <f>+A42+1</f>
        <v>126</v>
      </c>
      <c r="B43" s="200" t="s">
        <v>1922</v>
      </c>
      <c r="C43" s="360">
        <f>+C41/C40</f>
        <v>0.43339361097792906</v>
      </c>
      <c r="D43" s="3" t="str">
        <f>"Line "&amp;A41&amp;" / Line "&amp;A40&amp;""</f>
        <v>Line 124 / Line 123</v>
      </c>
      <c r="F43" s="8">
        <f>+A43</f>
        <v>126</v>
      </c>
    </row>
    <row r="44" spans="1:8">
      <c r="A44" s="8">
        <f>+A43+1</f>
        <v>127</v>
      </c>
      <c r="B44" s="200" t="s">
        <v>1923</v>
      </c>
      <c r="C44" s="360">
        <f>+C42/C40</f>
        <v>0.56660638902207128</v>
      </c>
      <c r="D44" s="3" t="str">
        <f>"Line "&amp;A42&amp;" / Line "&amp;A40&amp;""</f>
        <v>Line 125 / Line 123</v>
      </c>
      <c r="F44" s="8">
        <f>+A44</f>
        <v>127</v>
      </c>
    </row>
    <row r="46" spans="1:8">
      <c r="B46" s="136" t="s">
        <v>1924</v>
      </c>
      <c r="C46" s="219"/>
      <c r="D46" s="219"/>
      <c r="E46" s="219"/>
      <c r="F46" s="20"/>
    </row>
    <row r="47" spans="1:8">
      <c r="A47" s="8">
        <f>+A44+1</f>
        <v>128</v>
      </c>
      <c r="B47" s="17" t="s">
        <v>1925</v>
      </c>
      <c r="C47" s="30">
        <f>+'9-PlantAdditions'!E75</f>
        <v>1208009454.4533863</v>
      </c>
      <c r="D47" s="3" t="s">
        <v>1926</v>
      </c>
      <c r="E47" s="441" t="s">
        <v>1927</v>
      </c>
      <c r="F47" s="8">
        <f t="shared" ref="F47:F53" si="0">+A47</f>
        <v>128</v>
      </c>
      <c r="H47" s="124"/>
    </row>
    <row r="48" spans="1:8">
      <c r="A48" s="8">
        <f t="shared" ref="A48:A53" si="1">+A47+1</f>
        <v>129</v>
      </c>
      <c r="B48" s="17" t="s">
        <v>1928</v>
      </c>
      <c r="C48" s="30">
        <f>+'9-PlantAdditions'!E111</f>
        <v>1659903852.3585658</v>
      </c>
      <c r="D48" s="3" t="s">
        <v>1929</v>
      </c>
      <c r="E48" s="441" t="s">
        <v>1927</v>
      </c>
      <c r="F48" s="8">
        <f t="shared" si="0"/>
        <v>129</v>
      </c>
      <c r="H48" s="28"/>
    </row>
    <row r="49" spans="1:7">
      <c r="A49" s="8">
        <f t="shared" si="1"/>
        <v>130</v>
      </c>
      <c r="B49" s="17" t="s">
        <v>1930</v>
      </c>
      <c r="C49" s="30">
        <f>+C47+C41</f>
        <v>7176886100.2746763</v>
      </c>
      <c r="D49" s="3" t="str">
        <f>"Line "&amp;A41&amp;" + Line "&amp;A47&amp;""</f>
        <v>Line 124 + Line 128</v>
      </c>
      <c r="E49" s="441" t="s">
        <v>1927</v>
      </c>
      <c r="F49" s="8">
        <f t="shared" si="0"/>
        <v>130</v>
      </c>
    </row>
    <row r="50" spans="1:7">
      <c r="A50" s="8">
        <f t="shared" si="1"/>
        <v>131</v>
      </c>
      <c r="B50" s="17" t="s">
        <v>1931</v>
      </c>
      <c r="C50" s="30">
        <f>+C42+C48</f>
        <v>9463442153.6631641</v>
      </c>
      <c r="D50" s="3" t="str">
        <f>"Line "&amp;A42&amp;" + Line "&amp;A48&amp;""</f>
        <v>Line 125 + Line 129</v>
      </c>
      <c r="E50" s="441" t="s">
        <v>1927</v>
      </c>
      <c r="F50" s="8">
        <f t="shared" si="0"/>
        <v>131</v>
      </c>
    </row>
    <row r="51" spans="1:7">
      <c r="A51" s="8">
        <f t="shared" si="1"/>
        <v>132</v>
      </c>
      <c r="B51" s="17" t="s">
        <v>1932</v>
      </c>
      <c r="C51" s="30">
        <f>+C50+C49</f>
        <v>16640328253.93784</v>
      </c>
      <c r="D51" s="6" t="str">
        <f>"Line "&amp;A49&amp;" + Line "&amp;A50&amp;""</f>
        <v>Line 130 + Line 131</v>
      </c>
      <c r="E51" s="441" t="s">
        <v>1927</v>
      </c>
      <c r="F51" s="8">
        <f t="shared" si="0"/>
        <v>132</v>
      </c>
    </row>
    <row r="52" spans="1:7">
      <c r="A52" s="8">
        <f t="shared" si="1"/>
        <v>133</v>
      </c>
      <c r="B52" s="200" t="s">
        <v>1922</v>
      </c>
      <c r="C52" s="360">
        <f>+C49/C51</f>
        <v>0.43129474315365784</v>
      </c>
      <c r="D52" s="3" t="str">
        <f>"Line "&amp;A49&amp;" / Line "&amp;A51&amp;""</f>
        <v>Line 130 / Line 132</v>
      </c>
      <c r="E52" s="441" t="s">
        <v>1927</v>
      </c>
      <c r="F52" s="8">
        <f t="shared" si="0"/>
        <v>133</v>
      </c>
    </row>
    <row r="53" spans="1:7">
      <c r="A53" s="8">
        <f t="shared" si="1"/>
        <v>134</v>
      </c>
      <c r="B53" s="200" t="s">
        <v>1923</v>
      </c>
      <c r="C53" s="360">
        <f>+C50/C51</f>
        <v>0.56870525684634221</v>
      </c>
      <c r="D53" s="3" t="str">
        <f>"Line "&amp;A50&amp;" / Line "&amp;A51&amp;""</f>
        <v>Line 131 / Line 132</v>
      </c>
      <c r="E53" s="441" t="s">
        <v>1927</v>
      </c>
      <c r="F53" s="8">
        <f t="shared" si="0"/>
        <v>134</v>
      </c>
    </row>
    <row r="55" spans="1:7">
      <c r="B55" s="52" t="s">
        <v>1933</v>
      </c>
      <c r="C55" s="361"/>
      <c r="D55" s="219"/>
      <c r="E55" s="219"/>
    </row>
    <row r="56" spans="1:7" ht="29">
      <c r="A56" s="8">
        <f>A53+1</f>
        <v>135</v>
      </c>
      <c r="B56" s="732" t="s">
        <v>1934</v>
      </c>
      <c r="C56" s="360">
        <f>0.6*C24+0.4*C29</f>
        <v>0.12157379376084765</v>
      </c>
      <c r="D56" s="3" t="str">
        <f>"(60% * Line "&amp;A24&amp;") + (40% *Line "&amp;A29&amp;")"</f>
        <v>(60% * Line 113) + (40% *Line 116)</v>
      </c>
      <c r="F56" s="8">
        <f>A56</f>
        <v>135</v>
      </c>
    </row>
    <row r="57" spans="1:7" ht="29">
      <c r="A57" s="8">
        <f>A56+1</f>
        <v>136</v>
      </c>
      <c r="B57" s="732" t="s">
        <v>1935</v>
      </c>
      <c r="C57" s="360">
        <f>0.6*C23+0.4*C33</f>
        <v>0.16813340941272131</v>
      </c>
      <c r="D57" s="3" t="str">
        <f>"(60% * Line "&amp;A23&amp;") + (40% *Line "&amp;A33&amp;")"</f>
        <v>(60% * Line 112) + (40% *Line 119)</v>
      </c>
      <c r="F57" s="8">
        <f>A57</f>
        <v>136</v>
      </c>
      <c r="G57" s="735"/>
    </row>
    <row r="58" spans="1:7">
      <c r="A58" s="8"/>
      <c r="B58" s="12"/>
      <c r="C58" s="360"/>
    </row>
    <row r="59" spans="1:7">
      <c r="A59" s="8"/>
      <c r="B59" s="52" t="s">
        <v>1936</v>
      </c>
      <c r="C59" s="361"/>
      <c r="D59" s="219"/>
      <c r="E59" s="219"/>
    </row>
    <row r="60" spans="1:7">
      <c r="A60" s="8">
        <f>A57+1</f>
        <v>137</v>
      </c>
      <c r="B60" t="s">
        <v>1937</v>
      </c>
      <c r="C60" s="29">
        <f>+'10-AccDep'!P26+'10-AccDep'!D128</f>
        <v>3696530307.2443285</v>
      </c>
      <c r="D60" s="209" t="s">
        <v>1938</v>
      </c>
      <c r="F60" s="8">
        <f>A60</f>
        <v>137</v>
      </c>
    </row>
    <row r="61" spans="1:7">
      <c r="A61" s="8">
        <f>+A60+1</f>
        <v>138</v>
      </c>
      <c r="B61" s="17" t="s">
        <v>1939</v>
      </c>
      <c r="C61" s="344">
        <v>31122225059.321301</v>
      </c>
      <c r="D61" s="6" t="s">
        <v>1940</v>
      </c>
      <c r="F61" s="8">
        <f>A61</f>
        <v>138</v>
      </c>
    </row>
    <row r="62" spans="1:7">
      <c r="A62" s="8">
        <f>+A61+1</f>
        <v>139</v>
      </c>
      <c r="B62" t="s">
        <v>1941</v>
      </c>
      <c r="C62" s="30">
        <f>+C31-C60</f>
        <v>11369590754.739204</v>
      </c>
      <c r="D62" s="6" t="s">
        <v>1942</v>
      </c>
      <c r="F62" s="8">
        <f>A62</f>
        <v>139</v>
      </c>
    </row>
    <row r="63" spans="1:7">
      <c r="A63" s="8">
        <f>+A62+1</f>
        <v>140</v>
      </c>
      <c r="B63" s="17" t="s">
        <v>1943</v>
      </c>
      <c r="C63" s="30">
        <f>+C32-C61</f>
        <v>38768720698.561172</v>
      </c>
      <c r="D63" s="6" t="s">
        <v>1944</v>
      </c>
      <c r="F63" s="8">
        <f>A63</f>
        <v>140</v>
      </c>
    </row>
    <row r="64" spans="1:7">
      <c r="A64" s="8">
        <f>+A63+1</f>
        <v>141</v>
      </c>
      <c r="B64" s="12" t="s">
        <v>1945</v>
      </c>
      <c r="C64" s="360">
        <f>C62/C63</f>
        <v>0.29326711198807148</v>
      </c>
      <c r="D64" s="3" t="s">
        <v>1946</v>
      </c>
      <c r="F64" s="8">
        <f>A64</f>
        <v>141</v>
      </c>
    </row>
    <row r="68" spans="3:3">
      <c r="C68" s="343"/>
    </row>
    <row r="69" spans="3:3">
      <c r="C69" s="343"/>
    </row>
  </sheetData>
  <printOptions horizontalCentered="1"/>
  <pageMargins left="1" right="1" top="1" bottom="1" header="0.5" footer="0.5"/>
  <pageSetup scale="6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G28"/>
  <sheetViews>
    <sheetView tabSelected="1" view="pageBreakPreview" topLeftCell="A7" zoomScaleSheetLayoutView="100" workbookViewId="0">
      <selection activeCell="E21" sqref="E21"/>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s>
  <sheetData>
    <row r="1" spans="1:7">
      <c r="B1" s="12" t="s">
        <v>64</v>
      </c>
      <c r="E1" s="15"/>
      <c r="F1" s="15" t="str">
        <f>CONCATENATE("Prior Year: ",'1-BaseTRR'!$G$2)</f>
        <v>Prior Year: 2020</v>
      </c>
    </row>
    <row r="2" spans="1:7">
      <c r="B2" s="113" t="s">
        <v>130</v>
      </c>
      <c r="C2" s="49"/>
    </row>
    <row r="4" spans="1:7">
      <c r="A4" s="13" t="s">
        <v>99</v>
      </c>
      <c r="G4" s="13" t="str">
        <f>A4</f>
        <v>Line</v>
      </c>
    </row>
    <row r="5" spans="1:7">
      <c r="B5" s="52" t="s">
        <v>1947</v>
      </c>
      <c r="C5" s="219"/>
      <c r="D5" s="219"/>
      <c r="E5" s="219"/>
      <c r="F5" s="219"/>
    </row>
    <row r="6" spans="1:7">
      <c r="B6" s="16" t="s">
        <v>1948</v>
      </c>
      <c r="C6" s="16" t="s">
        <v>1949</v>
      </c>
      <c r="D6" s="16" t="s">
        <v>1950</v>
      </c>
      <c r="E6" s="16" t="s">
        <v>1951</v>
      </c>
      <c r="F6" s="13" t="s">
        <v>655</v>
      </c>
    </row>
    <row r="7" spans="1:7">
      <c r="A7" s="8">
        <v>100</v>
      </c>
      <c r="B7" s="127"/>
      <c r="C7" s="49" t="s">
        <v>1952</v>
      </c>
      <c r="D7" s="49">
        <v>365</v>
      </c>
      <c r="E7" s="365">
        <v>7.2509999999999996E-3</v>
      </c>
      <c r="F7" s="366" t="s">
        <v>1953</v>
      </c>
      <c r="G7" s="8">
        <f>A7</f>
        <v>100</v>
      </c>
    </row>
    <row r="8" spans="1:7">
      <c r="A8" s="8">
        <f>A7+1</f>
        <v>101</v>
      </c>
      <c r="B8" s="364" t="s">
        <v>1771</v>
      </c>
      <c r="C8" s="49"/>
      <c r="D8" s="49"/>
      <c r="E8" s="365"/>
      <c r="F8" s="366"/>
      <c r="G8" s="8">
        <f>A8</f>
        <v>101</v>
      </c>
    </row>
    <row r="9" spans="1:7">
      <c r="A9" s="8"/>
      <c r="G9" s="8"/>
    </row>
    <row r="10" spans="1:7">
      <c r="A10" s="8"/>
      <c r="B10" s="52" t="s">
        <v>1954</v>
      </c>
      <c r="C10" s="219"/>
      <c r="D10" s="219"/>
      <c r="E10" s="219"/>
      <c r="F10" s="219"/>
      <c r="G10" s="8"/>
    </row>
    <row r="11" spans="1:7">
      <c r="A11" s="8"/>
      <c r="B11" s="12" t="s">
        <v>1948</v>
      </c>
      <c r="C11" s="12" t="s">
        <v>1949</v>
      </c>
      <c r="D11" s="12" t="s">
        <v>1950</v>
      </c>
      <c r="E11" s="12" t="s">
        <v>290</v>
      </c>
      <c r="F11" s="12" t="s">
        <v>655</v>
      </c>
      <c r="G11" s="8"/>
    </row>
    <row r="12" spans="1:7">
      <c r="A12" s="8">
        <v>200</v>
      </c>
      <c r="B12" s="127"/>
      <c r="C12" s="49" t="s">
        <v>1952</v>
      </c>
      <c r="D12" s="49">
        <v>365</v>
      </c>
      <c r="E12" s="365">
        <v>2.7184430899152115E-4</v>
      </c>
      <c r="F12" s="366" t="s">
        <v>1955</v>
      </c>
      <c r="G12" s="8">
        <f>A12</f>
        <v>200</v>
      </c>
    </row>
    <row r="13" spans="1:7">
      <c r="A13" s="8">
        <f>A12+1</f>
        <v>201</v>
      </c>
      <c r="B13" s="364" t="s">
        <v>1771</v>
      </c>
      <c r="C13" s="49"/>
      <c r="D13" s="49"/>
      <c r="E13" s="49"/>
      <c r="G13" s="8">
        <f>A13</f>
        <v>201</v>
      </c>
    </row>
    <row r="14" spans="1:7">
      <c r="A14" s="8"/>
      <c r="G14" s="8"/>
    </row>
    <row r="15" spans="1:7">
      <c r="A15" s="8"/>
      <c r="B15" s="52" t="s">
        <v>1956</v>
      </c>
      <c r="C15" s="219"/>
      <c r="D15" s="219"/>
      <c r="E15" s="219"/>
      <c r="F15" s="219"/>
      <c r="G15" s="8"/>
    </row>
    <row r="16" spans="1:7">
      <c r="A16" s="8"/>
      <c r="B16" s="12" t="s">
        <v>1948</v>
      </c>
      <c r="C16" s="12" t="s">
        <v>1949</v>
      </c>
      <c r="D16" s="12" t="s">
        <v>1950</v>
      </c>
      <c r="E16" s="12" t="s">
        <v>1957</v>
      </c>
      <c r="F16" s="12" t="s">
        <v>655</v>
      </c>
      <c r="G16" s="8"/>
    </row>
    <row r="17" spans="1:7">
      <c r="A17" s="8">
        <v>300</v>
      </c>
      <c r="B17" s="127"/>
      <c r="C17" s="49" t="s">
        <v>1952</v>
      </c>
      <c r="D17" s="49">
        <v>365</v>
      </c>
      <c r="E17" s="365">
        <v>3.0104518270731213E-3</v>
      </c>
      <c r="F17" s="366" t="s">
        <v>1958</v>
      </c>
      <c r="G17" s="8">
        <f>A17</f>
        <v>300</v>
      </c>
    </row>
    <row r="18" spans="1:7">
      <c r="A18" s="8">
        <f>A17+1</f>
        <v>301</v>
      </c>
      <c r="B18" s="364" t="s">
        <v>1771</v>
      </c>
      <c r="C18" s="49"/>
      <c r="D18" s="49"/>
      <c r="E18" s="49"/>
      <c r="G18" s="8">
        <f>A18</f>
        <v>301</v>
      </c>
    </row>
    <row r="19" spans="1:7">
      <c r="A19" s="8"/>
      <c r="G19" s="8"/>
    </row>
    <row r="20" spans="1:7">
      <c r="A20" s="8"/>
      <c r="B20" s="52" t="s">
        <v>1959</v>
      </c>
      <c r="C20" s="219"/>
      <c r="D20" s="219"/>
      <c r="E20" s="219"/>
      <c r="F20" s="219"/>
      <c r="G20" s="8"/>
    </row>
    <row r="21" spans="1:7">
      <c r="A21" s="8">
        <v>400</v>
      </c>
      <c r="B21" s="12" t="s">
        <v>1951</v>
      </c>
      <c r="C21" s="12"/>
      <c r="D21" s="12"/>
      <c r="E21" s="19">
        <f>((E7*D7)+(E8*D8))/(D7+D8)</f>
        <v>7.2509999999999996E-3</v>
      </c>
      <c r="F21" s="19"/>
      <c r="G21" s="8">
        <f>A21</f>
        <v>400</v>
      </c>
    </row>
    <row r="22" spans="1:7">
      <c r="A22" s="8">
        <f>A21+1</f>
        <v>401</v>
      </c>
      <c r="B22" s="12" t="s">
        <v>290</v>
      </c>
      <c r="C22" s="12"/>
      <c r="D22" s="12"/>
      <c r="E22" s="19">
        <f>((E12*D12)+(E13*D13))/(D12+D13)</f>
        <v>2.7184430899152115E-4</v>
      </c>
      <c r="F22" s="19"/>
      <c r="G22" s="8">
        <f>A22</f>
        <v>401</v>
      </c>
    </row>
    <row r="23" spans="1:7">
      <c r="A23" s="8">
        <f>A22+1</f>
        <v>402</v>
      </c>
      <c r="B23" s="12" t="s">
        <v>298</v>
      </c>
      <c r="C23" s="12"/>
      <c r="D23" s="12"/>
      <c r="E23" s="19">
        <f>((E17*D17)+(E18*D18))/(D17+D18)</f>
        <v>3.0104518270731213E-3</v>
      </c>
      <c r="F23" s="19"/>
      <c r="G23" s="8">
        <f>A23</f>
        <v>402</v>
      </c>
    </row>
    <row r="28" spans="1:7">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I168"/>
  <sheetViews>
    <sheetView tabSelected="1" view="pageBreakPreview" topLeftCell="A105" zoomScale="80" zoomScaleSheetLayoutView="80" zoomScalePageLayoutView="70" workbookViewId="0">
      <selection activeCell="E21" sqref="E21"/>
    </sheetView>
  </sheetViews>
  <sheetFormatPr defaultColWidth="9.1796875" defaultRowHeight="14.5"/>
  <cols>
    <col min="1" max="1" width="4.7265625" style="8" customWidth="1"/>
    <col min="2" max="2" width="2.1796875" style="8" bestFit="1" customWidth="1"/>
    <col min="3" max="3" width="72.54296875" customWidth="1"/>
    <col min="4" max="4" width="3.7265625" customWidth="1"/>
    <col min="5" max="5" width="19.1796875" bestFit="1" customWidth="1"/>
    <col min="6" max="6" width="37.1796875" bestFit="1" customWidth="1"/>
    <col min="7" max="7" width="26.453125" bestFit="1" customWidth="1"/>
    <col min="8" max="8" width="4.54296875" bestFit="1" customWidth="1"/>
    <col min="9" max="9" width="2.7265625" customWidth="1"/>
  </cols>
  <sheetData>
    <row r="1" spans="1:9">
      <c r="C1" s="12" t="s">
        <v>128</v>
      </c>
      <c r="F1" s="15" t="s">
        <v>129</v>
      </c>
      <c r="G1" s="43">
        <v>2022</v>
      </c>
    </row>
    <row r="2" spans="1:9">
      <c r="A2" s="14"/>
      <c r="B2" s="14"/>
      <c r="C2" s="42" t="s">
        <v>130</v>
      </c>
      <c r="F2" s="15" t="s">
        <v>131</v>
      </c>
      <c r="G2" s="14">
        <f>G1-2</f>
        <v>2020</v>
      </c>
      <c r="I2" s="15"/>
    </row>
    <row r="3" spans="1:9">
      <c r="A3" s="13"/>
      <c r="B3" s="13"/>
      <c r="G3" s="6"/>
      <c r="H3" s="13"/>
    </row>
    <row r="4" spans="1:9">
      <c r="C4" s="47" t="s">
        <v>132</v>
      </c>
      <c r="D4" s="48"/>
      <c r="E4" s="219"/>
      <c r="F4" s="219"/>
      <c r="G4" s="219"/>
    </row>
    <row r="5" spans="1:9">
      <c r="A5" s="13" t="s">
        <v>99</v>
      </c>
      <c r="B5" s="13"/>
      <c r="C5" s="13" t="s">
        <v>6</v>
      </c>
      <c r="E5" s="13" t="s">
        <v>133</v>
      </c>
      <c r="F5" s="13" t="s">
        <v>134</v>
      </c>
      <c r="G5" s="13" t="s">
        <v>135</v>
      </c>
      <c r="H5" s="13" t="str">
        <f>A5</f>
        <v>Line</v>
      </c>
    </row>
    <row r="6" spans="1:9">
      <c r="C6" s="11" t="s">
        <v>136</v>
      </c>
      <c r="D6" s="11"/>
    </row>
    <row r="7" spans="1:9">
      <c r="A7" s="8">
        <v>100</v>
      </c>
      <c r="C7" t="s">
        <v>137</v>
      </c>
      <c r="E7" s="29">
        <f>'7-PlantInService'!P24</f>
        <v>13772414947.125883</v>
      </c>
      <c r="F7" t="s">
        <v>138</v>
      </c>
      <c r="G7" t="s">
        <v>139</v>
      </c>
      <c r="H7" s="8">
        <f>A7</f>
        <v>100</v>
      </c>
    </row>
    <row r="8" spans="1:9">
      <c r="A8" s="8">
        <f>A7+1</f>
        <v>101</v>
      </c>
      <c r="C8" t="s">
        <v>140</v>
      </c>
      <c r="E8" s="29">
        <f>'7-PlantInService'!D128</f>
        <v>1293706114.8576508</v>
      </c>
      <c r="F8" t="s">
        <v>141</v>
      </c>
      <c r="G8" t="s">
        <v>139</v>
      </c>
      <c r="H8" s="8">
        <f t="shared" ref="H8:H10" si="0">A8</f>
        <v>101</v>
      </c>
    </row>
    <row r="9" spans="1:9">
      <c r="A9" s="8">
        <f t="shared" ref="A9:A10" si="1">A8+1</f>
        <v>102</v>
      </c>
      <c r="C9" t="s">
        <v>142</v>
      </c>
      <c r="E9" s="26">
        <f ca="1">+'8-AbandonedPlant'!M14</f>
        <v>-4349368.4475134443</v>
      </c>
      <c r="F9" t="s">
        <v>143</v>
      </c>
      <c r="G9" t="s">
        <v>139</v>
      </c>
      <c r="H9" s="8">
        <f t="shared" si="0"/>
        <v>102</v>
      </c>
    </row>
    <row r="10" spans="1:9">
      <c r="A10" s="8">
        <f t="shared" si="1"/>
        <v>103</v>
      </c>
      <c r="C10" s="12" t="s">
        <v>144</v>
      </c>
      <c r="D10" s="12"/>
      <c r="E10" s="63">
        <f ca="1">+E7+E8+E9</f>
        <v>15061771693.53602</v>
      </c>
      <c r="F10" s="6" t="str">
        <f>"Sum of Lines "&amp;A7&amp;" to "&amp;A9&amp;""</f>
        <v>Sum of Lines 100 to 102</v>
      </c>
      <c r="H10" s="8">
        <f t="shared" si="0"/>
        <v>103</v>
      </c>
    </row>
    <row r="12" spans="1:9">
      <c r="C12" s="11" t="s">
        <v>145</v>
      </c>
      <c r="D12" s="11"/>
    </row>
    <row r="13" spans="1:9">
      <c r="A13" s="8">
        <f>A10+1</f>
        <v>104</v>
      </c>
      <c r="C13" t="s">
        <v>146</v>
      </c>
      <c r="E13" s="29">
        <f>'13-WorkCap'!E25</f>
        <v>81295878.693463787</v>
      </c>
      <c r="F13" t="s">
        <v>147</v>
      </c>
      <c r="G13" t="s">
        <v>139</v>
      </c>
      <c r="H13" s="8">
        <f t="shared" ref="H13:H16" si="2">A13</f>
        <v>104</v>
      </c>
    </row>
    <row r="14" spans="1:9">
      <c r="A14" s="8">
        <f>A13+1</f>
        <v>105</v>
      </c>
      <c r="C14" t="s">
        <v>148</v>
      </c>
      <c r="E14" s="29">
        <f>'13-WorkCap'!F60</f>
        <v>75973874</v>
      </c>
      <c r="F14" t="s">
        <v>149</v>
      </c>
      <c r="G14" t="s">
        <v>139</v>
      </c>
      <c r="H14" s="8">
        <f t="shared" si="2"/>
        <v>105</v>
      </c>
    </row>
    <row r="15" spans="1:9">
      <c r="A15" s="8">
        <f t="shared" ref="A15:A16" si="3">A14+1</f>
        <v>106</v>
      </c>
      <c r="C15" t="s">
        <v>150</v>
      </c>
      <c r="E15" s="26">
        <f>(E125+E126)/10</f>
        <v>89473620.644208238</v>
      </c>
      <c r="F15" t="str">
        <f>"(Line "&amp;A125&amp;" + Line "&amp;A126&amp;") / 10"</f>
        <v>(Line 500 + Line 501) / 10</v>
      </c>
      <c r="H15" s="8">
        <f t="shared" si="2"/>
        <v>106</v>
      </c>
    </row>
    <row r="16" spans="1:9">
      <c r="A16" s="8">
        <f t="shared" si="3"/>
        <v>107</v>
      </c>
      <c r="C16" s="12" t="s">
        <v>151</v>
      </c>
      <c r="D16" s="12"/>
      <c r="E16" s="63">
        <f>+E13+E15+E14</f>
        <v>246743373.33767202</v>
      </c>
      <c r="F16" s="6" t="str">
        <f>"Sum of Lines "&amp;A13&amp;" to "&amp;A15&amp;""</f>
        <v>Sum of Lines 104 to 106</v>
      </c>
      <c r="H16" s="8">
        <f t="shared" si="2"/>
        <v>107</v>
      </c>
    </row>
    <row r="18" spans="1:9">
      <c r="C18" s="11" t="s">
        <v>152</v>
      </c>
      <c r="D18" s="11"/>
    </row>
    <row r="19" spans="1:9">
      <c r="A19" s="8">
        <f>A16+1</f>
        <v>108</v>
      </c>
      <c r="C19" t="s">
        <v>153</v>
      </c>
      <c r="E19" s="29">
        <f>-'10-AccDep'!P26</f>
        <v>-3255525836.0878525</v>
      </c>
      <c r="F19" t="s">
        <v>154</v>
      </c>
      <c r="G19" t="s">
        <v>155</v>
      </c>
      <c r="H19" s="8">
        <f t="shared" ref="H19:H30" si="4">A19</f>
        <v>108</v>
      </c>
    </row>
    <row r="20" spans="1:9">
      <c r="A20" s="8">
        <f>A19+1</f>
        <v>109</v>
      </c>
      <c r="C20" t="s">
        <v>156</v>
      </c>
      <c r="E20" s="26">
        <f>-'10-AccDep'!D128</f>
        <v>-441004471.15647584</v>
      </c>
      <c r="F20" t="s">
        <v>157</v>
      </c>
      <c r="G20" t="s">
        <v>155</v>
      </c>
      <c r="H20" s="8">
        <f t="shared" si="4"/>
        <v>109</v>
      </c>
    </row>
    <row r="21" spans="1:9">
      <c r="A21" s="8">
        <f>A20+1</f>
        <v>110</v>
      </c>
      <c r="C21" s="12" t="s">
        <v>158</v>
      </c>
      <c r="D21" s="12"/>
      <c r="E21" s="63">
        <f>+E19+E20</f>
        <v>-3696530307.2443285</v>
      </c>
      <c r="F21" t="str">
        <f>"Line "&amp;A19&amp;" + Line "&amp;A20&amp;""</f>
        <v>Line 108 + Line 109</v>
      </c>
      <c r="H21" s="8">
        <f t="shared" si="4"/>
        <v>110</v>
      </c>
    </row>
    <row r="23" spans="1:9">
      <c r="A23" s="8">
        <f>A21+1</f>
        <v>111</v>
      </c>
      <c r="B23" s="14" t="s">
        <v>159</v>
      </c>
      <c r="C23" s="14" t="s">
        <v>160</v>
      </c>
      <c r="D23" s="14"/>
      <c r="E23" s="29">
        <f>'14-ADIT'!D13</f>
        <v>-1467672293.6072962</v>
      </c>
      <c r="F23" t="s">
        <v>161</v>
      </c>
      <c r="G23" t="s">
        <v>139</v>
      </c>
      <c r="H23" s="8">
        <f t="shared" si="4"/>
        <v>111</v>
      </c>
      <c r="I23" s="12" t="s">
        <v>159</v>
      </c>
    </row>
    <row r="24" spans="1:9">
      <c r="A24" s="8">
        <v>111</v>
      </c>
      <c r="B24" s="14" t="s">
        <v>162</v>
      </c>
      <c r="C24" s="14" t="s">
        <v>163</v>
      </c>
      <c r="D24" s="14"/>
      <c r="E24" s="26">
        <f>'17-RegAssets-1'!C47</f>
        <v>-557630113.93499839</v>
      </c>
      <c r="F24" t="s">
        <v>164</v>
      </c>
      <c r="G24" t="s">
        <v>139</v>
      </c>
      <c r="H24" s="8">
        <f t="shared" si="4"/>
        <v>111</v>
      </c>
      <c r="I24" s="12" t="s">
        <v>162</v>
      </c>
    </row>
    <row r="25" spans="1:9">
      <c r="A25" s="8">
        <v>111</v>
      </c>
      <c r="B25" s="14" t="s">
        <v>165</v>
      </c>
      <c r="C25" s="14" t="s">
        <v>166</v>
      </c>
      <c r="D25" s="681"/>
      <c r="E25" s="63">
        <f>+E23+E24</f>
        <v>-2025302407.5422945</v>
      </c>
      <c r="F25" t="str">
        <f>"Line "&amp;A23&amp;"a + Line "&amp;A24&amp;"b"</f>
        <v>Line 111a + Line 111b</v>
      </c>
      <c r="G25" t="s">
        <v>139</v>
      </c>
      <c r="H25" s="8">
        <f t="shared" si="4"/>
        <v>111</v>
      </c>
      <c r="I25" s="12" t="s">
        <v>165</v>
      </c>
    </row>
    <row r="26" spans="1:9">
      <c r="A26" s="8">
        <f>A23+1</f>
        <v>112</v>
      </c>
      <c r="C26" s="12" t="s">
        <v>167</v>
      </c>
      <c r="D26" s="589"/>
      <c r="E26" s="29">
        <f>-'15-NUC'!C12</f>
        <v>-200840150.52000001</v>
      </c>
      <c r="F26" t="s">
        <v>168</v>
      </c>
      <c r="G26" t="s">
        <v>155</v>
      </c>
      <c r="H26" s="8">
        <f t="shared" si="4"/>
        <v>112</v>
      </c>
    </row>
    <row r="27" spans="1:9">
      <c r="A27" s="8">
        <f>A26+1</f>
        <v>113</v>
      </c>
      <c r="C27" s="12" t="s">
        <v>44</v>
      </c>
      <c r="D27" s="589"/>
      <c r="E27" s="29">
        <f>'16-UnfundedReserves CorrectedV1'!E6</f>
        <v>-64531828.984523237</v>
      </c>
      <c r="F27" t="s">
        <v>169</v>
      </c>
      <c r="G27" t="s">
        <v>139</v>
      </c>
      <c r="H27" s="8">
        <f t="shared" si="4"/>
        <v>113</v>
      </c>
    </row>
    <row r="28" spans="1:9">
      <c r="A28" s="8">
        <f>A27+1</f>
        <v>114</v>
      </c>
      <c r="C28" s="12" t="s">
        <v>170</v>
      </c>
      <c r="D28" s="12"/>
      <c r="E28" s="29">
        <f>'17-RegAssets-1'!E25</f>
        <v>0</v>
      </c>
      <c r="F28" t="s">
        <v>171</v>
      </c>
      <c r="G28" t="s">
        <v>139</v>
      </c>
      <c r="H28" s="8">
        <f t="shared" si="4"/>
        <v>114</v>
      </c>
    </row>
    <row r="29" spans="1:9">
      <c r="E29" s="29"/>
      <c r="H29" s="8"/>
    </row>
    <row r="30" spans="1:9">
      <c r="A30" s="8">
        <f>A28+1</f>
        <v>115</v>
      </c>
      <c r="C30" s="12" t="s">
        <v>172</v>
      </c>
      <c r="D30" s="12"/>
      <c r="E30" s="63">
        <f ca="1">+E10+E16+E21+E25+E26+E28+E27</f>
        <v>9321310372.5825462</v>
      </c>
      <c r="F30" t="str">
        <f>"Sum of Lines "&amp;A10&amp;", "&amp;A16&amp;", "&amp;A21&amp;" and Lines "&amp;A25&amp;B25&amp;" to "&amp;A28&amp;""</f>
        <v>Sum of Lines 103, 107, 110 and Lines 111c to 114</v>
      </c>
      <c r="H30" s="8">
        <f t="shared" si="4"/>
        <v>115</v>
      </c>
    </row>
    <row r="31" spans="1:9">
      <c r="E31" s="17"/>
      <c r="H31" s="8"/>
    </row>
    <row r="32" spans="1:9">
      <c r="C32" s="47" t="s">
        <v>173</v>
      </c>
      <c r="D32" s="219"/>
      <c r="E32" s="219"/>
      <c r="F32" s="219"/>
      <c r="G32" s="219"/>
    </row>
    <row r="33" spans="1:8">
      <c r="A33" s="13" t="s">
        <v>99</v>
      </c>
      <c r="B33" s="13"/>
      <c r="C33" s="13" t="s">
        <v>6</v>
      </c>
      <c r="E33" s="13" t="s">
        <v>133</v>
      </c>
      <c r="F33" s="13" t="s">
        <v>134</v>
      </c>
      <c r="G33" s="13" t="s">
        <v>135</v>
      </c>
      <c r="H33" s="13" t="str">
        <f>A33</f>
        <v>Line</v>
      </c>
    </row>
    <row r="34" spans="1:8">
      <c r="C34" s="11" t="s">
        <v>174</v>
      </c>
      <c r="D34" s="11"/>
    </row>
    <row r="35" spans="1:8">
      <c r="A35" s="8">
        <v>200</v>
      </c>
      <c r="C35" t="s">
        <v>175</v>
      </c>
      <c r="E35" s="81">
        <f>'5-CostofCap-1'!D16</f>
        <v>31631929799.839546</v>
      </c>
      <c r="F35" t="s">
        <v>176</v>
      </c>
      <c r="H35" s="8">
        <f t="shared" ref="H35" si="5">A35</f>
        <v>200</v>
      </c>
    </row>
    <row r="36" spans="1:8">
      <c r="A36" s="8">
        <f>A35+1</f>
        <v>201</v>
      </c>
      <c r="C36" t="s">
        <v>177</v>
      </c>
      <c r="E36" s="440">
        <f>'5-CostofCap-3'!F24</f>
        <v>3.0700000000000002E-2</v>
      </c>
      <c r="F36" t="s">
        <v>178</v>
      </c>
      <c r="H36" s="8">
        <f t="shared" ref="H36:H37" si="6">A36</f>
        <v>201</v>
      </c>
    </row>
    <row r="37" spans="1:8">
      <c r="A37" s="8">
        <f>A36+1</f>
        <v>202</v>
      </c>
      <c r="C37" s="12" t="s">
        <v>179</v>
      </c>
      <c r="E37" s="63">
        <f>E35*E36</f>
        <v>971100244.85507417</v>
      </c>
      <c r="F37" t="str">
        <f>"Line "&amp;A35&amp;" * Line "&amp;A36&amp;""</f>
        <v>Line 200 * Line 201</v>
      </c>
      <c r="H37" s="8">
        <f t="shared" si="6"/>
        <v>202</v>
      </c>
    </row>
    <row r="39" spans="1:8">
      <c r="C39" s="11" t="s">
        <v>180</v>
      </c>
      <c r="D39" s="11"/>
    </row>
    <row r="40" spans="1:8">
      <c r="A40" s="8">
        <f>A37+1</f>
        <v>203</v>
      </c>
      <c r="C40" t="s">
        <v>181</v>
      </c>
      <c r="E40" s="29">
        <f>'5-CostofCap-1'!D22</f>
        <v>252054300.31999999</v>
      </c>
      <c r="F40" t="s">
        <v>182</v>
      </c>
      <c r="H40" s="8">
        <f t="shared" ref="H40:H42" si="7">A40</f>
        <v>203</v>
      </c>
    </row>
    <row r="41" spans="1:8">
      <c r="A41" s="8">
        <f>A40+1</f>
        <v>204</v>
      </c>
      <c r="C41" t="s">
        <v>22</v>
      </c>
      <c r="E41" s="38">
        <f>'5-CostofCap-4'!E14</f>
        <v>5.5211589517762859E-2</v>
      </c>
      <c r="F41" t="s">
        <v>183</v>
      </c>
      <c r="H41" s="8">
        <f t="shared" si="7"/>
        <v>204</v>
      </c>
    </row>
    <row r="42" spans="1:8">
      <c r="A42" s="8">
        <f>A41+1</f>
        <v>205</v>
      </c>
      <c r="C42" s="12" t="s">
        <v>184</v>
      </c>
      <c r="E42" s="63">
        <f>E40*E41</f>
        <v>13916318.565454762</v>
      </c>
      <c r="F42" t="str">
        <f>"Line "&amp;A40&amp;" * Line "&amp;A41&amp;""</f>
        <v>Line 203 * Line 204</v>
      </c>
      <c r="H42" s="8">
        <f t="shared" si="7"/>
        <v>205</v>
      </c>
    </row>
    <row r="44" spans="1:8">
      <c r="C44" s="11" t="s">
        <v>185</v>
      </c>
      <c r="D44" s="11"/>
    </row>
    <row r="45" spans="1:8">
      <c r="A45" s="8">
        <f>A42+1</f>
        <v>206</v>
      </c>
      <c r="C45" t="s">
        <v>186</v>
      </c>
      <c r="E45" s="81">
        <f>'5-CostofCap-1'!D30</f>
        <v>25261877371.34</v>
      </c>
      <c r="F45" t="s">
        <v>187</v>
      </c>
      <c r="H45" s="8">
        <f t="shared" ref="H45:H47" si="8">A45</f>
        <v>206</v>
      </c>
    </row>
    <row r="46" spans="1:8">
      <c r="H46" s="8"/>
    </row>
    <row r="47" spans="1:8">
      <c r="A47" s="8">
        <f>A45+1</f>
        <v>207</v>
      </c>
      <c r="C47" s="12" t="s">
        <v>188</v>
      </c>
      <c r="D47" s="12"/>
      <c r="E47" s="63">
        <f>E35+E40+E45</f>
        <v>57145861471.499542</v>
      </c>
      <c r="F47" t="str">
        <f>"Line "&amp;A35&amp;" + Line "&amp;A40&amp;" + Line "&amp;A45&amp;""</f>
        <v>Line 200 + Line 203 + Line 206</v>
      </c>
      <c r="H47" s="8">
        <f t="shared" si="8"/>
        <v>207</v>
      </c>
    </row>
    <row r="49" spans="1:8">
      <c r="C49" s="11" t="s">
        <v>189</v>
      </c>
      <c r="D49" s="11"/>
    </row>
    <row r="50" spans="1:8">
      <c r="A50" s="8">
        <f>A47+1</f>
        <v>208</v>
      </c>
      <c r="C50" t="s">
        <v>190</v>
      </c>
      <c r="E50" s="124">
        <v>0.4975</v>
      </c>
      <c r="F50" s="17" t="s">
        <v>191</v>
      </c>
      <c r="G50" s="17" t="s">
        <v>192</v>
      </c>
      <c r="H50" s="8">
        <f t="shared" ref="H50:H52" si="9">A50</f>
        <v>208</v>
      </c>
    </row>
    <row r="51" spans="1:8">
      <c r="A51" s="8">
        <f>A50+1</f>
        <v>209</v>
      </c>
      <c r="C51" t="s">
        <v>193</v>
      </c>
      <c r="E51" s="124">
        <v>5.0000000000000001E-3</v>
      </c>
      <c r="F51" s="17" t="s">
        <v>194</v>
      </c>
      <c r="G51" s="17" t="s">
        <v>192</v>
      </c>
      <c r="H51" s="8">
        <f t="shared" si="9"/>
        <v>209</v>
      </c>
    </row>
    <row r="52" spans="1:8">
      <c r="A52" s="8">
        <f>A51+1</f>
        <v>210</v>
      </c>
      <c r="C52" t="s">
        <v>195</v>
      </c>
      <c r="E52" s="124">
        <v>0.4975</v>
      </c>
      <c r="F52" s="17" t="s">
        <v>191</v>
      </c>
      <c r="G52" s="17" t="s">
        <v>192</v>
      </c>
      <c r="H52" s="8">
        <f t="shared" si="9"/>
        <v>210</v>
      </c>
    </row>
    <row r="54" spans="1:8">
      <c r="C54" s="11" t="s">
        <v>196</v>
      </c>
      <c r="D54" s="11"/>
      <c r="H54" s="8"/>
    </row>
    <row r="55" spans="1:8">
      <c r="A55" s="8">
        <f>A52+1</f>
        <v>211</v>
      </c>
      <c r="C55" t="s">
        <v>20</v>
      </c>
      <c r="E55" s="28">
        <f>E36</f>
        <v>3.0700000000000002E-2</v>
      </c>
      <c r="F55" t="str">
        <f>"Line "&amp;A36&amp;""</f>
        <v>Line 201</v>
      </c>
      <c r="H55" s="8">
        <f t="shared" ref="H55:H60" si="10">A55</f>
        <v>211</v>
      </c>
    </row>
    <row r="56" spans="1:8">
      <c r="A56" s="8">
        <f>A55+1</f>
        <v>212</v>
      </c>
      <c r="C56" t="s">
        <v>22</v>
      </c>
      <c r="E56" s="28">
        <f>E41</f>
        <v>5.5211589517762859E-2</v>
      </c>
      <c r="F56" t="str">
        <f>"Line "&amp;A41&amp;""</f>
        <v>Line 204</v>
      </c>
      <c r="H56" s="8">
        <f t="shared" si="10"/>
        <v>212</v>
      </c>
    </row>
    <row r="57" spans="1:8">
      <c r="E57" s="28"/>
      <c r="H57" s="8"/>
    </row>
    <row r="58" spans="1:8">
      <c r="A58" s="8">
        <f>A56+1</f>
        <v>213</v>
      </c>
      <c r="C58" s="12" t="s">
        <v>197</v>
      </c>
      <c r="E58" s="541">
        <f>E59+E60</f>
        <v>0.1045</v>
      </c>
      <c r="F58" t="s">
        <v>198</v>
      </c>
      <c r="H58" s="8">
        <f t="shared" si="10"/>
        <v>213</v>
      </c>
    </row>
    <row r="59" spans="1:8">
      <c r="A59" s="8">
        <f t="shared" ref="A59:A60" si="11">A58+1</f>
        <v>214</v>
      </c>
      <c r="C59" t="s">
        <v>199</v>
      </c>
      <c r="E59" s="27">
        <v>0.1045</v>
      </c>
      <c r="F59" t="s">
        <v>200</v>
      </c>
      <c r="G59" s="17" t="s">
        <v>110</v>
      </c>
      <c r="H59" s="8">
        <f t="shared" si="10"/>
        <v>214</v>
      </c>
    </row>
    <row r="60" spans="1:8">
      <c r="A60" s="8">
        <f t="shared" si="11"/>
        <v>215</v>
      </c>
      <c r="C60" t="s">
        <v>201</v>
      </c>
      <c r="E60" s="27">
        <v>0</v>
      </c>
      <c r="G60" t="s">
        <v>202</v>
      </c>
      <c r="H60" s="8">
        <f t="shared" si="10"/>
        <v>215</v>
      </c>
    </row>
    <row r="62" spans="1:8">
      <c r="C62" s="11" t="s">
        <v>203</v>
      </c>
      <c r="D62" s="11"/>
    </row>
    <row r="63" spans="1:8">
      <c r="A63" s="8">
        <f>A60+1</f>
        <v>216</v>
      </c>
      <c r="C63" t="s">
        <v>204</v>
      </c>
      <c r="E63" s="124">
        <f>E50*E55</f>
        <v>1.527325E-2</v>
      </c>
      <c r="F63" t="str">
        <f>"Line "&amp;A50&amp;" * Line "&amp;A55&amp;""</f>
        <v>Line 208 * Line 211</v>
      </c>
      <c r="H63" s="8">
        <f t="shared" ref="H63:H66" si="12">A63</f>
        <v>216</v>
      </c>
    </row>
    <row r="64" spans="1:8">
      <c r="A64" s="8">
        <f>A63+1</f>
        <v>217</v>
      </c>
      <c r="C64" t="s">
        <v>205</v>
      </c>
      <c r="E64" s="124">
        <f>E51*E56</f>
        <v>2.7605794758881429E-4</v>
      </c>
      <c r="F64" t="str">
        <f>"Line "&amp;A51&amp;" * Line "&amp;A56&amp;""</f>
        <v>Line 209 * Line 212</v>
      </c>
      <c r="H64" s="8">
        <f t="shared" si="12"/>
        <v>217</v>
      </c>
    </row>
    <row r="65" spans="1:8">
      <c r="A65" s="8">
        <f>A64+1</f>
        <v>218</v>
      </c>
      <c r="C65" t="s">
        <v>206</v>
      </c>
      <c r="E65" s="31">
        <f>E52*E58</f>
        <v>5.198875E-2</v>
      </c>
      <c r="F65" t="str">
        <f>"Line "&amp;A52&amp;" * Line "&amp;A58&amp;""</f>
        <v>Line 210 * Line 213</v>
      </c>
      <c r="H65" s="8">
        <f t="shared" si="12"/>
        <v>218</v>
      </c>
    </row>
    <row r="66" spans="1:8">
      <c r="A66" s="8">
        <f>A65+1</f>
        <v>219</v>
      </c>
      <c r="C66" s="12" t="s">
        <v>207</v>
      </c>
      <c r="D66" s="12"/>
      <c r="E66" s="363">
        <f>SUM(E63:E65)</f>
        <v>6.7538057947588812E-2</v>
      </c>
      <c r="F66" s="6" t="str">
        <f>"Sum of Lines "&amp;A63&amp;" to "&amp;A65&amp;""</f>
        <v>Sum of Lines 216 to 218</v>
      </c>
      <c r="H66" s="8">
        <f t="shared" si="12"/>
        <v>219</v>
      </c>
    </row>
    <row r="68" spans="1:8">
      <c r="A68" s="8">
        <f>A66+1</f>
        <v>220</v>
      </c>
      <c r="C68" s="12" t="s">
        <v>208</v>
      </c>
      <c r="D68" s="12"/>
      <c r="E68" s="28">
        <f>E64+E65</f>
        <v>5.2264807947588816E-2</v>
      </c>
      <c r="F68" t="str">
        <f>"Line "&amp;A64&amp;" + Line "&amp;A65&amp;""</f>
        <v>Line 217 + Line 218</v>
      </c>
      <c r="G68" s="17"/>
      <c r="H68" s="8">
        <f t="shared" ref="H68:H69" si="13">A68</f>
        <v>220</v>
      </c>
    </row>
    <row r="69" spans="1:8">
      <c r="A69" s="8">
        <f>A68+1</f>
        <v>221</v>
      </c>
      <c r="C69" s="12" t="s">
        <v>209</v>
      </c>
      <c r="D69" s="12"/>
      <c r="E69" s="28">
        <f>E60*E52</f>
        <v>0</v>
      </c>
      <c r="F69" t="str">
        <f>"Line "&amp;A52&amp;" * Line "&amp;A60&amp;""</f>
        <v>Line 210 * Line 215</v>
      </c>
      <c r="G69" s="17"/>
      <c r="H69" s="8">
        <f t="shared" si="13"/>
        <v>221</v>
      </c>
    </row>
    <row r="70" spans="1:8">
      <c r="H70" s="8"/>
    </row>
    <row r="71" spans="1:8">
      <c r="A71" s="8">
        <f>A69+1</f>
        <v>222</v>
      </c>
      <c r="C71" t="s">
        <v>210</v>
      </c>
      <c r="D71" s="12"/>
      <c r="E71" s="29">
        <f ca="1">E66*E30</f>
        <v>629543200.09094071</v>
      </c>
      <c r="F71" t="str">
        <f>"Line "&amp;A66&amp;" * Line "&amp;A30&amp;""</f>
        <v>Line 219 * Line 115</v>
      </c>
      <c r="H71" s="8">
        <f t="shared" ref="H71:H73" si="14">A71</f>
        <v>222</v>
      </c>
    </row>
    <row r="72" spans="1:8">
      <c r="A72" s="8">
        <f>A71+1</f>
        <v>223</v>
      </c>
      <c r="C72" t="s">
        <v>211</v>
      </c>
      <c r="D72" s="12"/>
      <c r="E72" s="29">
        <f ca="1">E69*E9</f>
        <v>0</v>
      </c>
      <c r="F72" t="str">
        <f>"Line "&amp;A9&amp;" * Line "&amp;A69&amp;""</f>
        <v>Line 102 * Line 221</v>
      </c>
      <c r="H72" s="8">
        <f t="shared" si="14"/>
        <v>223</v>
      </c>
    </row>
    <row r="73" spans="1:8">
      <c r="A73" s="8">
        <f>A72+1</f>
        <v>224</v>
      </c>
      <c r="C73" s="12" t="s">
        <v>212</v>
      </c>
      <c r="D73" s="12"/>
      <c r="E73" s="63">
        <f ca="1">E71-E72</f>
        <v>629543200.09094071</v>
      </c>
      <c r="F73" t="str">
        <f>"Line "&amp;A71&amp;" - Line "&amp;A72&amp;""</f>
        <v>Line 222 - Line 223</v>
      </c>
      <c r="H73" s="8">
        <f t="shared" si="14"/>
        <v>224</v>
      </c>
    </row>
    <row r="75" spans="1:8">
      <c r="C75" s="47" t="s">
        <v>213</v>
      </c>
      <c r="D75" s="219"/>
      <c r="E75" s="219"/>
      <c r="F75" s="219"/>
      <c r="G75" s="219"/>
    </row>
    <row r="76" spans="1:8">
      <c r="A76" s="13" t="s">
        <v>99</v>
      </c>
      <c r="B76" s="13"/>
      <c r="C76" s="13" t="s">
        <v>6</v>
      </c>
      <c r="E76" s="13" t="s">
        <v>133</v>
      </c>
      <c r="F76" s="13" t="s">
        <v>134</v>
      </c>
      <c r="G76" s="13" t="s">
        <v>135</v>
      </c>
      <c r="H76" s="13" t="str">
        <f>A76</f>
        <v>Line</v>
      </c>
    </row>
    <row r="77" spans="1:8">
      <c r="C77" s="11" t="s">
        <v>214</v>
      </c>
      <c r="D77" s="11"/>
    </row>
    <row r="78" spans="1:8">
      <c r="A78" s="8">
        <v>300</v>
      </c>
      <c r="C78" t="s">
        <v>215</v>
      </c>
      <c r="E78" s="46">
        <v>354866840</v>
      </c>
      <c r="F78" t="s">
        <v>216</v>
      </c>
      <c r="H78" s="8">
        <f t="shared" ref="H78:H80" si="15">A78</f>
        <v>300</v>
      </c>
    </row>
    <row r="79" spans="1:8">
      <c r="A79" s="8">
        <f>A78+1</f>
        <v>301</v>
      </c>
      <c r="C79" t="s">
        <v>217</v>
      </c>
      <c r="E79" s="38">
        <f>'24-Allocators'!C64</f>
        <v>0.29326711198807148</v>
      </c>
      <c r="F79" t="s">
        <v>218</v>
      </c>
      <c r="H79" s="8">
        <f t="shared" si="15"/>
        <v>301</v>
      </c>
    </row>
    <row r="80" spans="1:8">
      <c r="A80" s="8">
        <f>A79+1</f>
        <v>302</v>
      </c>
      <c r="C80" s="12" t="s">
        <v>219</v>
      </c>
      <c r="D80" s="12"/>
      <c r="E80" s="63">
        <f>+E78*E79</f>
        <v>104070773.30713305</v>
      </c>
      <c r="F80" t="str">
        <f>"Line "&amp;A78&amp;" * Line "&amp;A79&amp;""</f>
        <v>Line 300 * Line 301</v>
      </c>
      <c r="H80" s="8">
        <f t="shared" si="15"/>
        <v>302</v>
      </c>
    </row>
    <row r="82" spans="1:8">
      <c r="C82" s="11" t="s">
        <v>220</v>
      </c>
      <c r="D82" s="11"/>
    </row>
    <row r="83" spans="1:8">
      <c r="A83" s="8">
        <f>A80+1</f>
        <v>303</v>
      </c>
      <c r="C83" t="s">
        <v>221</v>
      </c>
      <c r="E83" s="715">
        <v>84488679</v>
      </c>
      <c r="F83" t="s">
        <v>222</v>
      </c>
      <c r="H83" s="8">
        <f t="shared" ref="H83" si="16">A83</f>
        <v>303</v>
      </c>
    </row>
    <row r="84" spans="1:8">
      <c r="A84" s="8">
        <f>A83+1</f>
        <v>304</v>
      </c>
      <c r="C84" t="s">
        <v>223</v>
      </c>
      <c r="E84" s="715">
        <v>5002474</v>
      </c>
      <c r="F84" t="s">
        <v>224</v>
      </c>
      <c r="H84" s="8">
        <f t="shared" ref="H84:H88" si="17">A84</f>
        <v>304</v>
      </c>
    </row>
    <row r="85" spans="1:8">
      <c r="A85" s="8">
        <f>A84+1</f>
        <v>305</v>
      </c>
      <c r="C85" t="s">
        <v>225</v>
      </c>
      <c r="E85" s="715">
        <v>751942</v>
      </c>
      <c r="F85" t="s">
        <v>226</v>
      </c>
      <c r="H85" s="8">
        <f t="shared" si="17"/>
        <v>305</v>
      </c>
    </row>
    <row r="86" spans="1:8">
      <c r="A86" s="8">
        <f t="shared" ref="A86:A91" si="18">A85+1</f>
        <v>306</v>
      </c>
      <c r="C86" t="s">
        <v>227</v>
      </c>
      <c r="E86" s="715">
        <v>15607923</v>
      </c>
      <c r="F86" t="s">
        <v>228</v>
      </c>
      <c r="H86" s="8">
        <f t="shared" si="17"/>
        <v>306</v>
      </c>
    </row>
    <row r="87" spans="1:8">
      <c r="A87" s="8">
        <f t="shared" si="18"/>
        <v>307</v>
      </c>
      <c r="C87" t="s">
        <v>229</v>
      </c>
      <c r="E87" s="736">
        <v>1433012</v>
      </c>
      <c r="F87" t="s">
        <v>230</v>
      </c>
      <c r="H87" s="8">
        <f t="shared" si="17"/>
        <v>307</v>
      </c>
    </row>
    <row r="88" spans="1:8">
      <c r="A88" s="8">
        <f t="shared" si="18"/>
        <v>308</v>
      </c>
      <c r="C88" s="12" t="s">
        <v>231</v>
      </c>
      <c r="D88" s="12"/>
      <c r="E88" s="63">
        <f>SUM(E83:E87)</f>
        <v>107284030</v>
      </c>
      <c r="F88" s="6" t="str">
        <f>"Sum of Lines "&amp;A83&amp;" to "&amp;A87&amp;""</f>
        <v>Sum of Lines 303 to 307</v>
      </c>
      <c r="H88" s="8">
        <f t="shared" si="17"/>
        <v>308</v>
      </c>
    </row>
    <row r="90" spans="1:8">
      <c r="A90" s="8">
        <f>A88+1</f>
        <v>309</v>
      </c>
      <c r="C90" t="s">
        <v>232</v>
      </c>
      <c r="E90" s="28">
        <f>'24-Allocators'!C23</f>
        <v>0.13651159222612441</v>
      </c>
      <c r="F90" t="s">
        <v>233</v>
      </c>
      <c r="H90" s="8">
        <f t="shared" ref="H90:H91" si="19">A90</f>
        <v>309</v>
      </c>
    </row>
    <row r="91" spans="1:8">
      <c r="A91" s="8">
        <f t="shared" si="18"/>
        <v>310</v>
      </c>
      <c r="C91" s="12" t="s">
        <v>234</v>
      </c>
      <c r="D91" s="12"/>
      <c r="E91" s="63">
        <f>E88*E90</f>
        <v>14645513.755735299</v>
      </c>
      <c r="F91" s="17" t="str">
        <f>"Line "&amp;A90&amp;" *  Line "&amp;A88&amp;""</f>
        <v>Line 309 *  Line 308</v>
      </c>
      <c r="H91" s="8">
        <f t="shared" si="19"/>
        <v>310</v>
      </c>
    </row>
    <row r="93" spans="1:8">
      <c r="A93" s="8">
        <f>A91+1</f>
        <v>311</v>
      </c>
      <c r="C93" s="12" t="s">
        <v>235</v>
      </c>
      <c r="D93" s="12"/>
      <c r="E93" s="63">
        <f>E91+E80</f>
        <v>118716287.06286834</v>
      </c>
      <c r="F93" t="str">
        <f>"Line "&amp;A80&amp;" + Line "&amp;A91&amp;""</f>
        <v>Line 302 + Line 310</v>
      </c>
      <c r="G93" s="118"/>
      <c r="H93" s="8">
        <f t="shared" ref="H93" si="20">A93</f>
        <v>311</v>
      </c>
    </row>
    <row r="95" spans="1:8">
      <c r="A95"/>
      <c r="B95"/>
      <c r="C95" s="47" t="s">
        <v>236</v>
      </c>
      <c r="D95" s="219"/>
      <c r="E95" s="219"/>
      <c r="F95" s="219"/>
      <c r="G95" s="219"/>
    </row>
    <row r="96" spans="1:8">
      <c r="A96" s="13" t="s">
        <v>99</v>
      </c>
      <c r="B96" s="13"/>
      <c r="C96" s="13" t="s">
        <v>6</v>
      </c>
      <c r="E96" s="13"/>
      <c r="F96" s="13" t="s">
        <v>134</v>
      </c>
      <c r="G96" s="13" t="s">
        <v>135</v>
      </c>
      <c r="H96" s="13" t="str">
        <f>A96</f>
        <v>Line</v>
      </c>
    </row>
    <row r="97" spans="1:8">
      <c r="A97" s="8">
        <v>400</v>
      </c>
      <c r="C97" t="s">
        <v>237</v>
      </c>
      <c r="E97" s="28">
        <f>'22-TaxRates'!C6</f>
        <v>0.21</v>
      </c>
      <c r="F97" t="s">
        <v>238</v>
      </c>
      <c r="H97" s="8">
        <f t="shared" ref="H97:H99" si="21">A97</f>
        <v>400</v>
      </c>
    </row>
    <row r="98" spans="1:8">
      <c r="A98" s="8">
        <f>A97+1</f>
        <v>401</v>
      </c>
      <c r="C98" t="s">
        <v>239</v>
      </c>
      <c r="E98" s="31">
        <f>'22-TaxRates'!C7</f>
        <v>8.8400000000000006E-2</v>
      </c>
      <c r="F98" t="s">
        <v>240</v>
      </c>
      <c r="H98" s="8">
        <f t="shared" si="21"/>
        <v>401</v>
      </c>
    </row>
    <row r="99" spans="1:8">
      <c r="A99" s="8">
        <f>A98+1</f>
        <v>402</v>
      </c>
      <c r="C99" s="12" t="s">
        <v>241</v>
      </c>
      <c r="D99" s="12"/>
      <c r="E99" s="363">
        <f>(E97+E98)-(E97*E98)</f>
        <v>0.27983599999999997</v>
      </c>
      <c r="F99" s="17" t="str">
        <f>"(Line "&amp;A97&amp;" + Line "&amp;A98&amp;") - (Line "&amp;A97&amp;" * Line "&amp;A98&amp;")"</f>
        <v>(Line 400 + Line 401) - (Line 400 * Line 401)</v>
      </c>
      <c r="H99" s="8">
        <f t="shared" si="21"/>
        <v>402</v>
      </c>
    </row>
    <row r="101" spans="1:8">
      <c r="C101" s="11" t="s">
        <v>242</v>
      </c>
      <c r="H101" s="8"/>
    </row>
    <row r="102" spans="1:8">
      <c r="A102" s="8">
        <f>A99+1</f>
        <v>403</v>
      </c>
      <c r="C102" t="s">
        <v>243</v>
      </c>
      <c r="E102" s="751">
        <v>10016517.341710607</v>
      </c>
      <c r="F102" s="477" t="s">
        <v>244</v>
      </c>
      <c r="H102" s="8">
        <f t="shared" ref="H102:H103" si="22">A102</f>
        <v>403</v>
      </c>
    </row>
    <row r="103" spans="1:8">
      <c r="A103" s="8">
        <f>A102+1</f>
        <v>404</v>
      </c>
      <c r="C103" s="12" t="s">
        <v>245</v>
      </c>
      <c r="E103" s="571">
        <f>SUM(E102:E102)</f>
        <v>10016517.341710607</v>
      </c>
      <c r="F103" t="str">
        <f>"Line "&amp;A102&amp;""</f>
        <v>Line 403</v>
      </c>
      <c r="H103" s="8">
        <f t="shared" si="22"/>
        <v>404</v>
      </c>
    </row>
    <row r="104" spans="1:8">
      <c r="E104" s="21"/>
      <c r="H104" s="8"/>
    </row>
    <row r="105" spans="1:8">
      <c r="C105" s="11" t="s">
        <v>246</v>
      </c>
      <c r="D105" s="11"/>
      <c r="E105" s="21"/>
    </row>
    <row r="106" spans="1:8">
      <c r="A106" s="8">
        <f>A103+1</f>
        <v>405</v>
      </c>
      <c r="C106" t="s">
        <v>247</v>
      </c>
      <c r="E106" s="750">
        <v>-9714317.1500483248</v>
      </c>
      <c r="F106" s="477" t="s">
        <v>248</v>
      </c>
      <c r="G106" t="s">
        <v>249</v>
      </c>
      <c r="H106" s="8">
        <f t="shared" ref="H106:H108" si="23">A106</f>
        <v>405</v>
      </c>
    </row>
    <row r="107" spans="1:8">
      <c r="A107" s="8">
        <f t="shared" ref="A107" si="24">A106+1</f>
        <v>406</v>
      </c>
      <c r="C107" t="s">
        <v>250</v>
      </c>
      <c r="E107" s="763">
        <v>-674617.05355470814</v>
      </c>
      <c r="F107" s="477" t="s">
        <v>251</v>
      </c>
      <c r="H107" s="8">
        <f t="shared" si="23"/>
        <v>406</v>
      </c>
    </row>
    <row r="108" spans="1:8">
      <c r="A108" s="8">
        <f>A107+1</f>
        <v>407</v>
      </c>
      <c r="C108" s="12" t="s">
        <v>252</v>
      </c>
      <c r="D108" s="12"/>
      <c r="E108" s="63">
        <f>SUM(E106:E107)</f>
        <v>-10388934.203603033</v>
      </c>
      <c r="F108" t="str">
        <f>"Line "&amp;A106&amp;" + Line "&amp;A107&amp;""</f>
        <v>Line 405 + Line 406</v>
      </c>
      <c r="H108" s="8">
        <f t="shared" si="23"/>
        <v>407</v>
      </c>
    </row>
    <row r="109" spans="1:8">
      <c r="E109" s="20"/>
    </row>
    <row r="110" spans="1:8">
      <c r="A110" s="8">
        <f>A108+1</f>
        <v>408</v>
      </c>
      <c r="C110" s="12" t="s">
        <v>253</v>
      </c>
      <c r="E110" s="63">
        <f ca="1">(((E115*E116)+E119-E120)*(E117/(1-E117)))+E118/(1-E117)</f>
        <v>178769794.1049895</v>
      </c>
      <c r="F110" t="str">
        <f>"Line "&amp;A112&amp;""</f>
        <v>Line 409</v>
      </c>
      <c r="H110" s="8">
        <f t="shared" ref="H110" si="25">A110</f>
        <v>408</v>
      </c>
    </row>
    <row r="112" spans="1:8">
      <c r="A112" s="8">
        <f>A110+1</f>
        <v>409</v>
      </c>
      <c r="C112" t="s">
        <v>254</v>
      </c>
      <c r="H112" s="8">
        <f t="shared" ref="H112" si="26">A112</f>
        <v>409</v>
      </c>
    </row>
    <row r="114" spans="1:8">
      <c r="C114" t="s">
        <v>255</v>
      </c>
    </row>
    <row r="115" spans="1:8">
      <c r="A115" s="8">
        <f>A112+1</f>
        <v>410</v>
      </c>
      <c r="C115" s="269" t="s">
        <v>256</v>
      </c>
      <c r="D115" s="269"/>
      <c r="E115" s="29">
        <f ca="1">+E30</f>
        <v>9321310372.5825462</v>
      </c>
      <c r="F115" t="str">
        <f>"Line "&amp;A30&amp;""</f>
        <v>Line 115</v>
      </c>
      <c r="G115" s="21"/>
      <c r="H115" s="8">
        <f t="shared" ref="H115:H120" si="27">A115</f>
        <v>410</v>
      </c>
    </row>
    <row r="116" spans="1:8">
      <c r="A116" s="8">
        <f>A115+1</f>
        <v>411</v>
      </c>
      <c r="C116" s="18" t="s">
        <v>257</v>
      </c>
      <c r="D116" s="18"/>
      <c r="E116" s="28">
        <f>+E68</f>
        <v>5.2264807947588816E-2</v>
      </c>
      <c r="F116" t="str">
        <f>"Line "&amp;A68&amp;""</f>
        <v>Line 220</v>
      </c>
      <c r="H116" s="8">
        <f t="shared" si="27"/>
        <v>411</v>
      </c>
    </row>
    <row r="117" spans="1:8">
      <c r="A117" s="8">
        <f t="shared" ref="A117:A120" si="28">A116+1</f>
        <v>412</v>
      </c>
      <c r="C117" s="269" t="s">
        <v>258</v>
      </c>
      <c r="D117" s="269"/>
      <c r="E117" s="124">
        <f>+E99</f>
        <v>0.27983599999999997</v>
      </c>
      <c r="F117" t="str">
        <f>"Line "&amp;A99&amp;""</f>
        <v>Line 402</v>
      </c>
      <c r="H117" s="8">
        <f t="shared" si="27"/>
        <v>412</v>
      </c>
    </row>
    <row r="118" spans="1:8">
      <c r="A118" s="8">
        <f t="shared" si="28"/>
        <v>413</v>
      </c>
      <c r="C118" s="269" t="s">
        <v>259</v>
      </c>
      <c r="D118" s="269"/>
      <c r="E118" s="29">
        <f>+E108</f>
        <v>-10388934.203603033</v>
      </c>
      <c r="F118" t="str">
        <f>"Line "&amp;A108&amp;""</f>
        <v>Line 407</v>
      </c>
      <c r="H118" s="8">
        <f t="shared" si="27"/>
        <v>413</v>
      </c>
    </row>
    <row r="119" spans="1:8">
      <c r="A119" s="8">
        <f t="shared" si="28"/>
        <v>414</v>
      </c>
      <c r="C119" s="269" t="s">
        <v>260</v>
      </c>
      <c r="D119" s="269"/>
      <c r="E119" s="29">
        <f>+E103</f>
        <v>10016517.341710607</v>
      </c>
      <c r="F119" t="str">
        <f>"Line "&amp;A103&amp;""</f>
        <v>Line 404</v>
      </c>
      <c r="H119" s="8">
        <f t="shared" si="27"/>
        <v>414</v>
      </c>
    </row>
    <row r="120" spans="1:8">
      <c r="A120" s="8">
        <f t="shared" si="28"/>
        <v>415</v>
      </c>
      <c r="C120" s="269" t="s">
        <v>261</v>
      </c>
      <c r="D120" s="269"/>
      <c r="E120" s="29">
        <f ca="1">E72</f>
        <v>0</v>
      </c>
      <c r="F120" t="str">
        <f>"Line "&amp;A72&amp;""</f>
        <v>Line 223</v>
      </c>
      <c r="H120" s="8">
        <f t="shared" si="27"/>
        <v>415</v>
      </c>
    </row>
    <row r="121" spans="1:8">
      <c r="H121" s="8"/>
    </row>
    <row r="122" spans="1:8">
      <c r="C122" s="47" t="s">
        <v>262</v>
      </c>
      <c r="D122" s="219"/>
      <c r="E122" s="219"/>
      <c r="F122" s="219"/>
      <c r="G122" s="219"/>
    </row>
    <row r="123" spans="1:8">
      <c r="A123" s="13" t="s">
        <v>99</v>
      </c>
      <c r="B123" s="13"/>
      <c r="C123" s="13" t="s">
        <v>6</v>
      </c>
      <c r="E123" s="13" t="s">
        <v>133</v>
      </c>
      <c r="F123" s="13" t="s">
        <v>134</v>
      </c>
      <c r="G123" s="13" t="s">
        <v>135</v>
      </c>
      <c r="H123" s="13" t="str">
        <f>A123</f>
        <v>Line</v>
      </c>
    </row>
    <row r="124" spans="1:8">
      <c r="C124" s="11" t="s">
        <v>263</v>
      </c>
      <c r="D124" s="11"/>
    </row>
    <row r="125" spans="1:8">
      <c r="A125" s="8">
        <v>500</v>
      </c>
      <c r="C125" t="s">
        <v>264</v>
      </c>
      <c r="E125" s="29">
        <f>'18-OandM'!P10</f>
        <v>616258249.07332659</v>
      </c>
      <c r="F125" t="s">
        <v>265</v>
      </c>
      <c r="H125" s="8">
        <f t="shared" ref="H125:H160" si="29">A125</f>
        <v>500</v>
      </c>
    </row>
    <row r="126" spans="1:8">
      <c r="A126" s="8">
        <f>A125+1</f>
        <v>501</v>
      </c>
      <c r="C126" t="s">
        <v>266</v>
      </c>
      <c r="E126" s="29">
        <f>'19-AandG Corrected V1'!F46</f>
        <v>278477957.36875582</v>
      </c>
      <c r="F126" t="s">
        <v>267</v>
      </c>
      <c r="H126" s="8">
        <f t="shared" si="29"/>
        <v>501</v>
      </c>
    </row>
    <row r="127" spans="1:8">
      <c r="A127" s="8">
        <f t="shared" ref="A127:A137" si="30">A126+1</f>
        <v>502</v>
      </c>
      <c r="C127" t="s">
        <v>268</v>
      </c>
      <c r="E127" s="29">
        <f>'15-NUC'!C16</f>
        <v>6397845</v>
      </c>
      <c r="F127" t="s">
        <v>269</v>
      </c>
      <c r="H127" s="8">
        <f t="shared" si="29"/>
        <v>502</v>
      </c>
    </row>
    <row r="128" spans="1:8">
      <c r="A128" s="8">
        <f t="shared" si="30"/>
        <v>503</v>
      </c>
      <c r="C128" t="s">
        <v>270</v>
      </c>
      <c r="E128" s="29">
        <f>'11-Depreciation'!O15+'11-Depreciation'!C61</f>
        <v>490683780.6148774</v>
      </c>
      <c r="F128" t="s">
        <v>271</v>
      </c>
      <c r="H128" s="8">
        <f t="shared" si="29"/>
        <v>503</v>
      </c>
    </row>
    <row r="129" spans="1:8">
      <c r="A129" s="8">
        <f t="shared" si="30"/>
        <v>504</v>
      </c>
      <c r="C129" s="17" t="s">
        <v>272</v>
      </c>
      <c r="E129" s="29">
        <f>'11-Depreciation'!F131</f>
        <v>-20209289.786648095</v>
      </c>
      <c r="F129" t="s">
        <v>273</v>
      </c>
      <c r="H129" s="8">
        <f t="shared" si="29"/>
        <v>504</v>
      </c>
    </row>
    <row r="130" spans="1:8">
      <c r="A130" s="8">
        <f t="shared" si="30"/>
        <v>505</v>
      </c>
      <c r="C130" t="s">
        <v>274</v>
      </c>
      <c r="E130" s="29">
        <f ca="1">'8-AbandonedPlant'!I14</f>
        <v>31085124.48372221</v>
      </c>
      <c r="F130" t="s">
        <v>275</v>
      </c>
      <c r="H130" s="8">
        <f t="shared" si="29"/>
        <v>505</v>
      </c>
    </row>
    <row r="131" spans="1:8">
      <c r="A131" s="8">
        <f t="shared" si="30"/>
        <v>506</v>
      </c>
      <c r="C131" t="s">
        <v>276</v>
      </c>
      <c r="E131" s="29">
        <f ca="1">E73</f>
        <v>629543200.09094071</v>
      </c>
      <c r="F131" t="str">
        <f>"Line "&amp;A73&amp;""</f>
        <v>Line 224</v>
      </c>
      <c r="H131" s="8">
        <f t="shared" si="29"/>
        <v>506</v>
      </c>
    </row>
    <row r="132" spans="1:8">
      <c r="A132" s="8">
        <f t="shared" si="30"/>
        <v>507</v>
      </c>
      <c r="C132" t="s">
        <v>277</v>
      </c>
      <c r="E132" s="29">
        <f>E93</f>
        <v>118716287.06286834</v>
      </c>
      <c r="F132" t="str">
        <f>"Line "&amp;A93&amp;""</f>
        <v>Line 311</v>
      </c>
      <c r="H132" s="8">
        <f t="shared" si="29"/>
        <v>507</v>
      </c>
    </row>
    <row r="133" spans="1:8">
      <c r="A133" s="8">
        <f t="shared" si="30"/>
        <v>508</v>
      </c>
      <c r="C133" t="s">
        <v>278</v>
      </c>
      <c r="E133" s="29">
        <f ca="1">E110</f>
        <v>178769794.1049895</v>
      </c>
      <c r="F133" t="str">
        <f>"Line "&amp;A110&amp;""</f>
        <v>Line 408</v>
      </c>
      <c r="H133" s="8">
        <f t="shared" si="29"/>
        <v>508</v>
      </c>
    </row>
    <row r="134" spans="1:8">
      <c r="A134" s="8">
        <f t="shared" si="30"/>
        <v>509</v>
      </c>
      <c r="C134" t="s">
        <v>54</v>
      </c>
      <c r="E134" s="29">
        <f>-'20-RevenueCredits'!H10</f>
        <v>-10515263</v>
      </c>
      <c r="F134" t="s">
        <v>279</v>
      </c>
      <c r="G134" t="s">
        <v>280</v>
      </c>
      <c r="H134" s="8">
        <f t="shared" si="29"/>
        <v>509</v>
      </c>
    </row>
    <row r="135" spans="1:8">
      <c r="A135" s="8">
        <f t="shared" si="30"/>
        <v>510</v>
      </c>
      <c r="C135" t="s">
        <v>281</v>
      </c>
      <c r="E135" s="29">
        <f>-'21-NPandS Corrected V1'!C38</f>
        <v>-15280364.979115846</v>
      </c>
      <c r="F135" t="s">
        <v>282</v>
      </c>
      <c r="G135" t="s">
        <v>280</v>
      </c>
      <c r="H135" s="8">
        <f t="shared" si="29"/>
        <v>510</v>
      </c>
    </row>
    <row r="136" spans="1:8">
      <c r="A136" s="8">
        <f t="shared" si="30"/>
        <v>511</v>
      </c>
      <c r="C136" t="s">
        <v>283</v>
      </c>
      <c r="E136" s="26">
        <f>'17-RegAssets-1'!E27</f>
        <v>0</v>
      </c>
      <c r="F136" t="s">
        <v>284</v>
      </c>
      <c r="G136" t="s">
        <v>285</v>
      </c>
      <c r="H136" s="8">
        <f t="shared" si="29"/>
        <v>511</v>
      </c>
    </row>
    <row r="137" spans="1:8">
      <c r="A137" s="8">
        <f t="shared" si="30"/>
        <v>512</v>
      </c>
      <c r="C137" s="12" t="s">
        <v>286</v>
      </c>
      <c r="D137" s="12"/>
      <c r="E137" s="63">
        <f ca="1">SUM(E125:E136)</f>
        <v>2303927320.0337167</v>
      </c>
      <c r="F137" t="str">
        <f>"Sum of Lines "&amp;A125&amp;" to Line "&amp;A136&amp;""</f>
        <v>Sum of Lines 500 to Line 511</v>
      </c>
      <c r="H137" s="8">
        <f t="shared" si="29"/>
        <v>512</v>
      </c>
    </row>
    <row r="138" spans="1:8">
      <c r="H138" s="8"/>
    </row>
    <row r="139" spans="1:8">
      <c r="C139" s="11" t="s">
        <v>287</v>
      </c>
      <c r="D139" s="11"/>
      <c r="H139" s="8"/>
    </row>
    <row r="140" spans="1:8">
      <c r="A140" s="8">
        <f>+A137+1</f>
        <v>513</v>
      </c>
      <c r="C140" t="s">
        <v>288</v>
      </c>
      <c r="E140" s="366">
        <f>'25-RFandUFactors'!E21</f>
        <v>7.2509999999999996E-3</v>
      </c>
      <c r="F140" t="s">
        <v>289</v>
      </c>
      <c r="H140" s="8">
        <f t="shared" si="29"/>
        <v>513</v>
      </c>
    </row>
    <row r="141" spans="1:8">
      <c r="A141" s="8">
        <f>A140+1</f>
        <v>514</v>
      </c>
      <c r="C141" t="s">
        <v>290</v>
      </c>
      <c r="D141" s="12"/>
      <c r="E141" s="39">
        <f>'25-RFandUFactors'!E22</f>
        <v>2.7184430899152115E-4</v>
      </c>
      <c r="F141" t="s">
        <v>291</v>
      </c>
      <c r="H141" s="8">
        <f t="shared" si="29"/>
        <v>514</v>
      </c>
    </row>
    <row r="142" spans="1:8">
      <c r="A142" s="8">
        <f>A141+1</f>
        <v>515</v>
      </c>
      <c r="C142" s="12" t="s">
        <v>292</v>
      </c>
      <c r="D142" s="12"/>
      <c r="E142" s="63">
        <f ca="1">(E140+E141)*E137</f>
        <v>17332086.527845733</v>
      </c>
      <c r="F142" s="17" t="str">
        <f>"Line "&amp;A137&amp;" * (Line "&amp;A140&amp;" + Line "&amp;A141&amp;")"</f>
        <v>Line 512 * (Line 513 + Line 514)</v>
      </c>
      <c r="H142" s="8">
        <f t="shared" si="29"/>
        <v>515</v>
      </c>
    </row>
    <row r="143" spans="1:8">
      <c r="H143" s="8"/>
    </row>
    <row r="144" spans="1:8">
      <c r="A144" s="8">
        <f>A142+1</f>
        <v>516</v>
      </c>
      <c r="C144" s="12" t="s">
        <v>293</v>
      </c>
      <c r="D144" s="12"/>
      <c r="E144" s="63">
        <f ca="1">E142+E137</f>
        <v>2321259406.5615625</v>
      </c>
      <c r="F144" t="str">
        <f>"Line "&amp;A137&amp;" + Line "&amp;A142&amp;""</f>
        <v>Line 512 + Line 515</v>
      </c>
      <c r="H144" s="8">
        <f t="shared" si="29"/>
        <v>516</v>
      </c>
    </row>
    <row r="145" spans="1:8">
      <c r="H145" s="8"/>
    </row>
    <row r="146" spans="1:8">
      <c r="A146"/>
      <c r="B146"/>
      <c r="C146" s="47" t="s">
        <v>294</v>
      </c>
      <c r="D146" s="219"/>
      <c r="E146" s="219"/>
      <c r="F146" s="219"/>
      <c r="G146" s="219"/>
    </row>
    <row r="147" spans="1:8">
      <c r="A147" s="13" t="s">
        <v>99</v>
      </c>
      <c r="B147" s="13"/>
      <c r="C147" s="13" t="s">
        <v>6</v>
      </c>
      <c r="E147" s="13" t="s">
        <v>133</v>
      </c>
      <c r="F147" s="13" t="s">
        <v>134</v>
      </c>
      <c r="G147" s="13" t="s">
        <v>135</v>
      </c>
      <c r="H147" s="13" t="str">
        <f>A147</f>
        <v>Line</v>
      </c>
    </row>
    <row r="148" spans="1:8">
      <c r="A148" s="8">
        <v>600</v>
      </c>
      <c r="C148" t="s">
        <v>293</v>
      </c>
      <c r="E148" s="29">
        <f ca="1">+E144</f>
        <v>2321259406.5615625</v>
      </c>
      <c r="F148" t="str">
        <f>"Line "&amp;A144&amp;""</f>
        <v>Line 516</v>
      </c>
      <c r="H148" s="8">
        <f t="shared" si="29"/>
        <v>600</v>
      </c>
    </row>
    <row r="149" spans="1:8">
      <c r="A149" s="8">
        <f>A148+1</f>
        <v>601</v>
      </c>
      <c r="C149" t="s">
        <v>295</v>
      </c>
      <c r="E149" s="29">
        <f ca="1">'2-ITRR'!D34</f>
        <v>338801541.6887098</v>
      </c>
      <c r="F149" t="str">
        <f>CONCATENATE("2-ITRR, L. ",'2-ITRR'!A34)</f>
        <v>2-ITRR, L. 209</v>
      </c>
      <c r="H149" s="8">
        <f t="shared" si="29"/>
        <v>601</v>
      </c>
    </row>
    <row r="150" spans="1:8">
      <c r="A150" s="8">
        <f>A149+1</f>
        <v>602</v>
      </c>
      <c r="C150" t="s">
        <v>14</v>
      </c>
      <c r="E150" s="26">
        <f>IF(G1&gt;2020,'4-ATA Corrected V1'!B95,0)</f>
        <v>136134084</v>
      </c>
      <c r="F150" t="str">
        <f>CONCATENATE("4-ATA, L. ",'4-ATA Corrected V1'!A95)</f>
        <v>4-ATA, L. 400</v>
      </c>
      <c r="G150" s="118"/>
      <c r="H150" s="8">
        <f t="shared" si="29"/>
        <v>602</v>
      </c>
    </row>
    <row r="151" spans="1:8">
      <c r="A151" s="8">
        <f>A150+1</f>
        <v>603</v>
      </c>
      <c r="C151" s="12" t="s">
        <v>296</v>
      </c>
      <c r="E151" s="63">
        <f ca="1">SUM(E148:E150)</f>
        <v>2796195032.2502723</v>
      </c>
      <c r="F151" t="str">
        <f>"Sum of Lines "&amp;A148&amp;" to Line "&amp;A150&amp;""</f>
        <v>Sum of Lines 600 to Line 602</v>
      </c>
      <c r="H151" s="8">
        <f t="shared" si="29"/>
        <v>603</v>
      </c>
    </row>
    <row r="152" spans="1:8">
      <c r="H152" s="8"/>
    </row>
    <row r="153" spans="1:8">
      <c r="A153"/>
      <c r="B153"/>
      <c r="C153" s="47" t="s">
        <v>297</v>
      </c>
      <c r="D153" s="219"/>
      <c r="E153" s="219"/>
      <c r="F153" s="219"/>
      <c r="G153" s="219"/>
    </row>
    <row r="154" spans="1:8">
      <c r="A154" s="13" t="s">
        <v>99</v>
      </c>
      <c r="B154" s="13"/>
      <c r="C154" s="13" t="s">
        <v>6</v>
      </c>
      <c r="E154" s="13" t="s">
        <v>133</v>
      </c>
      <c r="F154" s="13" t="s">
        <v>134</v>
      </c>
      <c r="G154" s="13" t="s">
        <v>135</v>
      </c>
      <c r="H154" s="13" t="str">
        <f>A154</f>
        <v>Line</v>
      </c>
    </row>
    <row r="155" spans="1:8">
      <c r="A155" s="8">
        <v>700</v>
      </c>
      <c r="C155" t="s">
        <v>298</v>
      </c>
      <c r="E155" s="19">
        <f>'25-RFandUFactors'!E23</f>
        <v>3.0104518270731213E-3</v>
      </c>
      <c r="F155" t="s">
        <v>299</v>
      </c>
      <c r="G155" s="13"/>
      <c r="H155" s="8">
        <f t="shared" si="29"/>
        <v>700</v>
      </c>
    </row>
    <row r="156" spans="1:8">
      <c r="E156" s="19"/>
      <c r="F156" s="13"/>
      <c r="G156" s="13"/>
      <c r="H156" s="8"/>
    </row>
    <row r="157" spans="1:8">
      <c r="A157" s="8">
        <f>A155+1</f>
        <v>701</v>
      </c>
      <c r="C157" t="s">
        <v>300</v>
      </c>
      <c r="E157" s="29">
        <f ca="1">E155*E151</f>
        <v>8417810.4436906166</v>
      </c>
      <c r="F157" t="str">
        <f>"Line "&amp;A155&amp;" * Line "&amp;A151&amp;""</f>
        <v>Line 700 * Line 603</v>
      </c>
      <c r="G157" s="13"/>
      <c r="H157" s="8">
        <f t="shared" si="29"/>
        <v>701</v>
      </c>
    </row>
    <row r="158" spans="1:8">
      <c r="A158" s="8">
        <f t="shared" ref="A158:A160" si="31">A157+1</f>
        <v>702</v>
      </c>
      <c r="C158" t="s">
        <v>301</v>
      </c>
      <c r="E158" s="29">
        <f>'23-RetailSGTax'!D38</f>
        <v>4762650.9882326741</v>
      </c>
      <c r="F158" t="s">
        <v>302</v>
      </c>
      <c r="H158" s="8">
        <f t="shared" si="29"/>
        <v>702</v>
      </c>
    </row>
    <row r="159" spans="1:8">
      <c r="A159" s="8">
        <f t="shared" si="31"/>
        <v>703</v>
      </c>
      <c r="C159" t="s">
        <v>296</v>
      </c>
      <c r="E159" s="26">
        <f ca="1">E151</f>
        <v>2796195032.2502723</v>
      </c>
      <c r="F159" t="str">
        <f>"Line "&amp;A151&amp;""</f>
        <v>Line 603</v>
      </c>
      <c r="H159" s="8">
        <f t="shared" si="29"/>
        <v>703</v>
      </c>
    </row>
    <row r="160" spans="1:8">
      <c r="A160" s="8">
        <f t="shared" si="31"/>
        <v>704</v>
      </c>
      <c r="C160" s="12" t="s">
        <v>303</v>
      </c>
      <c r="E160" s="63">
        <f ca="1">SUM(E157:E159)</f>
        <v>2809375493.6821957</v>
      </c>
      <c r="F160" t="str">
        <f>"Sum of Lines "&amp;A157&amp;" to Line "&amp;A159&amp;""</f>
        <v>Sum of Lines 701 to Line 703</v>
      </c>
      <c r="H160" s="8">
        <f t="shared" si="29"/>
        <v>704</v>
      </c>
    </row>
    <row r="162" spans="3:7">
      <c r="E162" s="40"/>
      <c r="F162" s="37"/>
    </row>
    <row r="163" spans="3:7">
      <c r="C163" s="16" t="s">
        <v>304</v>
      </c>
    </row>
    <row r="164" spans="3:7">
      <c r="C164" s="801" t="s">
        <v>305</v>
      </c>
      <c r="D164" s="801"/>
      <c r="E164" s="801"/>
      <c r="F164" s="801"/>
      <c r="G164" s="801"/>
    </row>
    <row r="165" spans="3:7">
      <c r="C165" s="802" t="s">
        <v>306</v>
      </c>
      <c r="D165" s="802"/>
      <c r="E165" s="802"/>
      <c r="F165" s="802"/>
      <c r="G165" s="802"/>
    </row>
    <row r="166" spans="3:7">
      <c r="C166" s="803" t="s">
        <v>307</v>
      </c>
      <c r="D166" s="803"/>
      <c r="E166" s="803"/>
      <c r="F166" s="803"/>
      <c r="G166" s="803"/>
    </row>
    <row r="167" spans="3:7">
      <c r="C167" s="803"/>
      <c r="D167" s="803"/>
      <c r="E167" s="803"/>
      <c r="F167" s="803"/>
      <c r="G167" s="803"/>
    </row>
    <row r="168" spans="3:7">
      <c r="C168" s="801" t="s">
        <v>308</v>
      </c>
      <c r="D168" s="801"/>
      <c r="E168" s="801"/>
      <c r="F168" s="801"/>
      <c r="G168" s="801"/>
    </row>
  </sheetData>
  <mergeCells count="4">
    <mergeCell ref="C168:G168"/>
    <mergeCell ref="C164:G164"/>
    <mergeCell ref="C165:G165"/>
    <mergeCell ref="C166:G167"/>
  </mergeCells>
  <printOptions horizontalCentered="1"/>
  <pageMargins left="1" right="1" top="1" bottom="1" header="0.5" footer="0.5"/>
  <pageSetup scale="66"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2" max="16383" man="1"/>
  </rowBreaks>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K61"/>
  <sheetViews>
    <sheetView tabSelected="1" view="pageBreakPreview" topLeftCell="A41" zoomScaleNormal="85" zoomScaleSheetLayoutView="100" zoomScalePageLayoutView="70" workbookViewId="0">
      <selection activeCell="E21" sqref="E21"/>
    </sheetView>
  </sheetViews>
  <sheetFormatPr defaultColWidth="9.1796875" defaultRowHeight="14.5"/>
  <cols>
    <col min="1" max="1" width="4.7265625" bestFit="1" customWidth="1"/>
    <col min="2" max="2" width="55.54296875" bestFit="1" customWidth="1"/>
    <col min="3" max="3" width="2.54296875" customWidth="1"/>
    <col min="4" max="4" width="16.453125" bestFit="1" customWidth="1"/>
    <col min="5" max="5" width="18.81640625" bestFit="1" customWidth="1"/>
    <col min="6" max="6" width="15.54296875" bestFit="1" customWidth="1"/>
    <col min="7" max="7" width="47.453125" customWidth="1"/>
    <col min="8" max="8" width="7.7265625" customWidth="1"/>
    <col min="9" max="9" width="4.7265625" bestFit="1" customWidth="1"/>
    <col min="10" max="10" width="13.7265625" bestFit="1" customWidth="1"/>
    <col min="11" max="11" width="9.1796875" customWidth="1"/>
  </cols>
  <sheetData>
    <row r="1" spans="1:9">
      <c r="B1" s="12" t="s">
        <v>66</v>
      </c>
      <c r="F1" s="15"/>
      <c r="H1" s="15" t="str">
        <f>CONCATENATE("Rate Year: ",'1-BaseTRR'!$G$1)</f>
        <v>Rate Year: 2022</v>
      </c>
    </row>
    <row r="2" spans="1:9">
      <c r="B2" s="113" t="s">
        <v>130</v>
      </c>
      <c r="F2" s="15"/>
      <c r="H2" s="15"/>
    </row>
    <row r="3" spans="1:9">
      <c r="D3" s="13" t="s">
        <v>413</v>
      </c>
      <c r="E3" s="13" t="s">
        <v>414</v>
      </c>
      <c r="F3" s="13" t="s">
        <v>415</v>
      </c>
    </row>
    <row r="4" spans="1:9">
      <c r="D4" s="8" t="s">
        <v>1960</v>
      </c>
      <c r="E4" s="8" t="s">
        <v>1961</v>
      </c>
    </row>
    <row r="5" spans="1:9">
      <c r="A5" s="13" t="s">
        <v>99</v>
      </c>
      <c r="B5" s="13"/>
      <c r="D5" s="162" t="s">
        <v>1962</v>
      </c>
      <c r="E5" s="162" t="s">
        <v>1962</v>
      </c>
      <c r="F5" s="162" t="s">
        <v>655</v>
      </c>
      <c r="G5" s="13"/>
      <c r="H5" s="13"/>
      <c r="I5" s="13" t="str">
        <f>A5</f>
        <v>Line</v>
      </c>
    </row>
    <row r="6" spans="1:9">
      <c r="A6" s="8">
        <v>1</v>
      </c>
      <c r="D6" s="60">
        <f>'24-Allocators'!$C$52</f>
        <v>0.43129474315365784</v>
      </c>
      <c r="E6" s="60">
        <f>'24-Allocators'!$C$53</f>
        <v>0.56870525684634221</v>
      </c>
      <c r="F6" t="s">
        <v>1963</v>
      </c>
      <c r="G6" s="13"/>
      <c r="H6" s="13"/>
      <c r="I6" s="8">
        <f>A6</f>
        <v>1</v>
      </c>
    </row>
    <row r="7" spans="1:9">
      <c r="A7" s="8"/>
      <c r="G7" s="13"/>
      <c r="H7" s="13"/>
      <c r="I7" s="8"/>
    </row>
    <row r="8" spans="1:9">
      <c r="A8" s="13"/>
      <c r="B8" s="47" t="s">
        <v>172</v>
      </c>
      <c r="C8" s="219"/>
      <c r="D8" s="219"/>
      <c r="E8" s="219"/>
      <c r="F8" s="219"/>
      <c r="G8" s="346"/>
      <c r="H8" s="346"/>
      <c r="I8" s="8"/>
    </row>
    <row r="9" spans="1:9">
      <c r="A9" s="13" t="s">
        <v>99</v>
      </c>
      <c r="B9" s="13" t="s">
        <v>6</v>
      </c>
      <c r="D9" s="13" t="s">
        <v>775</v>
      </c>
      <c r="E9" s="13" t="s">
        <v>776</v>
      </c>
      <c r="F9" s="13" t="s">
        <v>509</v>
      </c>
      <c r="G9" s="13" t="s">
        <v>655</v>
      </c>
      <c r="H9" s="13" t="s">
        <v>135</v>
      </c>
      <c r="I9" s="13" t="s">
        <v>99</v>
      </c>
    </row>
    <row r="10" spans="1:9">
      <c r="A10" s="8"/>
      <c r="B10" s="11" t="s">
        <v>136</v>
      </c>
      <c r="C10" s="11"/>
      <c r="D10" s="368"/>
      <c r="E10" s="368"/>
      <c r="F10" s="368"/>
      <c r="I10" s="8"/>
    </row>
    <row r="11" spans="1:9">
      <c r="A11" s="8">
        <v>100</v>
      </c>
      <c r="B11" t="s">
        <v>137</v>
      </c>
      <c r="D11" s="29">
        <f>'7-PlantInService'!P49</f>
        <v>5968876645.82129</v>
      </c>
      <c r="E11" s="29">
        <f>'7-PlantInService'!P74</f>
        <v>7803538301.3045979</v>
      </c>
      <c r="F11" s="29">
        <f>SUM(D11:E11)</f>
        <v>13772414947.125889</v>
      </c>
      <c r="G11" t="s">
        <v>1964</v>
      </c>
      <c r="I11" s="8">
        <f>A11</f>
        <v>100</v>
      </c>
    </row>
    <row r="12" spans="1:9">
      <c r="A12" s="8">
        <f>A11+1</f>
        <v>101</v>
      </c>
      <c r="B12" t="s">
        <v>140</v>
      </c>
      <c r="D12" s="29">
        <f>'7-PlantInService'!E128</f>
        <v>547963060.41581166</v>
      </c>
      <c r="E12" s="29">
        <f>'7-PlantInService'!F128</f>
        <v>745743054.44183922</v>
      </c>
      <c r="F12" s="29">
        <f>SUM(D12:E12)</f>
        <v>1293706114.8576508</v>
      </c>
      <c r="G12" t="s">
        <v>1965</v>
      </c>
      <c r="I12" s="8">
        <f>A12</f>
        <v>101</v>
      </c>
    </row>
    <row r="13" spans="1:9">
      <c r="A13" s="8">
        <f>A12+1</f>
        <v>102</v>
      </c>
      <c r="B13" t="s">
        <v>142</v>
      </c>
      <c r="D13" s="26">
        <f ca="1">'8-AbandonedPlant'!M12</f>
        <v>-2219481.1124061691</v>
      </c>
      <c r="E13" s="26">
        <f ca="1">'8-AbandonedPlant'!M13</f>
        <v>-2129887.3351072748</v>
      </c>
      <c r="F13" s="26">
        <f ca="1">SUM(D13:E13)</f>
        <v>-4349368.4475134443</v>
      </c>
      <c r="G13" t="s">
        <v>1966</v>
      </c>
      <c r="I13" s="8">
        <f>A13</f>
        <v>102</v>
      </c>
    </row>
    <row r="14" spans="1:9">
      <c r="A14" s="8">
        <f>A13+1</f>
        <v>103</v>
      </c>
      <c r="B14" s="12" t="s">
        <v>144</v>
      </c>
      <c r="C14" s="12"/>
      <c r="D14" s="63">
        <f ca="1">SUM(D11:D13)</f>
        <v>6514620225.1246958</v>
      </c>
      <c r="E14" s="63">
        <f ca="1">SUM(E11:E13)</f>
        <v>8547151468.4113302</v>
      </c>
      <c r="F14" s="63">
        <f ca="1">SUM(F11:F13)</f>
        <v>15061771693.536026</v>
      </c>
      <c r="G14" s="6" t="str">
        <f>"Sum of Lines "&amp;A11&amp;" to "&amp;A13&amp;""</f>
        <v>Sum of Lines 100 to 102</v>
      </c>
      <c r="H14" s="6"/>
      <c r="I14" s="8">
        <f>A14</f>
        <v>103</v>
      </c>
    </row>
    <row r="15" spans="1:9">
      <c r="A15" s="8"/>
      <c r="D15" s="30"/>
      <c r="E15" s="30"/>
      <c r="F15" s="30"/>
      <c r="I15" s="8"/>
    </row>
    <row r="16" spans="1:9">
      <c r="A16" s="8"/>
      <c r="B16" s="11" t="s">
        <v>145</v>
      </c>
      <c r="C16" s="11"/>
      <c r="D16" s="30"/>
      <c r="E16" s="30"/>
      <c r="F16" s="30"/>
      <c r="I16" s="8"/>
    </row>
    <row r="17" spans="1:9">
      <c r="A17" s="8">
        <f>A14+1</f>
        <v>104</v>
      </c>
      <c r="B17" t="s">
        <v>146</v>
      </c>
      <c r="D17" s="29">
        <f>'13-WorkCap'!F25</f>
        <v>35233114.424583957</v>
      </c>
      <c r="E17" s="29">
        <f>'13-WorkCap'!G25</f>
        <v>46062764.268879861</v>
      </c>
      <c r="F17" s="29">
        <f>SUM(D17:E17)</f>
        <v>81295878.693463817</v>
      </c>
      <c r="G17" t="s">
        <v>1967</v>
      </c>
      <c r="I17" s="8">
        <f>A17</f>
        <v>104</v>
      </c>
    </row>
    <row r="18" spans="1:9">
      <c r="A18" s="8">
        <f>A17+1</f>
        <v>105</v>
      </c>
      <c r="B18" t="s">
        <v>148</v>
      </c>
      <c r="D18" s="29">
        <f>'13-WorkCap'!$F$60*D6</f>
        <v>32767132.473218363</v>
      </c>
      <c r="E18" s="29">
        <f>'13-WorkCap'!$F$60*E6</f>
        <v>43206741.526781641</v>
      </c>
      <c r="F18" s="29">
        <f>SUM(D18:E18)</f>
        <v>75973874</v>
      </c>
      <c r="G18" t="s">
        <v>1968</v>
      </c>
      <c r="I18" s="8">
        <f>A18</f>
        <v>105</v>
      </c>
    </row>
    <row r="19" spans="1:9">
      <c r="A19" s="8">
        <f>A18+1</f>
        <v>106</v>
      </c>
      <c r="B19" t="s">
        <v>150</v>
      </c>
      <c r="D19" s="26">
        <f>(D36+D37)/10</f>
        <v>38641211.215999439</v>
      </c>
      <c r="E19" s="26">
        <f>(E36+E37)/10</f>
        <v>50832409.428208813</v>
      </c>
      <c r="F19" s="26">
        <f>SUM(D19:E19)</f>
        <v>89473620.644208252</v>
      </c>
      <c r="G19" t="str">
        <f>"(Line "&amp;A36&amp;" + Line "&amp;A37&amp;") / 10"</f>
        <v>(Line 200 + Line 201) / 10</v>
      </c>
      <c r="I19" s="8">
        <f>A19</f>
        <v>106</v>
      </c>
    </row>
    <row r="20" spans="1:9">
      <c r="A20" s="8">
        <f>A19+1</f>
        <v>107</v>
      </c>
      <c r="B20" s="12" t="s">
        <v>151</v>
      </c>
      <c r="C20" s="12"/>
      <c r="D20" s="63">
        <f>SUM(D17:D19)</f>
        <v>106641458.11380176</v>
      </c>
      <c r="E20" s="63">
        <f>SUM(E17:E19)</f>
        <v>140101915.22387034</v>
      </c>
      <c r="F20" s="63">
        <f>SUM(F17:F19)</f>
        <v>246743373.33767205</v>
      </c>
      <c r="G20" s="6" t="str">
        <f>"Sum of Lines "&amp;A17&amp;" to "&amp;A19&amp;""</f>
        <v>Sum of Lines 104 to 106</v>
      </c>
      <c r="H20" s="6"/>
      <c r="I20" s="8">
        <f>A20</f>
        <v>107</v>
      </c>
    </row>
    <row r="21" spans="1:9">
      <c r="A21" s="8"/>
      <c r="D21" s="30"/>
      <c r="E21" s="30"/>
      <c r="F21" s="30"/>
      <c r="I21" s="8"/>
    </row>
    <row r="22" spans="1:9">
      <c r="A22" s="8"/>
      <c r="B22" s="11" t="s">
        <v>152</v>
      </c>
      <c r="C22" s="11"/>
      <c r="D22" s="30"/>
      <c r="E22" s="30"/>
      <c r="F22" s="30"/>
      <c r="I22" s="8"/>
    </row>
    <row r="23" spans="1:9">
      <c r="A23" s="8">
        <f>A20+1</f>
        <v>108</v>
      </c>
      <c r="B23" t="s">
        <v>153</v>
      </c>
      <c r="D23" s="29">
        <f>-'10-AccDep'!P51</f>
        <v>-1426693639.5693283</v>
      </c>
      <c r="E23" s="29">
        <f>-'10-AccDep'!P76</f>
        <v>-1828832196.5185246</v>
      </c>
      <c r="F23" s="29">
        <f>SUM(D23:E23)</f>
        <v>-3255525836.087853</v>
      </c>
      <c r="G23" t="s">
        <v>1969</v>
      </c>
      <c r="I23" s="8">
        <f>A23</f>
        <v>108</v>
      </c>
    </row>
    <row r="24" spans="1:9">
      <c r="A24" s="8">
        <f>A23+1</f>
        <v>109</v>
      </c>
      <c r="B24" t="s">
        <v>156</v>
      </c>
      <c r="D24" s="26">
        <f>-'10-AccDep'!E128</f>
        <v>-192591292.91699103</v>
      </c>
      <c r="E24" s="26">
        <f>-'10-AccDep'!F128</f>
        <v>-248413178.23948494</v>
      </c>
      <c r="F24" s="26">
        <f>SUM(D24:E24)</f>
        <v>-441004471.15647596</v>
      </c>
      <c r="G24" t="s">
        <v>1970</v>
      </c>
      <c r="I24" s="8">
        <f>A24</f>
        <v>109</v>
      </c>
    </row>
    <row r="25" spans="1:9">
      <c r="A25" s="8">
        <f>A24+1</f>
        <v>110</v>
      </c>
      <c r="B25" s="12" t="s">
        <v>158</v>
      </c>
      <c r="C25" s="12"/>
      <c r="D25" s="63">
        <f>+D23+D24</f>
        <v>-1619284932.4863193</v>
      </c>
      <c r="E25" s="63">
        <f>+E23+E24</f>
        <v>-2077245374.7580097</v>
      </c>
      <c r="F25" s="63">
        <f>+F23+F24</f>
        <v>-3696530307.244329</v>
      </c>
      <c r="G25" t="str">
        <f>"Line "&amp;A23&amp;" + Line "&amp;A24&amp;""</f>
        <v>Line 108 + Line 109</v>
      </c>
      <c r="I25" s="8">
        <f>A25</f>
        <v>110</v>
      </c>
    </row>
    <row r="26" spans="1:9">
      <c r="A26" s="8"/>
      <c r="D26" s="30"/>
      <c r="E26" s="30"/>
      <c r="F26" s="30"/>
      <c r="I26" s="8"/>
    </row>
    <row r="27" spans="1:9">
      <c r="A27" s="8">
        <f>A25+1</f>
        <v>111</v>
      </c>
      <c r="B27" s="14" t="s">
        <v>160</v>
      </c>
      <c r="C27" s="14"/>
      <c r="D27" s="29">
        <f>'1-BaseTRR'!E25*$D$6</f>
        <v>-873502281.66943872</v>
      </c>
      <c r="E27" s="29">
        <f>'1-BaseTRR'!E25*$E$6</f>
        <v>-1151800125.8728559</v>
      </c>
      <c r="F27" s="29">
        <f>SUM(D27:E27)</f>
        <v>-2025302407.5422945</v>
      </c>
      <c r="G27" t="s">
        <v>1971</v>
      </c>
      <c r="I27" s="8">
        <f>A27</f>
        <v>111</v>
      </c>
    </row>
    <row r="28" spans="1:9">
      <c r="A28" s="8">
        <f>A27+1</f>
        <v>112</v>
      </c>
      <c r="B28" s="12" t="s">
        <v>346</v>
      </c>
      <c r="C28" s="12"/>
      <c r="D28" s="29">
        <f>'1-BaseTRR'!E26*$D$6</f>
        <v>-86621301.133465379</v>
      </c>
      <c r="E28" s="29">
        <f>'1-BaseTRR'!E26*$E$6</f>
        <v>-114218849.38653463</v>
      </c>
      <c r="F28" s="29">
        <f>SUM(D28:E28)</f>
        <v>-200840150.52000001</v>
      </c>
      <c r="G28" t="s">
        <v>1972</v>
      </c>
      <c r="I28" s="8">
        <f>A28</f>
        <v>112</v>
      </c>
    </row>
    <row r="29" spans="1:9">
      <c r="A29" s="8">
        <f>A28+1</f>
        <v>113</v>
      </c>
      <c r="B29" s="12" t="s">
        <v>1973</v>
      </c>
      <c r="C29" s="12"/>
      <c r="D29" s="29">
        <f>'1-BaseTRR'!E27*$D$6</f>
        <v>-27832238.607115723</v>
      </c>
      <c r="E29" s="29">
        <f>'1-BaseTRR'!E27*$E$6</f>
        <v>-36699590.377407521</v>
      </c>
      <c r="F29" s="29">
        <f>SUM(D29:E29)</f>
        <v>-64531828.984523244</v>
      </c>
      <c r="G29" t="s">
        <v>1974</v>
      </c>
      <c r="I29" s="8">
        <f>A29</f>
        <v>113</v>
      </c>
    </row>
    <row r="30" spans="1:9">
      <c r="A30" s="8">
        <f>A29+1</f>
        <v>114</v>
      </c>
      <c r="B30" s="12" t="s">
        <v>170</v>
      </c>
      <c r="C30" s="12"/>
      <c r="D30" s="29">
        <f>'1-BaseTRR'!E28*$D$6</f>
        <v>0</v>
      </c>
      <c r="E30" s="29">
        <f>'1-BaseTRR'!E28*$E$6</f>
        <v>0</v>
      </c>
      <c r="F30" s="29">
        <f>SUM(D30:E30)</f>
        <v>0</v>
      </c>
      <c r="G30" t="s">
        <v>1975</v>
      </c>
      <c r="I30" s="8">
        <f>A30</f>
        <v>114</v>
      </c>
    </row>
    <row r="31" spans="1:9">
      <c r="A31" s="8"/>
      <c r="D31" s="30"/>
      <c r="E31" s="30"/>
      <c r="F31" s="30"/>
      <c r="I31" s="8"/>
    </row>
    <row r="32" spans="1:9">
      <c r="A32" s="8">
        <f>A30+1</f>
        <v>115</v>
      </c>
      <c r="B32" s="12" t="s">
        <v>172</v>
      </c>
      <c r="C32" s="12"/>
      <c r="D32" s="63">
        <f ca="1">+D14+D20+D25+D27+D28+D30+D29</f>
        <v>4014020929.3421583</v>
      </c>
      <c r="E32" s="63">
        <f ca="1">+E14+E20+E25+E27+E28+E30+E29</f>
        <v>5307289443.2403927</v>
      </c>
      <c r="F32" s="63">
        <f ca="1">+F14+F20+F25+F27+F28+F30+F29</f>
        <v>9321310372.58255</v>
      </c>
      <c r="G32" t="str">
        <f>"Sum of Lines "&amp;A14&amp;", "&amp;A20&amp;", "&amp;A25&amp;" and Lines "&amp;A27&amp;" to "&amp;A30&amp;""</f>
        <v>Sum of Lines 103, 107, 110 and Lines 111 to 114</v>
      </c>
      <c r="I32" s="8">
        <f>A32</f>
        <v>115</v>
      </c>
    </row>
    <row r="33" spans="1:11">
      <c r="A33" s="8"/>
      <c r="B33" s="12"/>
      <c r="C33" s="12"/>
      <c r="D33" s="22"/>
      <c r="E33" s="22"/>
      <c r="F33" s="22"/>
      <c r="I33" s="8"/>
    </row>
    <row r="34" spans="1:11">
      <c r="A34" s="13"/>
      <c r="B34" s="47" t="s">
        <v>1976</v>
      </c>
      <c r="C34" s="219"/>
      <c r="D34" s="219"/>
      <c r="E34" s="219"/>
      <c r="F34" s="219"/>
      <c r="G34" s="346"/>
      <c r="H34" s="346"/>
      <c r="I34" s="8"/>
    </row>
    <row r="35" spans="1:11">
      <c r="A35" s="13" t="s">
        <v>99</v>
      </c>
      <c r="B35" s="13" t="s">
        <v>6</v>
      </c>
      <c r="D35" s="13" t="s">
        <v>775</v>
      </c>
      <c r="E35" s="13" t="s">
        <v>776</v>
      </c>
      <c r="F35" s="13" t="s">
        <v>509</v>
      </c>
      <c r="G35" s="13" t="s">
        <v>655</v>
      </c>
      <c r="H35" s="13" t="s">
        <v>135</v>
      </c>
      <c r="I35" s="13" t="s">
        <v>99</v>
      </c>
    </row>
    <row r="36" spans="1:11" ht="43.5">
      <c r="A36" s="8">
        <v>200</v>
      </c>
      <c r="B36" t="s">
        <v>264</v>
      </c>
      <c r="D36" s="29">
        <f>D6*('18-OandM'!P10-'18-OandM'!P24)+'18-OandM'!P24</f>
        <v>266306033.06268156</v>
      </c>
      <c r="E36" s="29">
        <f>E6*('18-OandM'!P10-'18-OandM'!P24)</f>
        <v>349952216.01064515</v>
      </c>
      <c r="F36" s="29">
        <f t="shared" ref="F36:F48" si="0">SUM(D36:E36)</f>
        <v>616258249.07332671</v>
      </c>
      <c r="G36" s="304" t="s">
        <v>1977</v>
      </c>
      <c r="H36" s="304"/>
      <c r="I36" s="8">
        <f t="shared" ref="I36:I48" si="1">A36</f>
        <v>200</v>
      </c>
      <c r="J36" s="30"/>
    </row>
    <row r="37" spans="1:11">
      <c r="A37" s="8">
        <f t="shared" ref="A37:A48" si="2">A36+1</f>
        <v>201</v>
      </c>
      <c r="B37" t="s">
        <v>266</v>
      </c>
      <c r="D37" s="29">
        <f>D6*'1-BaseTRR'!E126</f>
        <v>120106079.09731282</v>
      </c>
      <c r="E37" s="29">
        <f>E6*'1-BaseTRR'!E126</f>
        <v>158371878.27144301</v>
      </c>
      <c r="F37" s="29">
        <f t="shared" si="0"/>
        <v>278477957.36875582</v>
      </c>
      <c r="G37" t="s">
        <v>1978</v>
      </c>
      <c r="I37" s="8">
        <f t="shared" si="1"/>
        <v>201</v>
      </c>
      <c r="J37" s="30"/>
    </row>
    <row r="38" spans="1:11">
      <c r="A38" s="8">
        <f t="shared" si="2"/>
        <v>202</v>
      </c>
      <c r="B38" t="s">
        <v>268</v>
      </c>
      <c r="D38" s="29">
        <f>D6*'1-BaseTRR'!E127</f>
        <v>2759356.9160119141</v>
      </c>
      <c r="E38" s="29">
        <f>E6*'1-BaseTRR'!E127</f>
        <v>3638488.0839880863</v>
      </c>
      <c r="F38" s="29">
        <f t="shared" si="0"/>
        <v>6397845</v>
      </c>
      <c r="G38" t="s">
        <v>1979</v>
      </c>
      <c r="I38" s="8">
        <f t="shared" si="1"/>
        <v>202</v>
      </c>
      <c r="J38" s="30"/>
    </row>
    <row r="39" spans="1:11" ht="29">
      <c r="A39" s="8">
        <f t="shared" si="2"/>
        <v>203</v>
      </c>
      <c r="B39" t="s">
        <v>270</v>
      </c>
      <c r="D39" s="29">
        <f>'11-Depreciation'!O13+'11-Depreciation'!D61</f>
        <v>210182411.06779483</v>
      </c>
      <c r="E39" s="29">
        <f>'11-Depreciation'!O14+'11-Depreciation'!E61</f>
        <v>280501369.54708254</v>
      </c>
      <c r="F39" s="29">
        <f t="shared" si="0"/>
        <v>490683780.61487734</v>
      </c>
      <c r="G39" s="304" t="s">
        <v>1980</v>
      </c>
      <c r="H39" s="304"/>
      <c r="I39" s="8">
        <f t="shared" si="1"/>
        <v>203</v>
      </c>
      <c r="J39" s="124"/>
      <c r="K39" s="28"/>
    </row>
    <row r="40" spans="1:11">
      <c r="A40" s="8">
        <f t="shared" si="2"/>
        <v>204</v>
      </c>
      <c r="B40" s="17" t="s">
        <v>1981</v>
      </c>
      <c r="D40" s="29">
        <f>D6*'1-BaseTRR'!$E$129</f>
        <v>-8716160.4478502311</v>
      </c>
      <c r="E40" s="29">
        <f>E6*'1-BaseTRR'!$E$129</f>
        <v>-11493129.338797865</v>
      </c>
      <c r="F40" s="29">
        <f t="shared" si="0"/>
        <v>-20209289.786648095</v>
      </c>
      <c r="G40" t="s">
        <v>1982</v>
      </c>
      <c r="I40" s="8">
        <f t="shared" si="1"/>
        <v>204</v>
      </c>
      <c r="J40" s="124"/>
      <c r="K40" s="28"/>
    </row>
    <row r="41" spans="1:11">
      <c r="A41" s="8">
        <f t="shared" si="2"/>
        <v>205</v>
      </c>
      <c r="B41" t="s">
        <v>274</v>
      </c>
      <c r="D41" s="29">
        <f ca="1">'8-AbandonedPlant'!I12</f>
        <v>15862727.543319441</v>
      </c>
      <c r="E41" s="29">
        <f ca="1">'8-AbandonedPlant'!I13</f>
        <v>15222396.940402769</v>
      </c>
      <c r="F41" s="29">
        <f t="shared" ca="1" si="0"/>
        <v>31085124.48372221</v>
      </c>
      <c r="G41" t="s">
        <v>1983</v>
      </c>
      <c r="I41" s="8">
        <f t="shared" si="1"/>
        <v>205</v>
      </c>
      <c r="J41" s="30"/>
    </row>
    <row r="42" spans="1:11" ht="29">
      <c r="A42" s="8">
        <f t="shared" si="2"/>
        <v>206</v>
      </c>
      <c r="B42" t="s">
        <v>276</v>
      </c>
      <c r="D42" s="29">
        <f ca="1">D32*'1-BaseTRR'!$E$66-('1-BaseTRR'!E69*'8-AbandonedPlant'!M12)</f>
        <v>271099178.12874496</v>
      </c>
      <c r="E42" s="29">
        <f ca="1">E32*'1-BaseTRR'!$E$66-('1-BaseTRR'!E69*'8-AbandonedPlant'!M13)</f>
        <v>358444021.96219599</v>
      </c>
      <c r="F42" s="29">
        <f t="shared" ca="1" si="0"/>
        <v>629543200.09094095</v>
      </c>
      <c r="G42" s="304" t="s">
        <v>1984</v>
      </c>
      <c r="I42" s="8">
        <f t="shared" si="1"/>
        <v>206</v>
      </c>
      <c r="J42" s="30"/>
    </row>
    <row r="43" spans="1:11">
      <c r="A43" s="8">
        <f t="shared" si="2"/>
        <v>207</v>
      </c>
      <c r="B43" t="s">
        <v>277</v>
      </c>
      <c r="D43" s="29">
        <f>$D$6*'1-BaseTRR'!E132</f>
        <v>51201710.536935717</v>
      </c>
      <c r="E43" s="29">
        <f>$E$6*'1-BaseTRR'!E132</f>
        <v>67514576.52593264</v>
      </c>
      <c r="F43" s="29">
        <f t="shared" si="0"/>
        <v>118716287.06286836</v>
      </c>
      <c r="G43" t="s">
        <v>1985</v>
      </c>
      <c r="I43" s="8">
        <f t="shared" si="1"/>
        <v>207</v>
      </c>
      <c r="J43" s="30"/>
    </row>
    <row r="44" spans="1:11">
      <c r="A44" s="8">
        <f t="shared" si="2"/>
        <v>208</v>
      </c>
      <c r="B44" t="s">
        <v>278</v>
      </c>
      <c r="D44" s="29">
        <f ca="1">$D$6*'1-BaseTRR'!E133</f>
        <v>77102472.432143748</v>
      </c>
      <c r="E44" s="29">
        <f ca="1">$E$6*'1-BaseTRR'!E133</f>
        <v>101667321.67284577</v>
      </c>
      <c r="F44" s="29">
        <f t="shared" ca="1" si="0"/>
        <v>178769794.10498953</v>
      </c>
      <c r="G44" t="s">
        <v>1986</v>
      </c>
      <c r="I44" s="8">
        <f t="shared" si="1"/>
        <v>208</v>
      </c>
      <c r="J44" s="30"/>
    </row>
    <row r="45" spans="1:11">
      <c r="A45" s="8">
        <f t="shared" si="2"/>
        <v>209</v>
      </c>
      <c r="B45" t="s">
        <v>54</v>
      </c>
      <c r="C45" s="343"/>
      <c r="D45" s="29">
        <f>-'20-RevenueCredits'!F10</f>
        <v>-6557826.1055999994</v>
      </c>
      <c r="E45" s="29">
        <f>-'20-RevenueCredits'!G10</f>
        <v>-3957436.8944000001</v>
      </c>
      <c r="F45" s="29">
        <f t="shared" si="0"/>
        <v>-10515263</v>
      </c>
      <c r="G45" t="s">
        <v>1987</v>
      </c>
      <c r="I45" s="8">
        <f t="shared" si="1"/>
        <v>209</v>
      </c>
      <c r="J45" s="30"/>
    </row>
    <row r="46" spans="1:11">
      <c r="A46" s="8">
        <f t="shared" si="2"/>
        <v>210</v>
      </c>
      <c r="B46" t="s">
        <v>281</v>
      </c>
      <c r="D46" s="29">
        <f>$D$6*'1-BaseTRR'!E135</f>
        <v>-6590341.088961917</v>
      </c>
      <c r="E46" s="29">
        <f>$E$6*'1-BaseTRR'!E135</f>
        <v>-8690023.8901539296</v>
      </c>
      <c r="F46" s="29">
        <f t="shared" si="0"/>
        <v>-15280364.979115847</v>
      </c>
      <c r="G46" t="s">
        <v>1988</v>
      </c>
      <c r="I46" s="8">
        <f t="shared" si="1"/>
        <v>210</v>
      </c>
      <c r="J46" s="30"/>
    </row>
    <row r="47" spans="1:11">
      <c r="A47" s="8">
        <f t="shared" si="2"/>
        <v>211</v>
      </c>
      <c r="B47" t="s">
        <v>283</v>
      </c>
      <c r="D47" s="26">
        <f>$D$6*'1-BaseTRR'!E136</f>
        <v>0</v>
      </c>
      <c r="E47" s="26">
        <f>$E$6*'1-BaseTRR'!E136</f>
        <v>0</v>
      </c>
      <c r="F47" s="26">
        <f t="shared" si="0"/>
        <v>0</v>
      </c>
      <c r="G47" t="s">
        <v>1989</v>
      </c>
      <c r="I47" s="8">
        <f t="shared" si="1"/>
        <v>211</v>
      </c>
      <c r="J47" s="30"/>
    </row>
    <row r="48" spans="1:11">
      <c r="A48" s="8">
        <f t="shared" si="2"/>
        <v>212</v>
      </c>
      <c r="B48" s="12" t="s">
        <v>286</v>
      </c>
      <c r="D48" s="63">
        <f ca="1">SUM(D36:D47)</f>
        <v>992755641.14253283</v>
      </c>
      <c r="E48" s="63">
        <f ca="1">SUM(E36:E47)</f>
        <v>1311171678.8911843</v>
      </c>
      <c r="F48" s="63">
        <f t="shared" ca="1" si="0"/>
        <v>2303927320.0337172</v>
      </c>
      <c r="G48" t="str">
        <f>"Sum of Lines "&amp;A36&amp;" to Line "&amp;A47&amp;""</f>
        <v>Sum of Lines 200 to Line 211</v>
      </c>
      <c r="I48" s="8">
        <f t="shared" si="1"/>
        <v>212</v>
      </c>
      <c r="J48" s="30"/>
    </row>
    <row r="49" spans="1:9">
      <c r="A49" s="8"/>
      <c r="I49" s="8"/>
    </row>
    <row r="50" spans="1:9">
      <c r="A50" s="8">
        <f>A48+1</f>
        <v>213</v>
      </c>
      <c r="B50" s="12" t="s">
        <v>292</v>
      </c>
      <c r="D50" s="29">
        <f ca="1">D48*('1-BaseTRR'!$E$140+'1-BaseTRR'!$E$141)</f>
        <v>7468346.1251883311</v>
      </c>
      <c r="E50" s="29">
        <f ca="1">E48*('1-BaseTRR'!$E$140+'1-BaseTRR'!$E$141)</f>
        <v>9863740.4026574027</v>
      </c>
      <c r="F50" s="29">
        <f ca="1">SUM(D50:E50)</f>
        <v>17332086.527845733</v>
      </c>
      <c r="G50" t="s">
        <v>1990</v>
      </c>
      <c r="I50" s="8">
        <f>A50</f>
        <v>213</v>
      </c>
    </row>
    <row r="51" spans="1:9">
      <c r="A51" s="8"/>
      <c r="D51" s="30"/>
      <c r="E51" s="30"/>
      <c r="F51" s="30"/>
      <c r="I51" s="8"/>
    </row>
    <row r="52" spans="1:9">
      <c r="A52" s="8">
        <f>A50+1</f>
        <v>214</v>
      </c>
      <c r="B52" t="s">
        <v>295</v>
      </c>
      <c r="D52" s="29">
        <f ca="1">D6*'1-BaseTRR'!$E$149</f>
        <v>146123323.90269539</v>
      </c>
      <c r="E52" s="29">
        <f ca="1">E6*'1-BaseTRR'!$E$149</f>
        <v>192678217.78601441</v>
      </c>
      <c r="F52" s="29">
        <f ca="1">SUM(D52:E52)</f>
        <v>338801541.6887098</v>
      </c>
      <c r="G52" t="s">
        <v>1991</v>
      </c>
      <c r="I52" s="8">
        <f>A52</f>
        <v>214</v>
      </c>
    </row>
    <row r="53" spans="1:9">
      <c r="A53" s="8">
        <f>A52+1</f>
        <v>215</v>
      </c>
      <c r="B53" t="s">
        <v>1992</v>
      </c>
      <c r="D53" s="26">
        <f>D6*'1-BaseTRR'!$E$150</f>
        <v>58713914.793238483</v>
      </c>
      <c r="E53" s="26">
        <f>E6*'1-BaseTRR'!$E$150</f>
        <v>77420169.206761524</v>
      </c>
      <c r="F53" s="26">
        <f>SUM(D53:E53)</f>
        <v>136134084</v>
      </c>
      <c r="G53" t="s">
        <v>1993</v>
      </c>
      <c r="I53" s="8">
        <f>A53</f>
        <v>215</v>
      </c>
    </row>
    <row r="54" spans="1:9">
      <c r="A54" s="8"/>
      <c r="D54" s="30"/>
      <c r="E54" s="30"/>
      <c r="F54" s="30"/>
      <c r="I54" s="8"/>
    </row>
    <row r="55" spans="1:9">
      <c r="A55" s="8">
        <f>A53+1</f>
        <v>216</v>
      </c>
      <c r="B55" s="12" t="s">
        <v>1994</v>
      </c>
      <c r="D55" s="63">
        <f ca="1">ROUND(SUM(D48:D53),2)</f>
        <v>1205061225.96</v>
      </c>
      <c r="E55" s="63">
        <f ca="1">ROUND(SUM(E48:E53),2)</f>
        <v>1591133806.29</v>
      </c>
      <c r="F55" s="63">
        <f ca="1">SUM(D55:E55)</f>
        <v>2796195032.25</v>
      </c>
      <c r="G55" t="str">
        <f>"Sum of Lines "&amp;A48&amp;" to Line "&amp;A53&amp;""</f>
        <v>Sum of Lines 212 to Line 215</v>
      </c>
      <c r="I55" s="8">
        <f>A55</f>
        <v>216</v>
      </c>
    </row>
    <row r="56" spans="1:9">
      <c r="A56" s="8">
        <f>A55+1</f>
        <v>217</v>
      </c>
      <c r="B56" s="12" t="s">
        <v>1995</v>
      </c>
      <c r="D56" s="46">
        <v>-103688493</v>
      </c>
      <c r="E56" s="46">
        <v>-63075183</v>
      </c>
      <c r="F56" s="29">
        <f>SUM(D56:E56)</f>
        <v>-166763676</v>
      </c>
      <c r="G56" s="367" t="s">
        <v>1996</v>
      </c>
      <c r="H56" s="5"/>
      <c r="I56" s="8">
        <f>A56</f>
        <v>217</v>
      </c>
    </row>
    <row r="57" spans="1:9">
      <c r="A57" s="8">
        <f>A56+1</f>
        <v>218</v>
      </c>
      <c r="B57" s="12" t="s">
        <v>1997</v>
      </c>
      <c r="D57" s="26">
        <f ca="1">-ROUND(D6*'29-RetailRates-1'!F47*0.5,2)</f>
        <v>-2852410.88</v>
      </c>
      <c r="E57" s="26">
        <f ca="1">-ROUND(E6*'29-RetailRates-1'!F47*0.5,2)</f>
        <v>-3761189.04</v>
      </c>
      <c r="F57" s="26">
        <f ca="1">SUM(D57:E57)</f>
        <v>-6613599.9199999999</v>
      </c>
      <c r="G57" t="s">
        <v>1998</v>
      </c>
      <c r="I57" s="8">
        <f>A57</f>
        <v>218</v>
      </c>
    </row>
    <row r="58" spans="1:9">
      <c r="A58" s="8"/>
      <c r="D58" s="30"/>
      <c r="E58" s="30"/>
      <c r="F58" s="30"/>
      <c r="I58" s="8"/>
    </row>
    <row r="59" spans="1:9">
      <c r="A59" s="8">
        <f>A57+1</f>
        <v>219</v>
      </c>
      <c r="B59" s="12" t="s">
        <v>1999</v>
      </c>
      <c r="D59" s="590">
        <f ca="1">ROUND(D57+D56+D55,2)</f>
        <v>1098520322.0799999</v>
      </c>
      <c r="E59" s="590">
        <f ca="1">ROUND(E57+E56+E55,2)</f>
        <v>1524297434.25</v>
      </c>
      <c r="F59" s="590">
        <f ca="1">ROUND(F57+F56+F55,2)</f>
        <v>2622817756.3299999</v>
      </c>
      <c r="G59" t="str">
        <f>"Sum of Lines "&amp;A55&amp;" to Line "&amp;A57&amp;""</f>
        <v>Sum of Lines 216 to Line 218</v>
      </c>
      <c r="I59" s="8">
        <f>A59</f>
        <v>219</v>
      </c>
    </row>
    <row r="61" spans="1:9">
      <c r="B61" s="16"/>
    </row>
  </sheetData>
  <printOptions horizontalCentered="1"/>
  <pageMargins left="1" right="1" top="1" bottom="1" header="0.5" footer="0.5"/>
  <pageSetup scale="66"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F28"/>
  <sheetViews>
    <sheetView tabSelected="1" view="pageBreakPreview" zoomScale="115" zoomScaleSheetLayoutView="115" workbookViewId="0">
      <selection activeCell="E21" sqref="E21"/>
    </sheetView>
  </sheetViews>
  <sheetFormatPr defaultColWidth="9.1796875" defaultRowHeight="14.5"/>
  <cols>
    <col min="1" max="1" width="4.7265625" bestFit="1" customWidth="1"/>
    <col min="2" max="2" width="38.54296875" bestFit="1" customWidth="1"/>
    <col min="3" max="3" width="15.7265625" bestFit="1" customWidth="1"/>
    <col min="4" max="4" width="25" bestFit="1" customWidth="1"/>
    <col min="5" max="5" width="9.81640625" bestFit="1" customWidth="1"/>
    <col min="6" max="6" width="4.7265625" bestFit="1" customWidth="1"/>
  </cols>
  <sheetData>
    <row r="1" spans="1:6">
      <c r="B1" s="12" t="s">
        <v>68</v>
      </c>
      <c r="E1" s="15" t="str">
        <f>CONCATENATE("Rate Year: ",'1-BaseTRR'!$G$1)</f>
        <v>Rate Year: 2022</v>
      </c>
    </row>
    <row r="3" spans="1:6">
      <c r="A3" s="13" t="s">
        <v>99</v>
      </c>
      <c r="B3" s="13" t="s">
        <v>6</v>
      </c>
      <c r="C3" s="13" t="s">
        <v>133</v>
      </c>
      <c r="D3" s="13" t="s">
        <v>134</v>
      </c>
      <c r="E3" s="13" t="s">
        <v>135</v>
      </c>
      <c r="F3" s="13" t="str">
        <f>A3</f>
        <v>Line</v>
      </c>
    </row>
    <row r="4" spans="1:6">
      <c r="B4" s="52" t="s">
        <v>2000</v>
      </c>
      <c r="C4" s="219"/>
      <c r="D4" s="219"/>
      <c r="E4" s="219"/>
    </row>
    <row r="5" spans="1:6">
      <c r="A5" s="8">
        <v>100</v>
      </c>
      <c r="B5" t="s">
        <v>2001</v>
      </c>
      <c r="C5" s="343">
        <f ca="1">'26-WholesaleTRRs'!D59</f>
        <v>1098520322.0799999</v>
      </c>
      <c r="D5" s="328" t="s">
        <v>2002</v>
      </c>
      <c r="F5" s="8">
        <f>A5</f>
        <v>100</v>
      </c>
    </row>
    <row r="6" spans="1:6">
      <c r="A6" s="8">
        <f>A5+1</f>
        <v>101</v>
      </c>
      <c r="B6" t="s">
        <v>2003</v>
      </c>
      <c r="C6" s="21">
        <f>'28-GrossLoad'!$C$12/1000</f>
        <v>87128021.650068209</v>
      </c>
      <c r="D6" t="str">
        <f>CONCATENATE("28-GrossLoad, L. ",'28-GrossLoad'!$A$12," / 1000")</f>
        <v>28-GrossLoad, L. 104 / 1000</v>
      </c>
      <c r="F6" s="8">
        <f>A6</f>
        <v>101</v>
      </c>
    </row>
    <row r="7" spans="1:6">
      <c r="A7" s="8">
        <f>A6+1</f>
        <v>102</v>
      </c>
      <c r="B7" s="12" t="s">
        <v>2004</v>
      </c>
      <c r="C7" s="593">
        <f ca="1">C5/C6</f>
        <v>12.608117357375345</v>
      </c>
      <c r="D7" t="str">
        <f>"Line "&amp;A5&amp;" / Line "&amp;A6&amp;""</f>
        <v>Line 100 / Line 101</v>
      </c>
      <c r="F7" s="8">
        <f>A7</f>
        <v>102</v>
      </c>
    </row>
    <row r="8" spans="1:6">
      <c r="F8" s="8"/>
    </row>
    <row r="9" spans="1:6">
      <c r="B9" s="52" t="s">
        <v>2005</v>
      </c>
      <c r="C9" s="219"/>
      <c r="D9" s="219"/>
      <c r="E9" s="219"/>
      <c r="F9" s="8"/>
    </row>
    <row r="10" spans="1:6">
      <c r="A10" s="8">
        <v>200</v>
      </c>
      <c r="B10" t="s">
        <v>2006</v>
      </c>
      <c r="C10" s="343">
        <f ca="1">'26-WholesaleTRRs'!E59</f>
        <v>1524297434.25</v>
      </c>
      <c r="D10" s="328" t="s">
        <v>2007</v>
      </c>
      <c r="F10" s="8">
        <f>A10</f>
        <v>200</v>
      </c>
    </row>
    <row r="11" spans="1:6">
      <c r="A11" s="8">
        <f>A10+1</f>
        <v>201</v>
      </c>
      <c r="B11" t="s">
        <v>2003</v>
      </c>
      <c r="C11" s="21">
        <f>C6</f>
        <v>87128021.650068209</v>
      </c>
      <c r="D11" t="str">
        <f>CONCATENATE("28-GrossLoad, L. ",'28-GrossLoad'!$A$12," / 1000")</f>
        <v>28-GrossLoad, L. 104 / 1000</v>
      </c>
      <c r="F11" s="8">
        <f>A11</f>
        <v>201</v>
      </c>
    </row>
    <row r="12" spans="1:6">
      <c r="A12" s="8">
        <f>A11+1</f>
        <v>202</v>
      </c>
      <c r="B12" s="12" t="s">
        <v>2008</v>
      </c>
      <c r="C12" s="593">
        <f ca="1">C10/C11</f>
        <v>17.494916163390318</v>
      </c>
      <c r="D12" t="str">
        <f>"Line "&amp;A10&amp;" / Line "&amp;A11&amp;""</f>
        <v>Line 200 / Line 201</v>
      </c>
      <c r="F12" s="8">
        <f>A12</f>
        <v>202</v>
      </c>
    </row>
    <row r="14" spans="1:6">
      <c r="B14" s="12"/>
    </row>
    <row r="28" spans="4:4">
      <c r="D28" s="17"/>
    </row>
  </sheetData>
  <printOptions horizontalCentered="1"/>
  <pageMargins left="1" right="1" top="1" bottom="1" header="0.5" footer="0.5"/>
  <pageSetup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31"/>
  <sheetViews>
    <sheetView tabSelected="1" view="pageBreakPreview" zoomScaleSheetLayoutView="100" workbookViewId="0">
      <selection activeCell="E21" sqref="E21"/>
    </sheetView>
  </sheetViews>
  <sheetFormatPr defaultColWidth="9.1796875" defaultRowHeight="14.5"/>
  <cols>
    <col min="1" max="1" width="4.7265625" bestFit="1" customWidth="1"/>
    <col min="2" max="2" width="50" customWidth="1"/>
    <col min="3" max="3" width="18" bestFit="1" customWidth="1"/>
    <col min="4" max="4" width="31.1796875" bestFit="1" customWidth="1"/>
    <col min="5" max="5" width="9.453125" bestFit="1" customWidth="1"/>
    <col min="6" max="6" width="4.7265625" bestFit="1" customWidth="1"/>
    <col min="7" max="7" width="9.1796875" customWidth="1"/>
    <col min="8" max="8" width="21.7265625" bestFit="1" customWidth="1"/>
    <col min="9" max="9" width="13.26953125" bestFit="1" customWidth="1"/>
  </cols>
  <sheetData>
    <row r="1" spans="1:9">
      <c r="B1" s="12" t="s">
        <v>70</v>
      </c>
      <c r="E1" s="15" t="str">
        <f>CONCATENATE("Rate Year: ",'1-BaseTRR'!$G$1)</f>
        <v>Rate Year: 2022</v>
      </c>
    </row>
    <row r="2" spans="1:9">
      <c r="B2" s="113" t="s">
        <v>130</v>
      </c>
      <c r="E2" s="15"/>
    </row>
    <row r="3" spans="1:9">
      <c r="B3" s="200"/>
    </row>
    <row r="4" spans="1:9">
      <c r="B4" s="16" t="s">
        <v>350</v>
      </c>
    </row>
    <row r="5" spans="1:9">
      <c r="B5" t="s">
        <v>2009</v>
      </c>
    </row>
    <row r="6" spans="1:9">
      <c r="B6" s="200"/>
    </row>
    <row r="7" spans="1:9">
      <c r="A7" s="13" t="s">
        <v>99</v>
      </c>
      <c r="B7" s="13" t="s">
        <v>6</v>
      </c>
      <c r="C7" s="13" t="s">
        <v>133</v>
      </c>
      <c r="D7" s="13" t="s">
        <v>134</v>
      </c>
      <c r="E7" s="13" t="s">
        <v>135</v>
      </c>
      <c r="F7" s="13" t="s">
        <v>99</v>
      </c>
    </row>
    <row r="8" spans="1:9">
      <c r="A8" s="8">
        <v>100</v>
      </c>
      <c r="B8" t="s">
        <v>2010</v>
      </c>
      <c r="C8" s="123">
        <v>89252780685.1604</v>
      </c>
      <c r="D8" s="564" t="s">
        <v>2011</v>
      </c>
      <c r="E8" s="35"/>
      <c r="F8" s="8">
        <f>A8</f>
        <v>100</v>
      </c>
    </row>
    <row r="9" spans="1:9">
      <c r="A9" s="8">
        <f>A8+1</f>
        <v>101</v>
      </c>
      <c r="B9" t="s">
        <v>2012</v>
      </c>
      <c r="C9" s="370">
        <v>0.96527499999999999</v>
      </c>
      <c r="D9" s="564" t="s">
        <v>2013</v>
      </c>
      <c r="E9" s="35"/>
      <c r="F9" s="8">
        <f>A9</f>
        <v>101</v>
      </c>
    </row>
    <row r="10" spans="1:9">
      <c r="A10" s="8">
        <f t="shared" ref="A10:A12" si="0">A9+1</f>
        <v>102</v>
      </c>
      <c r="B10" t="s">
        <v>2014</v>
      </c>
      <c r="C10" s="21">
        <f>C8*C9</f>
        <v>86153477875.86821</v>
      </c>
      <c r="D10" s="21" t="str">
        <f>"Line "&amp;A8&amp;" * Line "&amp;A9&amp;""</f>
        <v>Line 100 * Line 101</v>
      </c>
      <c r="E10" s="35"/>
      <c r="F10" s="8">
        <f>A10</f>
        <v>102</v>
      </c>
    </row>
    <row r="11" spans="1:9">
      <c r="A11" s="8">
        <f t="shared" si="0"/>
        <v>103</v>
      </c>
      <c r="B11" t="s">
        <v>2015</v>
      </c>
      <c r="C11" s="369">
        <v>974543774.20000005</v>
      </c>
      <c r="D11" s="564" t="s">
        <v>2016</v>
      </c>
      <c r="E11" s="35"/>
      <c r="F11" s="8">
        <f>A11</f>
        <v>103</v>
      </c>
    </row>
    <row r="12" spans="1:9">
      <c r="A12" s="8">
        <f t="shared" si="0"/>
        <v>104</v>
      </c>
      <c r="B12" s="12" t="s">
        <v>2017</v>
      </c>
      <c r="C12" s="566">
        <f>C11+C10</f>
        <v>87128021650.068207</v>
      </c>
      <c r="D12" s="21" t="str">
        <f>"Line "&amp;A10&amp;" + Line "&amp;A11&amp;""</f>
        <v>Line 102 + Line 103</v>
      </c>
      <c r="E12" s="35"/>
      <c r="F12" s="8">
        <f>A12</f>
        <v>104</v>
      </c>
      <c r="H12" s="607"/>
      <c r="I12" s="607"/>
    </row>
    <row r="31" spans="4:4">
      <c r="D31" s="17"/>
    </row>
  </sheetData>
  <printOptions horizontalCentered="1"/>
  <pageMargins left="1" right="1" top="1" bottom="1" header="0.5" footer="0.5"/>
  <pageSetup scale="97"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P56"/>
  <sheetViews>
    <sheetView tabSelected="1" view="pageBreakPreview" topLeftCell="A37" zoomScale="85" zoomScaleNormal="85" zoomScaleSheetLayoutView="85" workbookViewId="0">
      <selection activeCell="E21" sqref="E21"/>
    </sheetView>
  </sheetViews>
  <sheetFormatPr defaultColWidth="8.81640625" defaultRowHeight="14.5"/>
  <cols>
    <col min="1" max="1" width="5.26953125" style="3" customWidth="1"/>
    <col min="2" max="2" width="6.54296875" style="17" customWidth="1"/>
    <col min="3" max="3" width="3.7265625" style="17" customWidth="1"/>
    <col min="4" max="4" width="16.7265625" style="17" customWidth="1"/>
    <col min="5" max="5" width="1.1796875" style="17" customWidth="1"/>
    <col min="6" max="6" width="16.453125" style="17" customWidth="1"/>
    <col min="7" max="7" width="2.7265625" style="373" hidden="1" customWidth="1"/>
    <col min="8" max="8" width="18" style="17" customWidth="1"/>
    <col min="9" max="9" width="7.7265625" style="17" customWidth="1"/>
    <col min="10" max="10" width="13.26953125" style="17" customWidth="1"/>
    <col min="11" max="11" width="15.54296875" style="372" customWidth="1"/>
    <col min="12" max="12" width="15.453125" style="17" customWidth="1"/>
    <col min="13" max="13" width="13.26953125" style="371" customWidth="1"/>
    <col min="14" max="14" width="7.1796875" style="371" customWidth="1"/>
    <col min="15" max="16384" width="8.81640625" style="17"/>
  </cols>
  <sheetData>
    <row r="1" spans="1:14">
      <c r="A1" s="409"/>
      <c r="B1" s="409" t="s">
        <v>72</v>
      </c>
      <c r="M1" s="15" t="s">
        <v>2018</v>
      </c>
      <c r="N1" s="17"/>
    </row>
    <row r="2" spans="1:14">
      <c r="A2" s="409"/>
      <c r="B2" s="409" t="s">
        <v>2019</v>
      </c>
      <c r="C2" s="3"/>
      <c r="D2" s="411"/>
      <c r="E2" s="406"/>
      <c r="F2" s="3"/>
      <c r="L2" s="396"/>
      <c r="M2" s="410" t="s">
        <v>2020</v>
      </c>
      <c r="N2" s="17"/>
    </row>
    <row r="3" spans="1:14">
      <c r="A3" s="409"/>
      <c r="B3" s="408" t="s">
        <v>130</v>
      </c>
      <c r="C3" s="408"/>
      <c r="D3" s="408"/>
      <c r="E3" s="406"/>
      <c r="F3" s="3"/>
      <c r="M3" s="17"/>
      <c r="N3" s="17"/>
    </row>
    <row r="5" spans="1:14">
      <c r="D5" s="442"/>
      <c r="F5" s="147" t="s">
        <v>413</v>
      </c>
      <c r="G5" s="534"/>
      <c r="H5" s="147" t="s">
        <v>414</v>
      </c>
      <c r="I5" s="111"/>
      <c r="J5" s="147" t="s">
        <v>415</v>
      </c>
      <c r="K5" s="412"/>
      <c r="L5" s="147" t="s">
        <v>416</v>
      </c>
      <c r="M5" s="147" t="s">
        <v>417</v>
      </c>
      <c r="N5" s="17"/>
    </row>
    <row r="6" spans="1:14">
      <c r="D6" s="442"/>
      <c r="F6" s="147"/>
      <c r="G6" s="534"/>
      <c r="H6" s="147"/>
      <c r="I6" s="111"/>
      <c r="J6" s="147"/>
      <c r="K6" s="412"/>
      <c r="L6" s="147"/>
      <c r="M6" s="147"/>
      <c r="N6" s="17"/>
    </row>
    <row r="7" spans="1:14">
      <c r="F7" s="371" t="s">
        <v>110</v>
      </c>
      <c r="G7" s="371"/>
      <c r="H7" s="371" t="s">
        <v>202</v>
      </c>
      <c r="I7" s="405"/>
      <c r="J7" s="133" t="s">
        <v>2021</v>
      </c>
      <c r="K7" s="405"/>
      <c r="L7" s="407" t="s">
        <v>249</v>
      </c>
      <c r="M7" s="133" t="s">
        <v>2022</v>
      </c>
      <c r="N7" s="17"/>
    </row>
    <row r="8" spans="1:14">
      <c r="F8" s="371" t="s">
        <v>2023</v>
      </c>
      <c r="H8" s="371" t="s">
        <v>2024</v>
      </c>
      <c r="I8" s="371" t="s">
        <v>2025</v>
      </c>
      <c r="J8" s="407" t="s">
        <v>422</v>
      </c>
      <c r="K8" s="407" t="s">
        <v>2025</v>
      </c>
      <c r="L8" s="407" t="s">
        <v>2026</v>
      </c>
      <c r="M8" s="371" t="s">
        <v>2027</v>
      </c>
      <c r="N8" s="17"/>
    </row>
    <row r="9" spans="1:14">
      <c r="A9" s="144" t="s">
        <v>99</v>
      </c>
      <c r="B9" s="444" t="s">
        <v>2028</v>
      </c>
      <c r="C9" s="111"/>
      <c r="D9" s="444" t="s">
        <v>2029</v>
      </c>
      <c r="F9" s="444" t="s">
        <v>2030</v>
      </c>
      <c r="G9" s="111"/>
      <c r="H9" s="444" t="s">
        <v>2031</v>
      </c>
      <c r="I9" s="444" t="s">
        <v>2032</v>
      </c>
      <c r="J9" s="444" t="s">
        <v>2033</v>
      </c>
      <c r="K9" s="444" t="s">
        <v>2032</v>
      </c>
      <c r="L9" s="444" t="s">
        <v>2034</v>
      </c>
      <c r="M9" s="444" t="s">
        <v>2035</v>
      </c>
      <c r="N9" s="144" t="str">
        <f>A9</f>
        <v>Line</v>
      </c>
    </row>
    <row r="10" spans="1:14">
      <c r="G10" s="17"/>
      <c r="I10" s="373"/>
      <c r="J10" s="200"/>
      <c r="K10" s="200"/>
      <c r="L10" s="372"/>
      <c r="M10" s="17"/>
      <c r="N10" s="3"/>
    </row>
    <row r="11" spans="1:14">
      <c r="A11" s="379">
        <v>100</v>
      </c>
      <c r="B11" s="388" t="s">
        <v>2036</v>
      </c>
      <c r="C11" s="388"/>
      <c r="D11" s="391" t="s">
        <v>2037</v>
      </c>
      <c r="E11" s="388"/>
      <c r="F11" s="540">
        <f ca="1">+'29-RetailRates-2'!M12</f>
        <v>1336242481.9799821</v>
      </c>
      <c r="G11" s="390"/>
      <c r="H11" s="386">
        <f>'29-RetailRates-2'!E12</f>
        <v>27944371486.646046</v>
      </c>
      <c r="I11" s="389" t="s">
        <v>2038</v>
      </c>
      <c r="J11" s="404">
        <f ca="1">F11/(H11-'29-RetailRates-2'!$E$13)</f>
        <v>4.7818231230732824E-2</v>
      </c>
      <c r="K11" s="402" t="s">
        <v>2039</v>
      </c>
      <c r="L11" s="386">
        <f>'29-RetailRates-2'!E12</f>
        <v>27944371486.646046</v>
      </c>
      <c r="M11" s="385">
        <f ca="1">F11/L11</f>
        <v>4.7817947260633174E-2</v>
      </c>
      <c r="N11" s="379">
        <f>A11</f>
        <v>100</v>
      </c>
    </row>
    <row r="12" spans="1:14">
      <c r="A12" s="379"/>
      <c r="D12" s="396"/>
      <c r="F12" s="159"/>
      <c r="G12" s="159"/>
      <c r="H12" s="372"/>
      <c r="I12" s="395"/>
      <c r="J12" s="398" t="s">
        <v>2040</v>
      </c>
      <c r="K12" s="200"/>
      <c r="L12" s="372"/>
      <c r="N12" s="17"/>
    </row>
    <row r="13" spans="1:14">
      <c r="A13" s="379">
        <f>A11+1</f>
        <v>101</v>
      </c>
      <c r="B13" s="388" t="s">
        <v>2041</v>
      </c>
      <c r="C13" s="388"/>
      <c r="D13" s="391" t="s">
        <v>2042</v>
      </c>
      <c r="E13" s="388"/>
      <c r="F13" s="540">
        <f ca="1">+'29-RetailRates-2'!M14</f>
        <v>257996941.82974923</v>
      </c>
      <c r="G13" s="390"/>
      <c r="H13" s="386">
        <f>'29-RetailRates-2'!E14</f>
        <v>7510378327.2231731</v>
      </c>
      <c r="I13" s="389" t="s">
        <v>2038</v>
      </c>
      <c r="J13" s="404">
        <f ca="1">F13/H13</f>
        <v>3.4352056659326634E-2</v>
      </c>
      <c r="K13" s="402" t="s">
        <v>2039</v>
      </c>
      <c r="L13" s="386">
        <f>'29-RetailRates-2'!E14</f>
        <v>7510378327.2231731</v>
      </c>
      <c r="M13" s="385">
        <f ca="1">F13/L13</f>
        <v>3.4352056659326634E-2</v>
      </c>
      <c r="N13" s="379">
        <f>A13</f>
        <v>101</v>
      </c>
    </row>
    <row r="14" spans="1:14">
      <c r="A14" s="379"/>
      <c r="D14" s="396"/>
      <c r="F14" s="159"/>
      <c r="G14" s="159"/>
      <c r="H14" s="372"/>
      <c r="I14" s="395"/>
      <c r="J14" s="398" t="s">
        <v>2040</v>
      </c>
      <c r="K14" s="200"/>
      <c r="L14" s="372"/>
      <c r="N14" s="17"/>
    </row>
    <row r="15" spans="1:14">
      <c r="A15" s="379">
        <f>A13+1</f>
        <v>102</v>
      </c>
      <c r="B15" s="17" t="s">
        <v>2043</v>
      </c>
      <c r="D15" s="396" t="s">
        <v>2044</v>
      </c>
      <c r="F15" s="159"/>
      <c r="G15" s="159"/>
      <c r="H15" s="399">
        <v>26736419.817180999</v>
      </c>
      <c r="I15" s="395" t="s">
        <v>2045</v>
      </c>
      <c r="J15" s="394"/>
      <c r="K15" s="117"/>
      <c r="L15" s="372">
        <f>'29-RetailRates-2'!E16</f>
        <v>7538481007.4592094</v>
      </c>
      <c r="M15" s="375">
        <f ca="1">(H15*$J$23)/L15</f>
        <v>3.907965600165577E-2</v>
      </c>
      <c r="N15" s="379">
        <f>A15</f>
        <v>102</v>
      </c>
    </row>
    <row r="16" spans="1:14">
      <c r="A16" s="379"/>
      <c r="D16" s="396"/>
      <c r="F16" s="159"/>
      <c r="G16" s="159"/>
      <c r="H16" s="372"/>
      <c r="I16" s="395"/>
      <c r="J16" s="394"/>
      <c r="K16" s="200"/>
      <c r="L16" s="372"/>
      <c r="N16" s="17"/>
    </row>
    <row r="17" spans="1:14">
      <c r="A17" s="379">
        <f>A15+1</f>
        <v>103</v>
      </c>
      <c r="B17" s="17" t="s">
        <v>2046</v>
      </c>
      <c r="D17" s="396" t="s">
        <v>2047</v>
      </c>
      <c r="F17" s="159"/>
      <c r="G17" s="159"/>
      <c r="H17" s="399">
        <v>80930.910201000006</v>
      </c>
      <c r="I17" s="395" t="s">
        <v>2045</v>
      </c>
      <c r="J17" s="394"/>
      <c r="K17" s="117"/>
      <c r="L17" s="372">
        <f>'29-RetailRates-2'!E18</f>
        <v>27990916.297185</v>
      </c>
      <c r="M17" s="375">
        <f ca="1">(H17*$J$23)/L17</f>
        <v>3.1858742849917833E-2</v>
      </c>
      <c r="N17" s="379">
        <f>A17</f>
        <v>103</v>
      </c>
    </row>
    <row r="18" spans="1:14">
      <c r="A18" s="379"/>
      <c r="D18" s="396"/>
      <c r="F18" s="159"/>
      <c r="G18" s="159"/>
      <c r="H18" s="372"/>
      <c r="I18" s="395"/>
      <c r="J18" s="394"/>
      <c r="K18" s="200"/>
      <c r="L18" s="372"/>
      <c r="N18" s="17"/>
    </row>
    <row r="19" spans="1:14">
      <c r="A19" s="379">
        <f>A17+1</f>
        <v>104</v>
      </c>
      <c r="B19" s="17" t="s">
        <v>2046</v>
      </c>
      <c r="D19" s="396" t="s">
        <v>2048</v>
      </c>
      <c r="F19" s="159"/>
      <c r="G19" s="159"/>
      <c r="H19" s="399">
        <v>3025826.6849079998</v>
      </c>
      <c r="I19" s="395" t="s">
        <v>2045</v>
      </c>
      <c r="J19" s="394"/>
      <c r="K19" s="117"/>
      <c r="L19" s="372">
        <f>'29-RetailRates-2'!E20</f>
        <v>1024719850.396168</v>
      </c>
      <c r="M19" s="375">
        <f ca="1">(H19*$J$23)/L19</f>
        <v>3.2536454393312257E-2</v>
      </c>
      <c r="N19" s="379">
        <f>A19</f>
        <v>104</v>
      </c>
    </row>
    <row r="20" spans="1:14">
      <c r="A20" s="379"/>
      <c r="D20" s="396"/>
      <c r="F20" s="159"/>
      <c r="G20" s="159"/>
      <c r="H20" s="372"/>
      <c r="I20" s="395"/>
      <c r="J20" s="394" t="s">
        <v>2040</v>
      </c>
      <c r="K20" s="200"/>
      <c r="L20" s="372"/>
      <c r="N20" s="17"/>
    </row>
    <row r="21" spans="1:14">
      <c r="A21" s="379">
        <f>A19+1</f>
        <v>105</v>
      </c>
      <c r="B21" s="17" t="s">
        <v>2046</v>
      </c>
      <c r="D21" s="396" t="s">
        <v>2049</v>
      </c>
      <c r="F21" s="159"/>
      <c r="G21" s="159"/>
      <c r="H21" s="397">
        <v>29354558.201184001</v>
      </c>
      <c r="I21" s="395" t="s">
        <v>2045</v>
      </c>
      <c r="J21" s="394"/>
      <c r="K21" s="117"/>
      <c r="L21" s="372">
        <f>'29-RetailRates-2'!E22</f>
        <v>12131680420.226406</v>
      </c>
      <c r="M21" s="375">
        <f ca="1">(H21*$J$23)/L21</f>
        <v>2.6661581820846464E-2</v>
      </c>
      <c r="N21" s="379">
        <f>A21</f>
        <v>105</v>
      </c>
    </row>
    <row r="22" spans="1:14">
      <c r="A22" s="379"/>
      <c r="D22" s="396"/>
      <c r="F22" s="159"/>
      <c r="G22" s="159"/>
      <c r="H22" s="372"/>
      <c r="I22" s="395"/>
      <c r="J22" s="398" t="s">
        <v>2040</v>
      </c>
      <c r="K22" s="200"/>
      <c r="L22" s="372"/>
      <c r="N22" s="17"/>
    </row>
    <row r="23" spans="1:14">
      <c r="A23" s="379">
        <f>A21+1</f>
        <v>106</v>
      </c>
      <c r="B23" s="392" t="s">
        <v>2050</v>
      </c>
      <c r="C23" s="388"/>
      <c r="D23" s="391"/>
      <c r="E23" s="388"/>
      <c r="F23" s="540">
        <f ca="1">+'29-RetailRates-2'!M24</f>
        <v>652283540.77753091</v>
      </c>
      <c r="G23" s="390"/>
      <c r="H23" s="386">
        <f>SUM(H15:H21)</f>
        <v>59197735.613473997</v>
      </c>
      <c r="I23" s="389" t="s">
        <v>2045</v>
      </c>
      <c r="J23" s="403">
        <f ca="1">F23/H23</f>
        <v>11.018724517379422</v>
      </c>
      <c r="K23" s="402" t="s">
        <v>2051</v>
      </c>
      <c r="L23" s="386"/>
      <c r="M23" s="387"/>
      <c r="N23" s="379">
        <f>A23</f>
        <v>106</v>
      </c>
    </row>
    <row r="24" spans="1:14">
      <c r="A24" s="379"/>
      <c r="D24" s="396"/>
      <c r="F24" s="159"/>
      <c r="G24" s="159"/>
      <c r="H24" s="372"/>
      <c r="I24" s="395"/>
      <c r="J24" s="398"/>
      <c r="K24" s="200"/>
      <c r="L24" s="372"/>
      <c r="N24" s="17"/>
    </row>
    <row r="25" spans="1:14">
      <c r="A25" s="379">
        <f>A23+1</f>
        <v>107</v>
      </c>
      <c r="B25" s="388" t="s">
        <v>2052</v>
      </c>
      <c r="C25" s="388"/>
      <c r="D25" s="391" t="s">
        <v>2053</v>
      </c>
      <c r="E25" s="388"/>
      <c r="F25" s="540">
        <f ca="1">+'29-RetailRates-2'!M26</f>
        <v>6863050.8518503318</v>
      </c>
      <c r="G25" s="390"/>
      <c r="H25" s="386">
        <f>'29-RetailRates-2'!E26</f>
        <v>229208585.16621304</v>
      </c>
      <c r="I25" s="389" t="s">
        <v>2038</v>
      </c>
      <c r="J25" s="404">
        <f ca="1">F25/H25</f>
        <v>2.9942381289398551E-2</v>
      </c>
      <c r="K25" s="402" t="s">
        <v>2039</v>
      </c>
      <c r="L25" s="386">
        <f>'29-RetailRates-2'!E26</f>
        <v>229208585.16621304</v>
      </c>
      <c r="M25" s="385">
        <f ca="1">F25/L25</f>
        <v>2.9942381289398551E-2</v>
      </c>
      <c r="N25" s="379">
        <f>A25</f>
        <v>107</v>
      </c>
    </row>
    <row r="26" spans="1:14">
      <c r="A26" s="379"/>
      <c r="D26" s="396"/>
      <c r="F26" s="159"/>
      <c r="G26" s="159"/>
      <c r="H26" s="372"/>
      <c r="I26" s="395"/>
      <c r="J26" s="398" t="s">
        <v>2040</v>
      </c>
      <c r="K26" s="200"/>
      <c r="L26" s="372"/>
      <c r="N26" s="17"/>
    </row>
    <row r="27" spans="1:14">
      <c r="A27" s="379">
        <f>A25+1</f>
        <v>108</v>
      </c>
      <c r="B27" s="17" t="s">
        <v>2054</v>
      </c>
      <c r="D27" s="396" t="s">
        <v>2055</v>
      </c>
      <c r="F27" s="159"/>
      <c r="G27" s="159"/>
      <c r="H27" s="372">
        <f>'29-RetailRates-2'!E28</f>
        <v>489383289.84964204</v>
      </c>
      <c r="I27" s="395" t="s">
        <v>2038</v>
      </c>
      <c r="J27" s="398"/>
      <c r="K27" s="117"/>
      <c r="L27" s="372">
        <f>'29-RetailRates-2'!E28</f>
        <v>489383289.84964204</v>
      </c>
      <c r="M27" s="375">
        <f ca="1">H27*$J$31/L27</f>
        <v>2.9957209376476539E-2</v>
      </c>
      <c r="N27" s="379">
        <f>A27</f>
        <v>108</v>
      </c>
    </row>
    <row r="28" spans="1:14">
      <c r="A28" s="379"/>
      <c r="D28" s="396"/>
      <c r="F28" s="159"/>
      <c r="G28" s="159"/>
      <c r="H28" s="372"/>
      <c r="I28" s="395"/>
      <c r="J28" s="398"/>
      <c r="K28" s="200"/>
      <c r="L28" s="372"/>
      <c r="N28" s="17"/>
    </row>
    <row r="29" spans="1:14">
      <c r="A29" s="379">
        <f>A27+1</f>
        <v>109</v>
      </c>
      <c r="B29" s="17" t="s">
        <v>2056</v>
      </c>
      <c r="D29" s="396" t="s">
        <v>2057</v>
      </c>
      <c r="F29" s="159"/>
      <c r="G29" s="159"/>
      <c r="H29" s="386">
        <f>'29-RetailRates-2'!E30</f>
        <v>5503812554.0353251</v>
      </c>
      <c r="I29" s="395" t="s">
        <v>2038</v>
      </c>
      <c r="J29" s="398"/>
      <c r="K29" s="117"/>
      <c r="L29" s="372">
        <f>'29-RetailRates-2'!E30</f>
        <v>5503812554.0353251</v>
      </c>
      <c r="M29" s="375">
        <f ca="1">H29*$J$31/L29</f>
        <v>2.9957209376476539E-2</v>
      </c>
      <c r="N29" s="379">
        <f>A29</f>
        <v>109</v>
      </c>
    </row>
    <row r="30" spans="1:14">
      <c r="A30" s="379"/>
      <c r="D30" s="396"/>
      <c r="F30" s="159"/>
      <c r="G30" s="159"/>
      <c r="H30" s="372"/>
      <c r="I30" s="395"/>
      <c r="J30" s="398"/>
      <c r="K30" s="117"/>
      <c r="L30" s="372"/>
      <c r="N30" s="17"/>
    </row>
    <row r="31" spans="1:14">
      <c r="A31" s="379">
        <f>A29+1</f>
        <v>110</v>
      </c>
      <c r="B31" s="392" t="s">
        <v>2058</v>
      </c>
      <c r="C31" s="388"/>
      <c r="D31" s="391"/>
      <c r="E31" s="388"/>
      <c r="F31" s="540">
        <f ca="1">+'29-RetailRates-2'!M32</f>
        <v>179539422.72949097</v>
      </c>
      <c r="G31" s="390"/>
      <c r="H31" s="386">
        <f>SUM(H27:H29)</f>
        <v>5993195843.8849669</v>
      </c>
      <c r="I31" s="389" t="s">
        <v>2038</v>
      </c>
      <c r="J31" s="404">
        <f ca="1">F31/H31</f>
        <v>2.9957209376476539E-2</v>
      </c>
      <c r="K31" s="402" t="s">
        <v>2039</v>
      </c>
      <c r="L31" s="386"/>
      <c r="M31" s="387"/>
      <c r="N31" s="379">
        <f>A31</f>
        <v>110</v>
      </c>
    </row>
    <row r="32" spans="1:14">
      <c r="A32" s="379"/>
      <c r="D32" s="396"/>
      <c r="F32" s="159"/>
      <c r="G32" s="159"/>
      <c r="H32" s="372"/>
      <c r="I32" s="395"/>
      <c r="J32" s="398"/>
      <c r="K32" s="200"/>
      <c r="L32" s="372"/>
      <c r="N32" s="17"/>
    </row>
    <row r="33" spans="1:16">
      <c r="A33" s="379">
        <f>A31+1</f>
        <v>111</v>
      </c>
      <c r="B33" s="17" t="s">
        <v>2059</v>
      </c>
      <c r="D33" s="396" t="s">
        <v>2047</v>
      </c>
      <c r="F33" s="159"/>
      <c r="G33" s="159"/>
      <c r="H33" s="399">
        <v>10582870.918104999</v>
      </c>
      <c r="I33" s="395" t="s">
        <v>2045</v>
      </c>
      <c r="J33" s="394"/>
      <c r="K33" s="117"/>
      <c r="L33" s="372">
        <f>'29-RetailRates-2'!E34</f>
        <v>5316209154.7819347</v>
      </c>
      <c r="M33" s="375">
        <f ca="1">+H33*$J$39/L33</f>
        <v>2.5549653854514853E-2</v>
      </c>
      <c r="N33" s="379">
        <f>A33</f>
        <v>111</v>
      </c>
    </row>
    <row r="34" spans="1:16">
      <c r="A34" s="379"/>
      <c r="D34" s="396"/>
      <c r="F34" s="159"/>
      <c r="G34" s="159"/>
      <c r="H34" s="372"/>
      <c r="I34" s="395"/>
      <c r="J34" s="394"/>
      <c r="K34" s="200"/>
      <c r="L34" s="372"/>
      <c r="N34" s="17"/>
    </row>
    <row r="35" spans="1:16">
      <c r="A35" s="379">
        <f>A33+1</f>
        <v>112</v>
      </c>
      <c r="B35" s="17" t="s">
        <v>2059</v>
      </c>
      <c r="D35" s="396" t="s">
        <v>2048</v>
      </c>
      <c r="F35" s="159"/>
      <c r="G35" s="159"/>
      <c r="H35" s="399">
        <v>13121221.266342999</v>
      </c>
      <c r="I35" s="395" t="s">
        <v>2045</v>
      </c>
      <c r="J35" s="394"/>
      <c r="K35" s="117"/>
      <c r="L35" s="372">
        <f>'29-RetailRates-2'!E36</f>
        <v>6162292243.9278631</v>
      </c>
      <c r="M35" s="375">
        <f ca="1">+H35*$J$39/L35</f>
        <v>2.732848453995072E-2</v>
      </c>
      <c r="N35" s="379">
        <f>A35</f>
        <v>112</v>
      </c>
    </row>
    <row r="36" spans="1:16">
      <c r="A36" s="379"/>
      <c r="D36" s="396"/>
      <c r="F36" s="159"/>
      <c r="G36" s="159"/>
      <c r="H36" s="372"/>
      <c r="I36" s="395"/>
      <c r="J36" s="394"/>
      <c r="K36" s="200"/>
      <c r="L36" s="372"/>
      <c r="N36" s="17"/>
    </row>
    <row r="37" spans="1:16">
      <c r="A37" s="379">
        <f>A35+1</f>
        <v>113</v>
      </c>
      <c r="B37" s="17" t="s">
        <v>2059</v>
      </c>
      <c r="D37" s="396" t="s">
        <v>2049</v>
      </c>
      <c r="F37" s="159"/>
      <c r="G37" s="159"/>
      <c r="H37" s="397">
        <v>4596113.2281069998</v>
      </c>
      <c r="I37" s="395" t="s">
        <v>2045</v>
      </c>
      <c r="J37" s="394"/>
      <c r="K37" s="117"/>
      <c r="L37" s="372">
        <f>'29-RetailRates-2'!E38</f>
        <v>2201906891.770927</v>
      </c>
      <c r="M37" s="375">
        <f ca="1">+H37*$J$39/L37</f>
        <v>2.6790162582312871E-2</v>
      </c>
      <c r="N37" s="379">
        <f>A37</f>
        <v>113</v>
      </c>
    </row>
    <row r="38" spans="1:16">
      <c r="A38" s="379"/>
      <c r="D38" s="396"/>
      <c r="F38" s="159"/>
      <c r="G38" s="372"/>
      <c r="H38" s="372"/>
      <c r="I38" s="401"/>
      <c r="J38" s="394"/>
      <c r="K38" s="117"/>
      <c r="L38" s="372"/>
      <c r="N38" s="17"/>
    </row>
    <row r="39" spans="1:16">
      <c r="A39" s="379">
        <f>A37+1</f>
        <v>114</v>
      </c>
      <c r="B39" s="392" t="s">
        <v>2060</v>
      </c>
      <c r="C39" s="388"/>
      <c r="D39" s="391"/>
      <c r="E39" s="388"/>
      <c r="F39" s="540">
        <f ca="1">+'29-RetailRates-2'!M40</f>
        <v>363222855.6633805</v>
      </c>
      <c r="G39" s="386"/>
      <c r="H39" s="386">
        <f>SUM(H33:H37)</f>
        <v>28300205.412554994</v>
      </c>
      <c r="I39" s="389" t="s">
        <v>2045</v>
      </c>
      <c r="J39" s="403">
        <f ca="1">F39/H39</f>
        <v>12.834636723245893</v>
      </c>
      <c r="K39" s="402" t="s">
        <v>2051</v>
      </c>
      <c r="L39" s="386"/>
      <c r="M39" s="387"/>
      <c r="N39" s="379">
        <f>A39</f>
        <v>114</v>
      </c>
    </row>
    <row r="40" spans="1:16">
      <c r="A40" s="379"/>
      <c r="D40" s="396"/>
      <c r="F40" s="159"/>
      <c r="G40" s="372"/>
      <c r="H40" s="372"/>
      <c r="I40" s="401"/>
      <c r="J40" s="400"/>
      <c r="K40" s="200"/>
      <c r="L40" s="372"/>
      <c r="N40" s="17"/>
    </row>
    <row r="41" spans="1:16">
      <c r="A41" s="379">
        <f>A39+1</f>
        <v>115</v>
      </c>
      <c r="B41" s="17" t="s">
        <v>2061</v>
      </c>
      <c r="D41" s="396" t="s">
        <v>2047</v>
      </c>
      <c r="F41" s="381"/>
      <c r="G41" s="159"/>
      <c r="H41" s="399">
        <v>7480442.7207809994</v>
      </c>
      <c r="I41" s="395" t="s">
        <v>2045</v>
      </c>
      <c r="J41" s="839"/>
      <c r="K41" s="839"/>
      <c r="L41" s="372">
        <f>'29-RetailRates-2'!E45</f>
        <v>291674391.81317598</v>
      </c>
      <c r="M41" s="375">
        <f ca="1">($J$46*H41*0.85+$J$44*L41)/L41</f>
        <v>4.2427605824995433E-2</v>
      </c>
      <c r="N41" s="379">
        <f>A41</f>
        <v>115</v>
      </c>
    </row>
    <row r="42" spans="1:16">
      <c r="A42" s="379"/>
      <c r="D42" s="396"/>
      <c r="F42" s="381"/>
      <c r="G42" s="159"/>
      <c r="H42" s="372"/>
      <c r="I42" s="395"/>
      <c r="J42" s="762"/>
      <c r="K42" s="393"/>
      <c r="L42" s="372"/>
      <c r="N42" s="17"/>
    </row>
    <row r="43" spans="1:16">
      <c r="A43" s="379">
        <f>A41+1</f>
        <v>116</v>
      </c>
      <c r="B43" s="17" t="s">
        <v>2061</v>
      </c>
      <c r="D43" s="396" t="s">
        <v>2048</v>
      </c>
      <c r="F43" s="381"/>
      <c r="G43" s="159"/>
      <c r="H43" s="399">
        <v>451617.47190800007</v>
      </c>
      <c r="I43" s="395" t="s">
        <v>2045</v>
      </c>
      <c r="J43" s="839" t="s">
        <v>2062</v>
      </c>
      <c r="K43" s="839"/>
      <c r="L43" s="372">
        <f>'29-RetailRates-2'!E47</f>
        <v>14256157.638889</v>
      </c>
      <c r="M43" s="375">
        <f ca="1">($J$46*H43*0.85+$J$44*L43)/L43</f>
        <v>4.742532223206232E-2</v>
      </c>
      <c r="N43" s="379">
        <f>A43</f>
        <v>116</v>
      </c>
    </row>
    <row r="44" spans="1:16">
      <c r="A44" s="379"/>
      <c r="D44" s="396"/>
      <c r="F44" s="381"/>
      <c r="G44" s="159"/>
      <c r="H44" s="372"/>
      <c r="I44" s="395"/>
      <c r="J44" s="398">
        <f ca="1">(F47*0.5)/SUM(L41:L45)</f>
        <v>2.1179315831867301E-2</v>
      </c>
      <c r="K44" s="393" t="s">
        <v>2039</v>
      </c>
      <c r="L44" s="372"/>
      <c r="N44" s="17"/>
    </row>
    <row r="45" spans="1:16">
      <c r="A45" s="379">
        <f>A43+1</f>
        <v>117</v>
      </c>
      <c r="B45" s="17" t="s">
        <v>2061</v>
      </c>
      <c r="D45" s="396" t="s">
        <v>2049</v>
      </c>
      <c r="F45" s="381"/>
      <c r="G45" s="159"/>
      <c r="H45" s="397">
        <v>50513.484020999997</v>
      </c>
      <c r="I45" s="395" t="s">
        <v>2045</v>
      </c>
      <c r="J45" s="839" t="s">
        <v>2063</v>
      </c>
      <c r="K45" s="839"/>
      <c r="L45" s="372">
        <f>'29-RetailRates-2'!E49</f>
        <v>6336380.1130020004</v>
      </c>
      <c r="M45" s="375">
        <f ca="1">($J$46*H45*0.85+$J$44*L45)/L45</f>
        <v>2.7784137340606588E-2</v>
      </c>
      <c r="N45" s="379">
        <f>A45</f>
        <v>117</v>
      </c>
    </row>
    <row r="46" spans="1:16">
      <c r="A46" s="379"/>
      <c r="D46" s="396"/>
      <c r="F46" s="381"/>
      <c r="G46" s="159"/>
      <c r="H46" s="372"/>
      <c r="I46" s="395"/>
      <c r="J46" s="394">
        <f ca="1">(F47*0.5)/(H47*0.85)</f>
        <v>0.97471142883947326</v>
      </c>
      <c r="K46" s="393" t="s">
        <v>2064</v>
      </c>
      <c r="L46" s="372"/>
      <c r="N46" s="17"/>
    </row>
    <row r="47" spans="1:16">
      <c r="A47" s="379">
        <f>A45+1</f>
        <v>118</v>
      </c>
      <c r="B47" s="392" t="s">
        <v>2065</v>
      </c>
      <c r="C47" s="388"/>
      <c r="D47" s="391"/>
      <c r="E47" s="388"/>
      <c r="F47" s="540">
        <f ca="1">+'29-RetailRates-2'!M51</f>
        <v>13227199.85021203</v>
      </c>
      <c r="G47" s="386"/>
      <c r="H47" s="386">
        <f>SUM(H41:H45)</f>
        <v>7982573.6767099993</v>
      </c>
      <c r="I47" s="389" t="s">
        <v>2045</v>
      </c>
      <c r="J47" s="388"/>
      <c r="K47" s="386"/>
      <c r="L47" s="386">
        <f>SUM(L41:L46)</f>
        <v>312266929.56506699</v>
      </c>
      <c r="M47" s="385">
        <f ca="1">F47/L47</f>
        <v>4.2358631663734603E-2</v>
      </c>
      <c r="N47" s="379">
        <f>A47</f>
        <v>118</v>
      </c>
      <c r="O47" s="371"/>
      <c r="P47" s="28"/>
    </row>
    <row r="48" spans="1:16">
      <c r="A48" s="379"/>
      <c r="C48" s="384"/>
      <c r="D48" s="383"/>
      <c r="E48" s="383"/>
      <c r="F48" s="383"/>
      <c r="G48" s="382"/>
      <c r="H48" s="381"/>
      <c r="J48" s="380"/>
      <c r="L48" s="372"/>
      <c r="M48" s="17"/>
      <c r="N48" s="17"/>
    </row>
    <row r="49" spans="1:14">
      <c r="A49" s="379">
        <f>A47+1</f>
        <v>119</v>
      </c>
      <c r="B49" s="200" t="s">
        <v>509</v>
      </c>
      <c r="D49" s="17" t="s">
        <v>2066</v>
      </c>
      <c r="F49" s="497">
        <f ca="1">SUM(F10:F47)</f>
        <v>2809375493.6821961</v>
      </c>
      <c r="G49" s="372"/>
      <c r="L49" s="372">
        <f>SUM(L11:L45)</f>
        <v>76392701657.345154</v>
      </c>
      <c r="M49" s="375">
        <f ca="1">F49/L49</f>
        <v>3.6775443631820746E-2</v>
      </c>
      <c r="N49" s="379">
        <f>A49</f>
        <v>119</v>
      </c>
    </row>
    <row r="50" spans="1:14">
      <c r="B50" s="200"/>
      <c r="F50" s="378"/>
      <c r="G50" s="372"/>
      <c r="L50" s="372"/>
      <c r="M50" s="375"/>
      <c r="N50" s="17"/>
    </row>
    <row r="51" spans="1:14">
      <c r="F51" s="377"/>
      <c r="G51" s="372"/>
      <c r="H51" s="376"/>
      <c r="J51" s="376"/>
      <c r="L51" s="372"/>
      <c r="M51" s="375"/>
      <c r="N51" s="17"/>
    </row>
    <row r="52" spans="1:14">
      <c r="B52" s="197" t="s">
        <v>304</v>
      </c>
      <c r="E52" s="374"/>
      <c r="F52" s="209"/>
      <c r="G52" s="17"/>
      <c r="L52" s="372"/>
      <c r="M52" s="17"/>
      <c r="N52" s="17"/>
    </row>
    <row r="53" spans="1:14">
      <c r="B53" s="806" t="s">
        <v>2067</v>
      </c>
      <c r="C53" s="806"/>
      <c r="D53" s="806"/>
      <c r="E53" s="806"/>
      <c r="F53" s="806"/>
      <c r="G53" s="806"/>
      <c r="H53" s="806"/>
      <c r="I53" s="806"/>
      <c r="J53" s="806"/>
      <c r="K53" s="806"/>
      <c r="L53" s="806"/>
      <c r="M53" s="806"/>
      <c r="N53" s="17"/>
    </row>
    <row r="54" spans="1:14">
      <c r="B54" s="805" t="s">
        <v>2068</v>
      </c>
      <c r="C54" s="805"/>
      <c r="D54" s="805"/>
      <c r="E54" s="805"/>
      <c r="F54" s="805"/>
      <c r="G54" s="805"/>
      <c r="H54" s="805"/>
      <c r="I54" s="805"/>
      <c r="J54" s="805"/>
      <c r="K54" s="805"/>
      <c r="L54" s="805"/>
      <c r="M54" s="805"/>
      <c r="N54" s="17"/>
    </row>
    <row r="55" spans="1:14">
      <c r="B55" s="805"/>
      <c r="C55" s="805"/>
      <c r="D55" s="805"/>
      <c r="E55" s="805"/>
      <c r="F55" s="805"/>
      <c r="G55" s="805"/>
      <c r="H55" s="805"/>
      <c r="I55" s="805"/>
      <c r="J55" s="805"/>
      <c r="K55" s="805"/>
      <c r="L55" s="805"/>
      <c r="M55" s="805"/>
      <c r="N55" s="17"/>
    </row>
    <row r="56" spans="1:14">
      <c r="B56" s="805" t="s">
        <v>2069</v>
      </c>
      <c r="C56" s="805"/>
      <c r="D56" s="805"/>
      <c r="E56" s="805"/>
      <c r="F56" s="805"/>
      <c r="G56" s="805"/>
      <c r="H56" s="805"/>
      <c r="I56" s="805"/>
      <c r="J56" s="805"/>
      <c r="K56" s="805"/>
      <c r="L56" s="805"/>
      <c r="M56" s="805"/>
      <c r="N56" s="17"/>
    </row>
  </sheetData>
  <mergeCells count="6">
    <mergeCell ref="B56:M56"/>
    <mergeCell ref="J41:K41"/>
    <mergeCell ref="J43:K43"/>
    <mergeCell ref="J45:K45"/>
    <mergeCell ref="B53:M53"/>
    <mergeCell ref="B54:M55"/>
  </mergeCells>
  <printOptions horizontalCentered="1"/>
  <pageMargins left="1" right="1" top="1" bottom="1" header="0.5" footer="0.5"/>
  <pageSetup scale="82"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ignoredErrors>
    <ignoredError sqref="G5 I5 K5"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P81"/>
  <sheetViews>
    <sheetView tabSelected="1" view="pageBreakPreview" topLeftCell="B52" zoomScale="70" zoomScaleNormal="70" zoomScaleSheetLayoutView="70" workbookViewId="0">
      <selection activeCell="E21" sqref="E21"/>
    </sheetView>
  </sheetViews>
  <sheetFormatPr defaultColWidth="8.81640625" defaultRowHeight="14.5"/>
  <cols>
    <col min="1" max="2" width="5.7265625" style="17" customWidth="1"/>
    <col min="3" max="3" width="18.453125" style="17" customWidth="1"/>
    <col min="4" max="4" width="20" style="372" customWidth="1"/>
    <col min="5" max="5" width="19.26953125" style="17" customWidth="1"/>
    <col min="6" max="6" width="16.7265625" style="17" customWidth="1"/>
    <col min="7" max="7" width="18.54296875" style="17" customWidth="1"/>
    <col min="8" max="8" width="10.453125" style="17" customWidth="1"/>
    <col min="9" max="9" width="18.54296875" style="17" customWidth="1"/>
    <col min="10" max="10" width="2" style="17" customWidth="1"/>
    <col min="11" max="12" width="16.54296875" style="407" customWidth="1"/>
    <col min="13" max="13" width="21.26953125" style="371" customWidth="1"/>
    <col min="14" max="14" width="6.7265625" style="17" customWidth="1"/>
    <col min="15" max="15" width="12.7265625" style="372" customWidth="1"/>
    <col min="16" max="16384" width="8.81640625" style="17"/>
  </cols>
  <sheetData>
    <row r="1" spans="1:16">
      <c r="B1" s="409" t="s">
        <v>74</v>
      </c>
      <c r="M1" s="15" t="s">
        <v>2018</v>
      </c>
    </row>
    <row r="2" spans="1:16">
      <c r="B2" s="409" t="s">
        <v>2070</v>
      </c>
      <c r="C2" s="406"/>
      <c r="D2" s="437"/>
      <c r="E2" s="3"/>
      <c r="F2" s="3"/>
      <c r="K2" s="400"/>
      <c r="L2" s="400">
        <v>5</v>
      </c>
      <c r="M2" s="151" t="s">
        <v>2071</v>
      </c>
    </row>
    <row r="3" spans="1:16">
      <c r="B3" s="408" t="s">
        <v>130</v>
      </c>
      <c r="C3" s="408"/>
      <c r="D3" s="408"/>
      <c r="E3" s="3"/>
      <c r="F3" s="3"/>
      <c r="K3" s="400"/>
      <c r="L3" s="400"/>
    </row>
    <row r="4" spans="1:16" ht="15" thickBot="1">
      <c r="B4" s="409"/>
      <c r="C4" s="406"/>
      <c r="D4" s="437"/>
      <c r="E4" s="401"/>
      <c r="F4" s="3"/>
      <c r="G4" s="371"/>
      <c r="H4" s="371"/>
      <c r="I4" s="371"/>
      <c r="K4" s="400"/>
      <c r="L4" s="400"/>
      <c r="M4" s="151"/>
    </row>
    <row r="5" spans="1:16">
      <c r="B5" s="409"/>
      <c r="C5" s="442"/>
      <c r="D5" s="536" t="s">
        <v>413</v>
      </c>
      <c r="E5" s="537" t="s">
        <v>414</v>
      </c>
      <c r="F5" s="147" t="s">
        <v>415</v>
      </c>
      <c r="G5" s="147" t="s">
        <v>416</v>
      </c>
      <c r="H5" s="147" t="s">
        <v>417</v>
      </c>
      <c r="I5" s="538" t="s">
        <v>418</v>
      </c>
      <c r="J5" s="197"/>
      <c r="K5" s="537" t="s">
        <v>419</v>
      </c>
      <c r="L5" s="618" t="s">
        <v>420</v>
      </c>
      <c r="M5" s="147" t="s">
        <v>451</v>
      </c>
    </row>
    <row r="6" spans="1:16">
      <c r="B6" s="409"/>
      <c r="C6" s="442"/>
      <c r="D6" s="536"/>
      <c r="E6" s="537"/>
      <c r="F6" s="147"/>
      <c r="G6" s="147"/>
      <c r="H6" s="147"/>
      <c r="I6" s="538"/>
      <c r="J6" s="197"/>
      <c r="K6" s="537"/>
      <c r="L6" s="619"/>
      <c r="M6" s="147"/>
    </row>
    <row r="7" spans="1:16">
      <c r="B7" s="3"/>
      <c r="C7" s="406"/>
      <c r="D7" s="407" t="s">
        <v>110</v>
      </c>
      <c r="E7" s="407" t="s">
        <v>202</v>
      </c>
      <c r="F7" s="407" t="s">
        <v>249</v>
      </c>
      <c r="G7" s="535" t="s">
        <v>2072</v>
      </c>
      <c r="H7" s="407" t="s">
        <v>285</v>
      </c>
      <c r="I7" s="535" t="s">
        <v>2073</v>
      </c>
      <c r="K7" s="535" t="s">
        <v>2074</v>
      </c>
      <c r="L7" s="620" t="s">
        <v>2075</v>
      </c>
      <c r="M7" s="133" t="s">
        <v>2076</v>
      </c>
    </row>
    <row r="8" spans="1:16">
      <c r="D8" s="407" t="s">
        <v>2077</v>
      </c>
      <c r="E8" s="133" t="s">
        <v>2078</v>
      </c>
      <c r="F8" s="407" t="s">
        <v>2077</v>
      </c>
      <c r="G8" s="371" t="s">
        <v>2079</v>
      </c>
      <c r="H8" s="420" t="s">
        <v>2080</v>
      </c>
      <c r="I8" s="371" t="s">
        <v>2079</v>
      </c>
      <c r="K8" s="433" t="s">
        <v>2081</v>
      </c>
      <c r="L8" s="621" t="s">
        <v>2082</v>
      </c>
      <c r="M8" s="371" t="s">
        <v>2023</v>
      </c>
      <c r="P8" s="95"/>
    </row>
    <row r="9" spans="1:16">
      <c r="D9" s="435" t="s">
        <v>2083</v>
      </c>
      <c r="E9" s="436" t="s">
        <v>2084</v>
      </c>
      <c r="F9" s="435" t="str">
        <f>D9</f>
        <v>5-Year Historical</v>
      </c>
      <c r="G9" s="434" t="str">
        <f>CONCATENATE("Scaled to ",E4)</f>
        <v xml:space="preserve">Scaled to </v>
      </c>
      <c r="H9" s="420" t="s">
        <v>2085</v>
      </c>
      <c r="I9" s="433" t="s">
        <v>2086</v>
      </c>
      <c r="K9" s="433" t="s">
        <v>2087</v>
      </c>
      <c r="L9" s="621" t="s">
        <v>2088</v>
      </c>
      <c r="M9" s="371" t="s">
        <v>2030</v>
      </c>
      <c r="P9" s="95"/>
    </row>
    <row r="10" spans="1:16">
      <c r="A10" s="144" t="s">
        <v>99</v>
      </c>
      <c r="B10" s="444" t="s">
        <v>2028</v>
      </c>
      <c r="C10" s="444" t="s">
        <v>2029</v>
      </c>
      <c r="D10" s="445" t="s">
        <v>2034</v>
      </c>
      <c r="E10" s="444" t="s">
        <v>2034</v>
      </c>
      <c r="F10" s="444" t="s">
        <v>2089</v>
      </c>
      <c r="G10" s="444" t="s">
        <v>2089</v>
      </c>
      <c r="H10" s="446" t="s">
        <v>2090</v>
      </c>
      <c r="I10" s="444" t="s">
        <v>2089</v>
      </c>
      <c r="J10" s="111"/>
      <c r="K10" s="447" t="s">
        <v>2091</v>
      </c>
      <c r="L10" s="622" t="s">
        <v>2092</v>
      </c>
      <c r="M10" s="444" t="s">
        <v>2093</v>
      </c>
      <c r="N10" s="144" t="str">
        <f>A10</f>
        <v>Line</v>
      </c>
      <c r="P10" s="95"/>
    </row>
    <row r="11" spans="1:16">
      <c r="H11" s="420"/>
      <c r="K11" s="419"/>
      <c r="L11" s="623"/>
      <c r="M11" s="200"/>
      <c r="P11" s="95"/>
    </row>
    <row r="12" spans="1:16">
      <c r="A12" s="379">
        <v>100</v>
      </c>
      <c r="B12" s="17" t="s">
        <v>2036</v>
      </c>
      <c r="C12" s="17" t="s">
        <v>2037</v>
      </c>
      <c r="D12" s="399">
        <v>28524303577</v>
      </c>
      <c r="E12" s="399">
        <v>27944371486.646046</v>
      </c>
      <c r="F12" s="424">
        <v>71965057.469229609</v>
      </c>
      <c r="G12" s="372">
        <f>(E12/D12)*F12</f>
        <v>70501924.597364336</v>
      </c>
      <c r="H12" s="432">
        <v>1.1384794179171955</v>
      </c>
      <c r="I12" s="421">
        <f>H12*G12</f>
        <v>80264990.077649355</v>
      </c>
      <c r="K12" s="614">
        <f>I12/I$42</f>
        <v>0.47788684345805121</v>
      </c>
      <c r="L12" s="615">
        <f>(I12/I$42)*L$42</f>
        <v>0.47563683992579942</v>
      </c>
      <c r="M12" s="497">
        <f ca="1">L12*$M$56</f>
        <v>1336242481.9799821</v>
      </c>
      <c r="N12" s="379">
        <f>A12</f>
        <v>100</v>
      </c>
      <c r="P12" s="95"/>
    </row>
    <row r="13" spans="1:16">
      <c r="A13" s="379"/>
      <c r="D13" s="421" t="s">
        <v>2094</v>
      </c>
      <c r="E13" s="399">
        <v>165948.54622299998</v>
      </c>
      <c r="F13" s="427"/>
      <c r="G13" s="372"/>
      <c r="H13" s="420"/>
      <c r="I13" s="372"/>
      <c r="K13" s="614"/>
      <c r="L13" s="615"/>
      <c r="M13" s="159"/>
      <c r="N13" s="379"/>
      <c r="P13" s="95"/>
    </row>
    <row r="14" spans="1:16">
      <c r="A14" s="379">
        <f>A12+1</f>
        <v>101</v>
      </c>
      <c r="B14" s="17" t="s">
        <v>2041</v>
      </c>
      <c r="C14" s="17" t="s">
        <v>2042</v>
      </c>
      <c r="D14" s="399">
        <v>8157393505.3999996</v>
      </c>
      <c r="E14" s="399">
        <v>7510378327.2231731</v>
      </c>
      <c r="F14" s="424">
        <v>14784949.795850161</v>
      </c>
      <c r="G14" s="372">
        <f>(E14/D14)*F14</f>
        <v>13612260.637215739</v>
      </c>
      <c r="H14" s="420">
        <f>$H$12</f>
        <v>1.1384794179171955</v>
      </c>
      <c r="I14" s="421">
        <f>H14*G14</f>
        <v>15497278.566794528</v>
      </c>
      <c r="K14" s="614">
        <f>I14/I$42</f>
        <v>9.226869061231982E-2</v>
      </c>
      <c r="L14" s="615">
        <f>(I14/I$42)*L$42</f>
        <v>9.1834267939597314E-2</v>
      </c>
      <c r="M14" s="497">
        <f ca="1">L14*$M$56</f>
        <v>257996941.82974923</v>
      </c>
      <c r="N14" s="379">
        <f>A14</f>
        <v>101</v>
      </c>
      <c r="P14" s="95"/>
    </row>
    <row r="15" spans="1:16">
      <c r="A15" s="379"/>
      <c r="E15" s="372"/>
      <c r="F15" s="427"/>
      <c r="G15" s="372"/>
      <c r="H15" s="420"/>
      <c r="I15" s="372"/>
      <c r="K15" s="614"/>
      <c r="L15" s="615"/>
      <c r="M15" s="378"/>
      <c r="N15" s="379"/>
      <c r="P15" s="95"/>
    </row>
    <row r="16" spans="1:16">
      <c r="A16" s="379">
        <f>A14+1</f>
        <v>102</v>
      </c>
      <c r="B16" s="17" t="s">
        <v>2043</v>
      </c>
      <c r="C16" s="17" t="s">
        <v>2044</v>
      </c>
      <c r="D16" s="399">
        <v>8408239884.8000002</v>
      </c>
      <c r="E16" s="399">
        <v>7538481007.4592094</v>
      </c>
      <c r="F16" s="424">
        <v>14573383.005808085</v>
      </c>
      <c r="G16" s="372">
        <f>(E16/D16)*F16</f>
        <v>13065893.993142921</v>
      </c>
      <c r="H16" s="420">
        <f>$H$12</f>
        <v>1.1384794179171955</v>
      </c>
      <c r="I16" s="421">
        <f>H16*G16</f>
        <v>14875251.387881136</v>
      </c>
      <c r="K16" s="614"/>
      <c r="L16" s="615"/>
      <c r="M16" s="378"/>
      <c r="N16" s="379">
        <f>A16</f>
        <v>102</v>
      </c>
      <c r="P16" s="95"/>
    </row>
    <row r="17" spans="1:16">
      <c r="A17" s="379"/>
      <c r="E17" s="372"/>
      <c r="F17" s="427"/>
      <c r="G17" s="372"/>
      <c r="H17" s="420"/>
      <c r="I17" s="372"/>
      <c r="K17" s="614"/>
      <c r="L17" s="615"/>
      <c r="M17" s="378"/>
      <c r="N17" s="379"/>
      <c r="P17" s="95"/>
    </row>
    <row r="18" spans="1:16">
      <c r="A18" s="379">
        <f>A16+1</f>
        <v>103</v>
      </c>
      <c r="B18" s="17" t="s">
        <v>2046</v>
      </c>
      <c r="C18" s="17" t="s">
        <v>2047</v>
      </c>
      <c r="D18" s="399">
        <v>34166412.399999999</v>
      </c>
      <c r="E18" s="430">
        <v>27990916.297185</v>
      </c>
      <c r="F18" s="424">
        <v>47708.328529274571</v>
      </c>
      <c r="G18" s="372">
        <f>(E18/D18)*F18</f>
        <v>39085.163958903919</v>
      </c>
      <c r="H18" s="432">
        <v>1.0435094</v>
      </c>
      <c r="I18" s="421">
        <f>H18*G18</f>
        <v>40785.735991657457</v>
      </c>
      <c r="K18" s="614"/>
      <c r="L18" s="615"/>
      <c r="M18" s="378"/>
      <c r="N18" s="379">
        <f>A18</f>
        <v>103</v>
      </c>
      <c r="P18" s="95"/>
    </row>
    <row r="19" spans="1:16">
      <c r="A19" s="379"/>
      <c r="E19" s="431"/>
      <c r="F19" s="427"/>
      <c r="G19" s="372"/>
      <c r="H19" s="420"/>
      <c r="I19" s="372"/>
      <c r="K19" s="614"/>
      <c r="L19" s="615"/>
      <c r="M19" s="378"/>
      <c r="N19" s="379"/>
      <c r="P19" s="95"/>
    </row>
    <row r="20" spans="1:16">
      <c r="A20" s="379">
        <f>A18+1</f>
        <v>104</v>
      </c>
      <c r="B20" s="17" t="s">
        <v>2046</v>
      </c>
      <c r="C20" s="17" t="s">
        <v>2048</v>
      </c>
      <c r="D20" s="399">
        <v>1048513416.8</v>
      </c>
      <c r="E20" s="430">
        <v>1024719850.396168</v>
      </c>
      <c r="F20" s="424">
        <v>1643999.7839596549</v>
      </c>
      <c r="G20" s="372">
        <f>(E20/D20)*F20</f>
        <v>1606693.0433869772</v>
      </c>
      <c r="H20" s="432">
        <v>1.074143946010695</v>
      </c>
      <c r="I20" s="421">
        <f>H20*G20</f>
        <v>1725819.6056516203</v>
      </c>
      <c r="K20" s="614"/>
      <c r="L20" s="615"/>
      <c r="M20" s="378"/>
      <c r="N20" s="379">
        <f>A20</f>
        <v>104</v>
      </c>
      <c r="P20" s="95"/>
    </row>
    <row r="21" spans="1:16">
      <c r="A21" s="379"/>
      <c r="E21" s="431"/>
      <c r="F21" s="427"/>
      <c r="G21" s="372"/>
      <c r="H21" s="420"/>
      <c r="I21" s="372"/>
      <c r="K21" s="614"/>
      <c r="L21" s="615"/>
      <c r="M21" s="378"/>
      <c r="N21" s="379"/>
      <c r="P21" s="95"/>
    </row>
    <row r="22" spans="1:16">
      <c r="A22" s="379">
        <f>A20+1</f>
        <v>105</v>
      </c>
      <c r="B22" s="17" t="s">
        <v>2046</v>
      </c>
      <c r="C22" s="17" t="s">
        <v>2049</v>
      </c>
      <c r="D22" s="399">
        <v>12179188821.799999</v>
      </c>
      <c r="E22" s="430">
        <v>12131680420.226406</v>
      </c>
      <c r="F22" s="424">
        <v>19875255.790251184</v>
      </c>
      <c r="G22" s="372">
        <f>(E22/D22)*F22</f>
        <v>19797726.683241118</v>
      </c>
      <c r="H22" s="420">
        <f>$H$12</f>
        <v>1.1384794179171955</v>
      </c>
      <c r="I22" s="421">
        <f>H22*G22</f>
        <v>22539304.350420076</v>
      </c>
      <c r="K22" s="614"/>
      <c r="L22" s="615"/>
      <c r="M22" s="378"/>
      <c r="N22" s="379">
        <f>A22</f>
        <v>105</v>
      </c>
      <c r="P22" s="95"/>
    </row>
    <row r="23" spans="1:16">
      <c r="A23" s="379"/>
      <c r="E23" s="372"/>
      <c r="F23" s="427"/>
      <c r="G23" s="372"/>
      <c r="H23" s="420"/>
      <c r="I23" s="372"/>
      <c r="K23" s="614"/>
      <c r="L23" s="615"/>
      <c r="M23" s="378"/>
      <c r="N23" s="379"/>
      <c r="P23" s="95"/>
    </row>
    <row r="24" spans="1:16">
      <c r="A24" s="379">
        <f>A22+1</f>
        <v>106</v>
      </c>
      <c r="B24" s="17" t="s">
        <v>2050</v>
      </c>
      <c r="D24" s="372">
        <f>SUM(D16:D22)</f>
        <v>21670108535.799999</v>
      </c>
      <c r="E24" s="372">
        <f>SUM(E16:E22)</f>
        <v>20722872194.378967</v>
      </c>
      <c r="F24" s="372">
        <f>SUM(F16:F22)</f>
        <v>36140346.908548199</v>
      </c>
      <c r="G24" s="372">
        <f>SUM(G16:G22)</f>
        <v>34509398.88372992</v>
      </c>
      <c r="H24" s="372"/>
      <c r="I24" s="372">
        <f>SUM(I16:I22)</f>
        <v>39181161.079944491</v>
      </c>
      <c r="K24" s="614">
        <f>I24/I$42</f>
        <v>0.23327930861764432</v>
      </c>
      <c r="L24" s="615">
        <f>(I24/I$42)*L$42</f>
        <v>0.23218097482675593</v>
      </c>
      <c r="M24" s="497">
        <f ca="1">L24*$M$56</f>
        <v>652283540.77753091</v>
      </c>
      <c r="N24" s="379">
        <f>A24</f>
        <v>106</v>
      </c>
      <c r="P24" s="95"/>
    </row>
    <row r="25" spans="1:16">
      <c r="A25" s="379"/>
      <c r="E25" s="372"/>
      <c r="F25" s="427"/>
      <c r="G25" s="372"/>
      <c r="H25" s="420"/>
      <c r="I25" s="372"/>
      <c r="K25" s="614"/>
      <c r="L25" s="615"/>
      <c r="M25" s="378"/>
      <c r="N25" s="379"/>
      <c r="P25" s="95"/>
    </row>
    <row r="26" spans="1:16">
      <c r="A26" s="379">
        <f>A24+1</f>
        <v>107</v>
      </c>
      <c r="B26" s="17" t="s">
        <v>2052</v>
      </c>
      <c r="C26" s="17" t="s">
        <v>2053</v>
      </c>
      <c r="D26" s="399">
        <v>284956477.20000082</v>
      </c>
      <c r="E26" s="399">
        <v>229208585.16621304</v>
      </c>
      <c r="F26" s="424">
        <v>450174.16482196003</v>
      </c>
      <c r="G26" s="372">
        <f>(E26/D26)*F26</f>
        <v>362103.66021896747</v>
      </c>
      <c r="H26" s="420">
        <f>$H$12</f>
        <v>1.1384794179171955</v>
      </c>
      <c r="I26" s="421">
        <f>H26*G26</f>
        <v>412247.56431177602</v>
      </c>
      <c r="K26" s="614">
        <f>I26/I$42</f>
        <v>2.4544659762822732E-3</v>
      </c>
      <c r="L26" s="615">
        <f>(I26/I$42)*L$42</f>
        <v>2.44290977382132E-3</v>
      </c>
      <c r="M26" s="497">
        <f ca="1">L26*$M$56</f>
        <v>6863050.8518503318</v>
      </c>
      <c r="N26" s="379">
        <f>A26</f>
        <v>107</v>
      </c>
      <c r="P26" s="95"/>
    </row>
    <row r="27" spans="1:16">
      <c r="A27" s="379"/>
      <c r="E27" s="372"/>
      <c r="F27" s="427"/>
      <c r="G27" s="372"/>
      <c r="H27" s="420"/>
      <c r="I27" s="372"/>
      <c r="K27" s="614"/>
      <c r="L27" s="615"/>
      <c r="M27" s="378"/>
      <c r="N27" s="379"/>
      <c r="P27" s="95"/>
    </row>
    <row r="28" spans="1:16">
      <c r="A28" s="379">
        <f>A26+1</f>
        <v>108</v>
      </c>
      <c r="B28" s="17" t="s">
        <v>2054</v>
      </c>
      <c r="C28" s="17" t="s">
        <v>2055</v>
      </c>
      <c r="D28" s="428">
        <v>499192218.19999999</v>
      </c>
      <c r="E28" s="399">
        <v>489383289.84964204</v>
      </c>
      <c r="F28" s="424">
        <v>755614.66629246227</v>
      </c>
      <c r="G28" s="372">
        <f>(E28/D28)*F28</f>
        <v>740767.13892341009</v>
      </c>
      <c r="H28" s="420">
        <f>$H$12</f>
        <v>1.1384794179171955</v>
      </c>
      <c r="I28" s="421">
        <f>H28*G28</f>
        <v>843348.14113371028</v>
      </c>
      <c r="K28" s="614"/>
      <c r="L28" s="615"/>
      <c r="M28" s="378"/>
      <c r="N28" s="379">
        <f>A28</f>
        <v>108</v>
      </c>
      <c r="P28" s="95"/>
    </row>
    <row r="29" spans="1:16">
      <c r="A29" s="379"/>
      <c r="D29" s="429"/>
      <c r="E29" s="372"/>
      <c r="F29" s="427"/>
      <c r="G29" s="372"/>
      <c r="H29" s="420"/>
      <c r="I29" s="372"/>
      <c r="K29" s="614"/>
      <c r="L29" s="615"/>
      <c r="M29" s="378"/>
      <c r="N29" s="379"/>
      <c r="P29" s="95"/>
    </row>
    <row r="30" spans="1:16">
      <c r="A30" s="379">
        <f>A28+1</f>
        <v>109</v>
      </c>
      <c r="B30" s="17" t="s">
        <v>2056</v>
      </c>
      <c r="C30" s="17" t="s">
        <v>2057</v>
      </c>
      <c r="D30" s="428">
        <v>5749893790.1999998</v>
      </c>
      <c r="E30" s="399">
        <v>5503812554.0353251</v>
      </c>
      <c r="F30" s="424">
        <v>9122386.3709618393</v>
      </c>
      <c r="G30" s="372">
        <f>(E30/D30)*F30</f>
        <v>8731970.791675115</v>
      </c>
      <c r="H30" s="420">
        <f>$H$12</f>
        <v>1.1384794179171955</v>
      </c>
      <c r="I30" s="421">
        <f>H30*G30</f>
        <v>9941169.0241762381</v>
      </c>
      <c r="K30" s="614"/>
      <c r="L30" s="615"/>
      <c r="M30" s="378"/>
      <c r="N30" s="379">
        <f>A30</f>
        <v>109</v>
      </c>
      <c r="P30" s="95"/>
    </row>
    <row r="31" spans="1:16">
      <c r="A31" s="379"/>
      <c r="D31" s="17"/>
      <c r="E31" s="372"/>
      <c r="F31" s="427"/>
      <c r="G31" s="372"/>
      <c r="H31" s="420"/>
      <c r="I31" s="372"/>
      <c r="K31" s="614"/>
      <c r="L31" s="615"/>
      <c r="M31" s="378"/>
      <c r="N31" s="379"/>
      <c r="P31" s="95"/>
    </row>
    <row r="32" spans="1:16">
      <c r="A32" s="379">
        <f>A30+1</f>
        <v>110</v>
      </c>
      <c r="B32" s="17" t="s">
        <v>2058</v>
      </c>
      <c r="D32" s="372">
        <f>SUM(D28:D31)</f>
        <v>6249086008.3999996</v>
      </c>
      <c r="E32" s="372">
        <f>SUM(E28:E31)</f>
        <v>5993195843.8849669</v>
      </c>
      <c r="F32" s="372">
        <f>SUM(F28:F31)</f>
        <v>9878001.0372543018</v>
      </c>
      <c r="G32" s="372">
        <f>SUM(G28:G31)</f>
        <v>9472737.9305985253</v>
      </c>
      <c r="H32" s="420"/>
      <c r="I32" s="372">
        <f>SUM(I28:I31)</f>
        <v>10784517.165309949</v>
      </c>
      <c r="K32" s="614">
        <f>I32/I$42</f>
        <v>6.420954965998639E-2</v>
      </c>
      <c r="L32" s="615">
        <f>(I32/I$42)*L$42</f>
        <v>6.3907236014994928E-2</v>
      </c>
      <c r="M32" s="497">
        <f ca="1">L32*$M$56</f>
        <v>179539422.72949097</v>
      </c>
      <c r="N32" s="379">
        <f>A32</f>
        <v>110</v>
      </c>
      <c r="P32" s="95"/>
    </row>
    <row r="33" spans="1:16">
      <c r="A33" s="379"/>
      <c r="D33" s="17"/>
      <c r="E33" s="372"/>
      <c r="F33" s="427"/>
      <c r="G33" s="372"/>
      <c r="H33" s="420"/>
      <c r="I33" s="372"/>
      <c r="K33" s="614"/>
      <c r="L33" s="615"/>
      <c r="M33" s="378"/>
      <c r="N33" s="379"/>
      <c r="P33" s="95"/>
    </row>
    <row r="34" spans="1:16">
      <c r="A34" s="379">
        <f>A32+1</f>
        <v>111</v>
      </c>
      <c r="B34" s="17" t="s">
        <v>2059</v>
      </c>
      <c r="C34" s="17" t="s">
        <v>2047</v>
      </c>
      <c r="D34" s="422">
        <v>5974366660.1999998</v>
      </c>
      <c r="E34" s="399">
        <v>5316209154.7819347</v>
      </c>
      <c r="F34" s="424">
        <v>8687588.1965470687</v>
      </c>
      <c r="G34" s="372">
        <f>(E34/D34)*F34</f>
        <v>7730532.5451707207</v>
      </c>
      <c r="H34" s="420">
        <f>$H$18</f>
        <v>1.0435094</v>
      </c>
      <c r="I34" s="421">
        <f>H34*G34</f>
        <v>8066883.3778915722</v>
      </c>
      <c r="K34" s="614"/>
      <c r="L34" s="615"/>
      <c r="M34" s="378"/>
      <c r="N34" s="379">
        <f>A34</f>
        <v>111</v>
      </c>
      <c r="P34" s="95"/>
    </row>
    <row r="35" spans="1:16">
      <c r="A35" s="379"/>
      <c r="D35" s="423"/>
      <c r="E35" s="372"/>
      <c r="F35" s="427"/>
      <c r="G35" s="372"/>
      <c r="H35" s="420"/>
      <c r="I35" s="372"/>
      <c r="K35" s="614"/>
      <c r="L35" s="615"/>
      <c r="M35" s="378"/>
      <c r="N35" s="379"/>
      <c r="P35" s="95"/>
    </row>
    <row r="36" spans="1:16">
      <c r="A36" s="379">
        <f>A34+1</f>
        <v>112</v>
      </c>
      <c r="B36" s="17" t="s">
        <v>2059</v>
      </c>
      <c r="C36" s="17" t="s">
        <v>2048</v>
      </c>
      <c r="D36" s="422">
        <v>6575849832</v>
      </c>
      <c r="E36" s="399">
        <v>6162292243.9278631</v>
      </c>
      <c r="F36" s="424">
        <v>9882744.6197886169</v>
      </c>
      <c r="G36" s="372">
        <f>(E36/D36)*F36</f>
        <v>9261215.215542838</v>
      </c>
      <c r="H36" s="420">
        <f>$H$20</f>
        <v>1.074143946010695</v>
      </c>
      <c r="I36" s="421">
        <f>H36*G36</f>
        <v>9947878.2564774733</v>
      </c>
      <c r="K36" s="614"/>
      <c r="L36" s="615"/>
      <c r="M36" s="378"/>
      <c r="N36" s="379">
        <f>A36</f>
        <v>112</v>
      </c>
      <c r="P36" s="95"/>
    </row>
    <row r="37" spans="1:16">
      <c r="A37" s="379"/>
      <c r="D37" s="423"/>
      <c r="E37" s="372"/>
      <c r="F37" s="427"/>
      <c r="G37" s="372"/>
      <c r="H37" s="420"/>
      <c r="I37" s="372"/>
      <c r="K37" s="614"/>
      <c r="L37" s="615"/>
      <c r="M37" s="378"/>
      <c r="N37" s="379"/>
      <c r="P37" s="95"/>
    </row>
    <row r="38" spans="1:16">
      <c r="A38" s="379">
        <f>A36+1</f>
        <v>113</v>
      </c>
      <c r="B38" s="17" t="s">
        <v>2059</v>
      </c>
      <c r="C38" s="17" t="s">
        <v>2049</v>
      </c>
      <c r="D38" s="422">
        <v>2330386660.8000002</v>
      </c>
      <c r="E38" s="399">
        <v>2201906891.770927</v>
      </c>
      <c r="F38" s="424">
        <v>3535511.9249374331</v>
      </c>
      <c r="G38" s="372">
        <f>(E38/D38)*F38</f>
        <v>3340590.7287443695</v>
      </c>
      <c r="H38" s="420">
        <f>$H$12</f>
        <v>1.1384794179171955</v>
      </c>
      <c r="I38" s="421">
        <f>H38*G38</f>
        <v>3803193.78836047</v>
      </c>
      <c r="K38" s="614"/>
      <c r="L38" s="615"/>
      <c r="M38" s="378"/>
      <c r="N38" s="379">
        <f>A38</f>
        <v>113</v>
      </c>
      <c r="P38" s="95"/>
    </row>
    <row r="39" spans="1:16">
      <c r="A39" s="379"/>
      <c r="D39" s="423"/>
      <c r="E39" s="372"/>
      <c r="F39" s="425"/>
      <c r="G39" s="372"/>
      <c r="H39" s="420"/>
      <c r="I39" s="372"/>
      <c r="K39" s="614"/>
      <c r="L39" s="615"/>
      <c r="M39" s="378"/>
      <c r="N39" s="379"/>
      <c r="P39" s="95"/>
    </row>
    <row r="40" spans="1:16">
      <c r="A40" s="379">
        <f>A38+1</f>
        <v>114</v>
      </c>
      <c r="B40" s="17" t="s">
        <v>2060</v>
      </c>
      <c r="D40" s="372">
        <f>SUM(D34:D39)</f>
        <v>14880603153</v>
      </c>
      <c r="E40" s="372">
        <f>SUM(E34:E39)</f>
        <v>13680408290.480724</v>
      </c>
      <c r="F40" s="372">
        <f>SUM(F34:F39)</f>
        <v>22105844.74127312</v>
      </c>
      <c r="G40" s="372">
        <f>SUM(G34:G39)</f>
        <v>20332338.489457928</v>
      </c>
      <c r="H40" s="420"/>
      <c r="I40" s="372">
        <f>SUM(I34:I39)</f>
        <v>21817955.422729515</v>
      </c>
      <c r="K40" s="614">
        <f>I40/I$42</f>
        <v>0.12990114167571615</v>
      </c>
      <c r="L40" s="615">
        <f>(I40/I$42)*L$42</f>
        <v>0.12928953658213596</v>
      </c>
      <c r="M40" s="497">
        <f ca="1">L40*$M$56</f>
        <v>363222855.6633805</v>
      </c>
      <c r="N40" s="379">
        <f>A40</f>
        <v>114</v>
      </c>
      <c r="P40" s="95"/>
    </row>
    <row r="41" spans="1:16">
      <c r="A41" s="379"/>
      <c r="D41" s="423"/>
      <c r="E41" s="372"/>
      <c r="F41" s="425"/>
      <c r="G41" s="372"/>
      <c r="H41" s="420"/>
      <c r="I41" s="372"/>
      <c r="K41" s="418"/>
      <c r="L41" s="615"/>
      <c r="M41" s="378"/>
      <c r="N41" s="379"/>
      <c r="P41" s="95"/>
    </row>
    <row r="42" spans="1:16">
      <c r="A42" s="379">
        <f>A40+1</f>
        <v>115</v>
      </c>
      <c r="B42" s="200" t="s">
        <v>2095</v>
      </c>
      <c r="C42" s="200"/>
      <c r="D42" s="400">
        <f>+D12+D14+D24+D26+D32+D40</f>
        <v>79766451256.800003</v>
      </c>
      <c r="E42" s="400">
        <f>+E12+E14+E24+E26+E32+E40</f>
        <v>76080434727.78009</v>
      </c>
      <c r="F42" s="400">
        <f>+F12+F14+F24+F26+F32+F40</f>
        <v>155324374.11697733</v>
      </c>
      <c r="G42" s="400">
        <f>+G12+G14+G24+G26+G32+G40</f>
        <v>148790764.19858542</v>
      </c>
      <c r="H42" s="200"/>
      <c r="I42" s="400">
        <f>+I12+I14+I24+I26+I32+I40</f>
        <v>167958149.87673959</v>
      </c>
      <c r="J42" s="200"/>
      <c r="K42" s="426">
        <f>SUM(K12:K41)</f>
        <v>1.0000000000000002</v>
      </c>
      <c r="L42" s="616">
        <f>1-L51</f>
        <v>0.99529176506310468</v>
      </c>
      <c r="M42" s="497">
        <f ca="1">L42*$M$56</f>
        <v>2796148293.8319836</v>
      </c>
      <c r="N42" s="379">
        <f>A42</f>
        <v>115</v>
      </c>
      <c r="P42" s="95"/>
    </row>
    <row r="43" spans="1:16">
      <c r="A43" s="379"/>
      <c r="D43" s="423"/>
      <c r="E43" s="372"/>
      <c r="F43" s="425"/>
      <c r="G43" s="372"/>
      <c r="H43" s="420"/>
      <c r="I43" s="372"/>
      <c r="K43" s="418"/>
      <c r="L43" s="615"/>
      <c r="M43" s="378"/>
      <c r="N43" s="379"/>
      <c r="P43" s="95"/>
    </row>
    <row r="44" spans="1:16">
      <c r="A44" s="379"/>
      <c r="D44" s="423"/>
      <c r="E44" s="372"/>
      <c r="F44" s="425"/>
      <c r="G44" s="372"/>
      <c r="H44" s="420"/>
      <c r="I44" s="372"/>
      <c r="K44" s="418"/>
      <c r="L44" s="615"/>
      <c r="M44" s="378"/>
      <c r="N44" s="379"/>
      <c r="P44" s="95"/>
    </row>
    <row r="45" spans="1:16">
      <c r="A45" s="379">
        <f>A42+1</f>
        <v>116</v>
      </c>
      <c r="B45" s="17" t="s">
        <v>2061</v>
      </c>
      <c r="C45" s="17" t="s">
        <v>2047</v>
      </c>
      <c r="D45" s="422">
        <v>406707231.39999998</v>
      </c>
      <c r="E45" s="399">
        <v>291674391.81317598</v>
      </c>
      <c r="F45" s="424">
        <v>466556.6208310161</v>
      </c>
      <c r="G45" s="372">
        <f>(E45/D45)*F45</f>
        <v>334596.01433410164</v>
      </c>
      <c r="H45" s="420">
        <f>$H$18</f>
        <v>1.0435094</v>
      </c>
      <c r="I45" s="421">
        <f>H45*G45</f>
        <v>349154.0861601698</v>
      </c>
      <c r="K45" s="417"/>
      <c r="L45" s="617"/>
      <c r="M45" s="378"/>
      <c r="N45" s="379">
        <f>A45</f>
        <v>116</v>
      </c>
      <c r="P45" s="95"/>
    </row>
    <row r="46" spans="1:16">
      <c r="A46" s="379"/>
      <c r="D46" s="423"/>
      <c r="E46" s="372"/>
      <c r="F46" s="423"/>
      <c r="G46" s="372"/>
      <c r="H46" s="420"/>
      <c r="I46" s="372"/>
      <c r="K46" s="417"/>
      <c r="L46" s="617"/>
      <c r="M46" s="378"/>
      <c r="N46" s="379"/>
      <c r="P46" s="95"/>
    </row>
    <row r="47" spans="1:16">
      <c r="A47" s="379">
        <f>A45+1</f>
        <v>117</v>
      </c>
      <c r="B47" s="17" t="s">
        <v>2061</v>
      </c>
      <c r="C47" s="17" t="s">
        <v>2048</v>
      </c>
      <c r="D47" s="422">
        <v>18479397</v>
      </c>
      <c r="E47" s="399">
        <v>14256157.638889</v>
      </c>
      <c r="F47" s="424">
        <v>24470.95059384175</v>
      </c>
      <c r="G47" s="372">
        <f>(E47/D47)*F47</f>
        <v>18878.415201495613</v>
      </c>
      <c r="H47" s="420">
        <f>$H$20</f>
        <v>1.074143946010695</v>
      </c>
      <c r="I47" s="421">
        <f>H47*G47</f>
        <v>20278.135398962786</v>
      </c>
      <c r="K47" s="417"/>
      <c r="L47" s="617"/>
      <c r="M47" s="378"/>
      <c r="N47" s="379">
        <f>A47</f>
        <v>117</v>
      </c>
      <c r="P47" s="95"/>
    </row>
    <row r="48" spans="1:16">
      <c r="A48" s="379"/>
      <c r="D48" s="423"/>
      <c r="E48" s="372"/>
      <c r="F48" s="423"/>
      <c r="G48" s="372"/>
      <c r="H48" s="420"/>
      <c r="I48" s="372"/>
      <c r="K48" s="417"/>
      <c r="L48" s="617"/>
      <c r="M48" s="378"/>
      <c r="N48" s="379"/>
      <c r="P48" s="95"/>
    </row>
    <row r="49" spans="1:16">
      <c r="A49" s="379">
        <f>A47+1</f>
        <v>118</v>
      </c>
      <c r="B49" s="17" t="s">
        <v>2061</v>
      </c>
      <c r="C49" s="17" t="s">
        <v>2049</v>
      </c>
      <c r="D49" s="422">
        <v>1759691.0000000005</v>
      </c>
      <c r="E49" s="399">
        <v>6336380.1130020004</v>
      </c>
      <c r="F49" s="422">
        <v>2844.1264153491143</v>
      </c>
      <c r="G49" s="372">
        <f>(E49/D49)*F49</f>
        <v>10241.267391310059</v>
      </c>
      <c r="H49" s="420">
        <f>$H$12</f>
        <v>1.1384794179171955</v>
      </c>
      <c r="I49" s="421">
        <f>H49*G49</f>
        <v>11659.472138393032</v>
      </c>
      <c r="K49" s="417"/>
      <c r="L49" s="617"/>
      <c r="M49" s="378"/>
      <c r="N49" s="379">
        <f>A49</f>
        <v>118</v>
      </c>
      <c r="P49" s="95"/>
    </row>
    <row r="50" spans="1:16">
      <c r="A50" s="379"/>
      <c r="E50" s="372"/>
      <c r="F50" s="372"/>
      <c r="G50" s="372"/>
      <c r="H50" s="420"/>
      <c r="I50" s="372"/>
      <c r="K50" s="417"/>
      <c r="L50" s="617"/>
      <c r="M50" s="378"/>
      <c r="N50" s="379"/>
      <c r="P50" s="95"/>
    </row>
    <row r="51" spans="1:16">
      <c r="A51" s="379">
        <f>A49+1</f>
        <v>119</v>
      </c>
      <c r="B51" s="17" t="s">
        <v>2096</v>
      </c>
      <c r="D51" s="372">
        <f>SUM(D45:D49)</f>
        <v>426946319.39999998</v>
      </c>
      <c r="E51" s="372">
        <f>SUM(E45:E49)</f>
        <v>312266929.56506699</v>
      </c>
      <c r="F51" s="372">
        <f>SUM(F45:F49)</f>
        <v>493871.69784020697</v>
      </c>
      <c r="G51" s="372">
        <f>SUM(G45:G49)</f>
        <v>363715.69692690735</v>
      </c>
      <c r="H51" s="372"/>
      <c r="I51" s="372">
        <f>SUM(I45:I49)</f>
        <v>381091.6936975256</v>
      </c>
      <c r="K51" s="417"/>
      <c r="L51" s="761">
        <v>4.7082349368953126E-3</v>
      </c>
      <c r="M51" s="497">
        <f ca="1">L51*$M$56</f>
        <v>13227199.85021203</v>
      </c>
      <c r="N51" s="379">
        <f>A51</f>
        <v>119</v>
      </c>
      <c r="P51" s="95"/>
    </row>
    <row r="52" spans="1:16">
      <c r="A52" s="379"/>
      <c r="B52" s="419"/>
      <c r="E52" s="372"/>
      <c r="F52" s="372"/>
      <c r="G52" s="372"/>
      <c r="I52" s="372"/>
      <c r="K52" s="418"/>
      <c r="L52" s="624"/>
      <c r="M52" s="378"/>
      <c r="N52" s="379"/>
      <c r="P52" s="95"/>
    </row>
    <row r="53" spans="1:16" ht="15" thickBot="1">
      <c r="A53" s="379"/>
      <c r="K53" s="417"/>
      <c r="L53" s="760"/>
      <c r="M53" s="379"/>
      <c r="N53" s="379"/>
    </row>
    <row r="54" spans="1:16" ht="15" thickBot="1">
      <c r="A54" s="379">
        <f>A51+1</f>
        <v>120</v>
      </c>
      <c r="B54" s="416" t="s">
        <v>2097</v>
      </c>
      <c r="C54" s="414"/>
      <c r="D54" s="415">
        <f>+D12+D14+D24+D26+D32+D40+D51</f>
        <v>80193397576.199997</v>
      </c>
      <c r="E54" s="415">
        <f>+E12+E14+E24+E26+E32+E40+E51</f>
        <v>76392701657.345154</v>
      </c>
      <c r="F54" s="415">
        <f>+F12+F14+F24+F26+F32+F40+F51</f>
        <v>155818245.81481755</v>
      </c>
      <c r="G54" s="415">
        <f>+G51++G42</f>
        <v>149154479.89551234</v>
      </c>
      <c r="H54" s="414"/>
      <c r="I54" s="415">
        <f>I42+I51</f>
        <v>168339241.5704371</v>
      </c>
      <c r="J54" s="414"/>
      <c r="K54" s="601"/>
      <c r="L54" s="625">
        <f>L42+L51</f>
        <v>1</v>
      </c>
      <c r="M54" s="567">
        <f ca="1">M42+M51</f>
        <v>2809375493.6821957</v>
      </c>
      <c r="N54" s="379">
        <f>A54</f>
        <v>120</v>
      </c>
    </row>
    <row r="55" spans="1:16" ht="15" thickBot="1">
      <c r="A55" s="379"/>
      <c r="D55" s="17"/>
      <c r="N55" s="379"/>
    </row>
    <row r="56" spans="1:16" ht="15" thickBot="1">
      <c r="A56" s="379">
        <f>A54+1</f>
        <v>121</v>
      </c>
      <c r="B56" s="840" t="s">
        <v>2098</v>
      </c>
      <c r="C56" s="841"/>
      <c r="D56" s="841"/>
      <c r="E56" s="841"/>
      <c r="F56" s="841"/>
      <c r="G56" s="841"/>
      <c r="H56" s="841"/>
      <c r="I56" s="841"/>
      <c r="J56" s="841"/>
      <c r="K56" s="841"/>
      <c r="L56" s="841"/>
      <c r="M56" s="567">
        <f ca="1">'1-BaseTRR'!E160</f>
        <v>2809375493.6821957</v>
      </c>
      <c r="N56" s="379">
        <f>A56</f>
        <v>121</v>
      </c>
    </row>
    <row r="57" spans="1:16">
      <c r="M57" s="405"/>
    </row>
    <row r="58" spans="1:16">
      <c r="B58" s="197" t="s">
        <v>304</v>
      </c>
      <c r="D58" s="17"/>
      <c r="E58" s="374"/>
      <c r="F58" s="209"/>
      <c r="K58" s="17"/>
      <c r="L58" s="17"/>
      <c r="M58" s="17"/>
      <c r="N58" s="372"/>
      <c r="O58" s="17"/>
    </row>
    <row r="59" spans="1:16">
      <c r="B59" s="806" t="s">
        <v>2099</v>
      </c>
      <c r="C59" s="806"/>
      <c r="D59" s="806"/>
      <c r="E59" s="806"/>
      <c r="F59" s="806"/>
      <c r="G59" s="806"/>
      <c r="H59" s="806"/>
      <c r="I59" s="806"/>
      <c r="J59" s="806"/>
      <c r="K59" s="806"/>
      <c r="L59" s="806"/>
      <c r="M59" s="806"/>
      <c r="N59" s="806"/>
      <c r="O59" s="806"/>
    </row>
    <row r="60" spans="1:16">
      <c r="B60" s="17" t="s">
        <v>2100</v>
      </c>
      <c r="D60" s="17"/>
      <c r="K60" s="17"/>
      <c r="L60" s="17"/>
      <c r="M60" s="17"/>
      <c r="O60" s="17"/>
    </row>
    <row r="61" spans="1:16">
      <c r="B61" s="806" t="s">
        <v>2101</v>
      </c>
      <c r="C61" s="806"/>
      <c r="D61" s="806"/>
      <c r="E61" s="806"/>
      <c r="F61" s="806"/>
      <c r="G61" s="806"/>
      <c r="H61" s="806"/>
      <c r="I61" s="806"/>
      <c r="J61" s="806"/>
      <c r="K61" s="806"/>
      <c r="L61" s="806"/>
      <c r="M61" s="806"/>
      <c r="N61" s="806"/>
      <c r="O61" s="806"/>
    </row>
    <row r="62" spans="1:16">
      <c r="B62" s="805" t="s">
        <v>2102</v>
      </c>
      <c r="C62" s="805"/>
      <c r="D62" s="805"/>
      <c r="E62" s="805"/>
      <c r="F62" s="805"/>
      <c r="G62" s="805"/>
      <c r="H62" s="805"/>
      <c r="I62" s="805"/>
      <c r="J62" s="805"/>
      <c r="K62" s="805"/>
      <c r="L62" s="805"/>
      <c r="M62" s="805"/>
      <c r="N62" s="805"/>
      <c r="O62" s="805"/>
    </row>
    <row r="63" spans="1:16" ht="33" customHeight="1">
      <c r="B63" s="805" t="s">
        <v>2103</v>
      </c>
      <c r="C63" s="805"/>
      <c r="D63" s="805"/>
      <c r="E63" s="805"/>
      <c r="F63" s="805"/>
      <c r="G63" s="805"/>
      <c r="H63" s="805"/>
      <c r="I63" s="805"/>
      <c r="J63" s="805"/>
      <c r="K63" s="805"/>
      <c r="L63" s="805"/>
      <c r="M63" s="805"/>
      <c r="N63" s="4"/>
      <c r="O63" s="4"/>
    </row>
    <row r="64" spans="1:16">
      <c r="E64" s="413"/>
      <c r="F64" s="413"/>
    </row>
    <row r="65" spans="4:6">
      <c r="E65" s="413"/>
      <c r="F65" s="413"/>
    </row>
    <row r="66" spans="4:6">
      <c r="F66" s="413"/>
    </row>
    <row r="67" spans="4:6">
      <c r="D67" s="412"/>
      <c r="F67" s="372"/>
    </row>
    <row r="68" spans="4:6">
      <c r="F68" s="372"/>
    </row>
    <row r="69" spans="4:6">
      <c r="F69" s="372"/>
    </row>
    <row r="70" spans="4:6">
      <c r="F70" s="372"/>
    </row>
    <row r="71" spans="4:6">
      <c r="F71" s="372"/>
    </row>
    <row r="72" spans="4:6">
      <c r="F72" s="413"/>
    </row>
    <row r="73" spans="4:6">
      <c r="F73" s="413"/>
    </row>
    <row r="74" spans="4:6">
      <c r="D74" s="412"/>
      <c r="F74" s="413"/>
    </row>
    <row r="75" spans="4:6">
      <c r="E75" s="372"/>
      <c r="F75" s="372"/>
    </row>
    <row r="76" spans="4:6">
      <c r="F76" s="413"/>
    </row>
    <row r="77" spans="4:6">
      <c r="F77" s="413"/>
    </row>
    <row r="78" spans="4:6">
      <c r="F78" s="413"/>
    </row>
    <row r="79" spans="4:6">
      <c r="F79" s="413"/>
    </row>
    <row r="81" spans="4:4">
      <c r="D81" s="412"/>
    </row>
  </sheetData>
  <mergeCells count="5">
    <mergeCell ref="B59:O59"/>
    <mergeCell ref="B61:O61"/>
    <mergeCell ref="B62:O62"/>
    <mergeCell ref="B56:L56"/>
    <mergeCell ref="B63:M63"/>
  </mergeCells>
  <printOptions horizontalCentered="1"/>
  <pageMargins left="1" right="1" top="1" bottom="1" header="0.5" footer="0.5"/>
  <pageSetup scale="55"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ignoredErrors>
    <ignoredError sqref="J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G38"/>
  <sheetViews>
    <sheetView tabSelected="1" view="pageBreakPreview" zoomScaleSheetLayoutView="100" zoomScalePageLayoutView="70" workbookViewId="0">
      <selection activeCell="E21" sqref="E21"/>
    </sheetView>
  </sheetViews>
  <sheetFormatPr defaultColWidth="9.1796875" defaultRowHeight="14.5"/>
  <cols>
    <col min="1" max="1" width="4.54296875" bestFit="1" customWidth="1"/>
    <col min="2" max="2" width="45.453125" bestFit="1" customWidth="1"/>
    <col min="3" max="3" width="4.54296875" customWidth="1"/>
    <col min="4" max="4" width="15.54296875" bestFit="1" customWidth="1"/>
    <col min="5" max="5" width="62.1796875" bestFit="1" customWidth="1"/>
    <col min="6" max="6" width="27" customWidth="1"/>
    <col min="7" max="7" width="4.54296875" bestFit="1" customWidth="1"/>
  </cols>
  <sheetData>
    <row r="1" spans="1:7">
      <c r="B1" s="12" t="s">
        <v>10</v>
      </c>
      <c r="F1" s="15" t="str">
        <f>CONCATENATE("Rate Year: ",'1-BaseTRR'!$G$1)</f>
        <v>Rate Year: 2022</v>
      </c>
    </row>
    <row r="2" spans="1:7">
      <c r="F2" s="15" t="str">
        <f>CONCATENATE("Prior Year: ",'1-BaseTRR'!$G$2)</f>
        <v>Prior Year: 2020</v>
      </c>
    </row>
    <row r="3" spans="1:7">
      <c r="B3" s="14"/>
      <c r="G3" s="13"/>
    </row>
    <row r="4" spans="1:7">
      <c r="B4" s="52" t="s">
        <v>309</v>
      </c>
      <c r="C4" s="52"/>
      <c r="D4" s="219"/>
      <c r="E4" s="219"/>
      <c r="F4" s="219"/>
    </row>
    <row r="5" spans="1:7">
      <c r="A5" s="13" t="s">
        <v>99</v>
      </c>
      <c r="B5" s="13" t="s">
        <v>6</v>
      </c>
      <c r="D5" s="13" t="s">
        <v>133</v>
      </c>
      <c r="E5" s="13" t="s">
        <v>134</v>
      </c>
      <c r="F5" s="13" t="s">
        <v>135</v>
      </c>
      <c r="G5" s="13" t="str">
        <f>A5</f>
        <v>Line</v>
      </c>
    </row>
    <row r="6" spans="1:7">
      <c r="A6" s="8">
        <v>100</v>
      </c>
      <c r="B6" t="s">
        <v>310</v>
      </c>
      <c r="C6" s="12"/>
      <c r="G6" s="8">
        <f>A6</f>
        <v>100</v>
      </c>
    </row>
    <row r="7" spans="1:7">
      <c r="A7" s="8"/>
      <c r="G7" s="8"/>
    </row>
    <row r="8" spans="1:7">
      <c r="A8" s="8"/>
      <c r="B8" s="16" t="s">
        <v>311</v>
      </c>
      <c r="C8" s="16"/>
      <c r="G8" s="8"/>
    </row>
    <row r="9" spans="1:7">
      <c r="A9" s="8">
        <f>A6+1</f>
        <v>101</v>
      </c>
      <c r="B9" t="s">
        <v>312</v>
      </c>
      <c r="D9" s="29">
        <f>'7-PlantInService'!P24</f>
        <v>13772414947.125883</v>
      </c>
      <c r="E9" t="s">
        <v>138</v>
      </c>
      <c r="G9" s="8">
        <f t="shared" ref="G9:G34" si="0">A9</f>
        <v>101</v>
      </c>
    </row>
    <row r="10" spans="1:7">
      <c r="A10" s="8">
        <f>A9+1</f>
        <v>102</v>
      </c>
      <c r="B10" t="s">
        <v>313</v>
      </c>
      <c r="D10" s="26">
        <f>'10-AccDep'!P26</f>
        <v>3255525836.0878525</v>
      </c>
      <c r="E10" t="s">
        <v>154</v>
      </c>
      <c r="G10" s="8">
        <f t="shared" si="0"/>
        <v>102</v>
      </c>
    </row>
    <row r="11" spans="1:7">
      <c r="A11" s="8">
        <f>A10+1</f>
        <v>103</v>
      </c>
      <c r="B11" s="12" t="s">
        <v>314</v>
      </c>
      <c r="D11" s="63">
        <f>D9-D10</f>
        <v>10516889111.038031</v>
      </c>
      <c r="E11" t="str">
        <f>"Line "&amp;A9&amp;" - Line "&amp;A10&amp;""</f>
        <v>Line 101 - Line 102</v>
      </c>
      <c r="G11" s="8">
        <f t="shared" si="0"/>
        <v>103</v>
      </c>
    </row>
    <row r="12" spans="1:7">
      <c r="A12" s="8"/>
      <c r="G12" s="8"/>
    </row>
    <row r="13" spans="1:7">
      <c r="A13" s="8"/>
      <c r="B13" s="16" t="s">
        <v>315</v>
      </c>
      <c r="C13" s="16"/>
      <c r="G13" s="8"/>
    </row>
    <row r="14" spans="1:7">
      <c r="A14" s="8">
        <f>A11+1</f>
        <v>104</v>
      </c>
      <c r="B14" t="s">
        <v>316</v>
      </c>
      <c r="D14" s="29">
        <f ca="1">'1-BaseTRR'!E137-(('1-BaseTRR'!E125+'1-BaseTRR'!E126)*0.75)</f>
        <v>1632875165.2021549</v>
      </c>
      <c r="E14" t="str">
        <f>CONCATENATE("1-BaseTRR, L. ",'1-BaseTRR'!A137," - [75%*(1-BaseTRR, L. 500 + L. 501 )]")</f>
        <v>1-BaseTRR, L. 512 - [75%*(1-BaseTRR, L. 500 + L. 501 )]</v>
      </c>
      <c r="G14" s="8">
        <f t="shared" si="0"/>
        <v>104</v>
      </c>
    </row>
    <row r="15" spans="1:7">
      <c r="A15" s="8">
        <f>+A14+1</f>
        <v>105</v>
      </c>
      <c r="B15" t="s">
        <v>317</v>
      </c>
      <c r="C15" s="553"/>
      <c r="D15" s="29">
        <f>-+'1-BaseTRR'!E128+-'1-BaseTRR'!E129+'11-Depreciation'!C61</f>
        <v>-374389090.5456726</v>
      </c>
      <c r="E15" t="str">
        <f>CONCATENATE("1-BaseTRR, L. ",'1-BaseTRR'!A128," + L. ",'1-BaseTRR'!A129," - ","11-Depreciation, L. ",'11-Depreciation'!A61,", col 1 ")</f>
        <v xml:space="preserve">1-BaseTRR, L. 503 + L. 504 - 11-Depreciation, L. 500, col 1 </v>
      </c>
      <c r="F15" s="328"/>
      <c r="G15" s="8">
        <f t="shared" si="0"/>
        <v>105</v>
      </c>
    </row>
    <row r="16" spans="1:7" ht="30.75" customHeight="1">
      <c r="A16" s="8">
        <f t="shared" ref="A16:A17" si="1">+A15+1</f>
        <v>106</v>
      </c>
      <c r="B16" t="s">
        <v>318</v>
      </c>
      <c r="D16" s="611">
        <f>-('1-BaseTRR'!E25*'1-BaseTRR'!E68)*(1+'1-BaseTRR'!E99/(1-'1-BaseTRR'!E99))-('1-BaseTRR'!E25*'1-BaseTRR'!E63)</f>
        <v>177916194.59859595</v>
      </c>
      <c r="E16" s="304" t="s">
        <v>319</v>
      </c>
      <c r="F16" s="304"/>
      <c r="G16" s="8">
        <f t="shared" si="0"/>
        <v>106</v>
      </c>
    </row>
    <row r="17" spans="1:7">
      <c r="A17" s="8">
        <f t="shared" si="1"/>
        <v>107</v>
      </c>
      <c r="B17" s="12" t="s">
        <v>320</v>
      </c>
      <c r="D17" s="63">
        <f ca="1">SUM(D14:D16)</f>
        <v>1436402269.2550781</v>
      </c>
      <c r="E17" s="17" t="str">
        <f>"Line "&amp;A14&amp;" + Line "&amp;A15&amp;" + Line "&amp;A16&amp;""</f>
        <v>Line 104 + Line 105 + Line 106</v>
      </c>
      <c r="G17" s="8">
        <f t="shared" si="0"/>
        <v>107</v>
      </c>
    </row>
    <row r="18" spans="1:7">
      <c r="A18" s="8">
        <f>+A17+1</f>
        <v>108</v>
      </c>
      <c r="B18" t="s">
        <v>321</v>
      </c>
      <c r="D18" s="124">
        <f ca="1">D17/D11</f>
        <v>0.13658052814757721</v>
      </c>
      <c r="E18" t="str">
        <f>"Line "&amp;A17&amp;" / Line "&amp;A11&amp;""</f>
        <v>Line 107 / Line 103</v>
      </c>
      <c r="G18" s="8">
        <f t="shared" si="0"/>
        <v>108</v>
      </c>
    </row>
    <row r="19" spans="1:7">
      <c r="A19" s="8"/>
      <c r="G19" s="8"/>
    </row>
    <row r="20" spans="1:7">
      <c r="B20" s="52" t="s">
        <v>322</v>
      </c>
      <c r="C20" s="52"/>
      <c r="D20" s="219"/>
      <c r="E20" s="219"/>
      <c r="F20" s="219"/>
    </row>
    <row r="21" spans="1:7">
      <c r="A21" s="13" t="s">
        <v>99</v>
      </c>
      <c r="B21" s="13" t="s">
        <v>6</v>
      </c>
      <c r="D21" s="13" t="s">
        <v>133</v>
      </c>
      <c r="E21" s="13" t="s">
        <v>134</v>
      </c>
      <c r="F21" s="13" t="s">
        <v>135</v>
      </c>
      <c r="G21" s="13" t="str">
        <f>A21</f>
        <v>Line</v>
      </c>
    </row>
    <row r="22" spans="1:7">
      <c r="A22" s="8">
        <v>200</v>
      </c>
      <c r="B22" t="s">
        <v>323</v>
      </c>
      <c r="D22" s="29">
        <f>'9-PlantAdditions'!I39</f>
        <v>2046553440.2858808</v>
      </c>
      <c r="E22" t="s">
        <v>324</v>
      </c>
      <c r="G22" s="8">
        <f t="shared" si="0"/>
        <v>200</v>
      </c>
    </row>
    <row r="23" spans="1:7">
      <c r="A23" s="8">
        <f t="shared" ref="A23" si="2">A22+1</f>
        <v>201</v>
      </c>
      <c r="B23" t="s">
        <v>321</v>
      </c>
      <c r="D23" s="124">
        <f ca="1">D18</f>
        <v>0.13658052814757721</v>
      </c>
      <c r="E23" t="str">
        <f>"Line "&amp;A18&amp;""</f>
        <v>Line 108</v>
      </c>
      <c r="G23" s="8">
        <f t="shared" si="0"/>
        <v>201</v>
      </c>
    </row>
    <row r="24" spans="1:7">
      <c r="A24" s="8"/>
      <c r="D24" s="124"/>
      <c r="G24" s="8"/>
    </row>
    <row r="25" spans="1:7">
      <c r="A25" s="8">
        <f>+A23+1</f>
        <v>202</v>
      </c>
      <c r="B25" t="s">
        <v>325</v>
      </c>
      <c r="D25" s="29">
        <f ca="1">D22*D23</f>
        <v>279519349.75648671</v>
      </c>
      <c r="E25" t="str">
        <f>"Line "&amp;A22&amp;" * Line "&amp;A23&amp;""</f>
        <v>Line 200 * Line 201</v>
      </c>
      <c r="G25" s="8">
        <f t="shared" si="0"/>
        <v>202</v>
      </c>
    </row>
    <row r="26" spans="1:7">
      <c r="A26" s="8">
        <f t="shared" ref="A26:A27" si="3">+A25+1</f>
        <v>203</v>
      </c>
      <c r="B26" t="s">
        <v>326</v>
      </c>
      <c r="C26" s="553"/>
      <c r="D26" s="29">
        <f>'9-PlantAdditions'!F40</f>
        <v>57923232.807516411</v>
      </c>
      <c r="E26" t="str">
        <f>CONCATENATE("9-PlantAdditions, L. ",'9-PlantAdditions'!A40,", ",'9-PlantAdditions'!F10)</f>
        <v>9-PlantAdditions, L. 125, Col 3</v>
      </c>
      <c r="G26" s="8">
        <f t="shared" si="0"/>
        <v>203</v>
      </c>
    </row>
    <row r="27" spans="1:7">
      <c r="A27" s="8">
        <f t="shared" si="3"/>
        <v>204</v>
      </c>
      <c r="B27" t="s">
        <v>327</v>
      </c>
      <c r="D27" s="26">
        <f>+'14-ADIT'!M164</f>
        <v>-1170761.4311766215</v>
      </c>
      <c r="E27" t="str">
        <f>CONCATENATE("14-ADIT, L. ",'14-ADIT'!A164,", Col 11 ")</f>
        <v xml:space="preserve">14-ADIT, L. 728, Col 11 </v>
      </c>
      <c r="G27" s="8">
        <f t="shared" si="0"/>
        <v>204</v>
      </c>
    </row>
    <row r="28" spans="1:7">
      <c r="A28" s="8">
        <f>+A27+1</f>
        <v>205</v>
      </c>
      <c r="B28" s="12" t="s">
        <v>328</v>
      </c>
      <c r="D28" s="63">
        <f ca="1">SUM(D25:D27)</f>
        <v>336271821.13282651</v>
      </c>
      <c r="E28" t="str">
        <f>"Sum Line "&amp;A25&amp;" to Line "&amp;A27&amp;""</f>
        <v>Sum Line 202 to Line 204</v>
      </c>
      <c r="G28" s="8">
        <f t="shared" si="0"/>
        <v>205</v>
      </c>
    </row>
    <row r="29" spans="1:7">
      <c r="A29" s="8"/>
      <c r="D29" s="21"/>
      <c r="G29" s="8"/>
    </row>
    <row r="30" spans="1:7">
      <c r="A30" s="8">
        <f>A28+1</f>
        <v>206</v>
      </c>
      <c r="B30" t="s">
        <v>288</v>
      </c>
      <c r="D30" s="19">
        <f>'1-BaseTRR'!E140</f>
        <v>7.2509999999999996E-3</v>
      </c>
      <c r="E30" t="str">
        <f>CONCATENATE("1-BaseTRR, L. ",'1-BaseTRR'!A140)</f>
        <v>1-BaseTRR, L. 513</v>
      </c>
      <c r="G30" s="8">
        <f t="shared" si="0"/>
        <v>206</v>
      </c>
    </row>
    <row r="31" spans="1:7">
      <c r="A31" s="8">
        <f t="shared" ref="A31:A32" si="4">A30+1</f>
        <v>207</v>
      </c>
      <c r="B31" t="s">
        <v>290</v>
      </c>
      <c r="D31" s="39">
        <f>'1-BaseTRR'!E141</f>
        <v>2.7184430899152115E-4</v>
      </c>
      <c r="E31" t="str">
        <f>CONCATENATE("1-BaseTRR, L. ",'1-BaseTRR'!A141)</f>
        <v>1-BaseTRR, L. 514</v>
      </c>
      <c r="G31" s="8">
        <f t="shared" si="0"/>
        <v>207</v>
      </c>
    </row>
    <row r="32" spans="1:7">
      <c r="A32" s="8">
        <f t="shared" si="4"/>
        <v>208</v>
      </c>
      <c r="B32" s="12" t="s">
        <v>292</v>
      </c>
      <c r="D32" s="63">
        <f ca="1">(D30+D31)*D28</f>
        <v>2529720.5558832986</v>
      </c>
      <c r="E32" s="17" t="str">
        <f>"Line "&amp;A28&amp;" * (Line "&amp;A31&amp;" + Line "&amp;A30&amp;")"</f>
        <v>Line 205 * (Line 207 + Line 206)</v>
      </c>
      <c r="G32" s="8">
        <f t="shared" si="0"/>
        <v>208</v>
      </c>
    </row>
    <row r="33" spans="1:7">
      <c r="A33" s="8"/>
      <c r="D33" s="29"/>
      <c r="E33" s="17"/>
      <c r="G33" s="8"/>
    </row>
    <row r="34" spans="1:7">
      <c r="A34" s="8">
        <f>A32+1</f>
        <v>209</v>
      </c>
      <c r="B34" s="12" t="s">
        <v>329</v>
      </c>
      <c r="D34" s="63">
        <f ca="1">D32+D28</f>
        <v>338801541.6887098</v>
      </c>
      <c r="E34" t="str">
        <f>"Line "&amp;A28&amp;" + Line "&amp;A32&amp;""</f>
        <v>Line 205 + Line 208</v>
      </c>
      <c r="G34" s="8">
        <f t="shared" si="0"/>
        <v>209</v>
      </c>
    </row>
    <row r="36" spans="1:7">
      <c r="B36" s="16"/>
    </row>
    <row r="38" spans="1:7">
      <c r="D38" s="17"/>
    </row>
  </sheetData>
  <printOptions horizontalCentered="1"/>
  <pageMargins left="1" right="1" top="1" bottom="1" header="0.5" footer="0.5"/>
  <pageSetup scale="70" fitToHeight="0" orientation="landscape" r:id="rId1"/>
  <headerFooter>
    <oddHeader xml:space="preserve">&amp;C&amp;"-,Bold"Pacific Gas and Electric Company
Formula Rate Model
Schedule &amp;A&amp;R&amp;10Docket No. ER19-13-000, et al- Annual Update RY2024
&amp;F
</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00B050"/>
    <pageSetUpPr fitToPage="1"/>
  </sheetPr>
  <dimension ref="A1:N125"/>
  <sheetViews>
    <sheetView tabSelected="1" view="pageBreakPreview" topLeftCell="F76" zoomScaleNormal="85" zoomScaleSheetLayoutView="100" zoomScalePageLayoutView="70" workbookViewId="0">
      <selection activeCell="E21" sqref="E21"/>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4.453125" customWidth="1"/>
    <col min="11" max="12" width="16.7265625" customWidth="1"/>
    <col min="13" max="13" width="16.81640625" customWidth="1"/>
    <col min="14" max="14" width="16.7265625" customWidth="1"/>
    <col min="15" max="15" width="12.81640625" bestFit="1" customWidth="1"/>
  </cols>
  <sheetData>
    <row r="1" spans="1:14" ht="15" customHeight="1">
      <c r="C1" s="14" t="s">
        <v>12</v>
      </c>
      <c r="F1" s="15"/>
      <c r="G1" s="15" t="str">
        <f>CONCATENATE("Prior Year: ",'1-BaseTRR'!$G$2)</f>
        <v>Prior Year: 2020</v>
      </c>
    </row>
    <row r="2" spans="1:14" ht="15" customHeight="1">
      <c r="C2" s="42" t="s">
        <v>130</v>
      </c>
      <c r="F2" s="15"/>
      <c r="K2" s="804" t="s">
        <v>2125</v>
      </c>
    </row>
    <row r="3" spans="1:14">
      <c r="A3" s="14"/>
      <c r="B3" s="14"/>
      <c r="C3" s="12"/>
      <c r="I3" s="15"/>
      <c r="K3" s="804"/>
    </row>
    <row r="4" spans="1:14">
      <c r="C4" s="47" t="s">
        <v>132</v>
      </c>
      <c r="D4" s="48"/>
      <c r="E4" s="219"/>
      <c r="F4" s="219"/>
      <c r="G4" s="219"/>
      <c r="K4" s="804"/>
      <c r="L4" s="790"/>
      <c r="M4" s="790"/>
      <c r="N4" s="790"/>
    </row>
    <row r="5" spans="1:14" ht="29">
      <c r="A5" s="13" t="s">
        <v>99</v>
      </c>
      <c r="B5" s="13"/>
      <c r="C5" s="13" t="s">
        <v>6</v>
      </c>
      <c r="E5" s="13" t="s">
        <v>133</v>
      </c>
      <c r="F5" s="13" t="s">
        <v>134</v>
      </c>
      <c r="G5" s="13" t="s">
        <v>135</v>
      </c>
      <c r="H5" s="13" t="str">
        <f>A5</f>
        <v>Line</v>
      </c>
      <c r="K5" s="804"/>
      <c r="L5" s="35" t="s">
        <v>2134</v>
      </c>
      <c r="M5" s="5" t="s">
        <v>44</v>
      </c>
      <c r="N5" s="35"/>
    </row>
    <row r="6" spans="1:14">
      <c r="A6"/>
      <c r="B6"/>
      <c r="C6" s="11" t="s">
        <v>136</v>
      </c>
      <c r="D6" s="11"/>
      <c r="L6" s="32"/>
      <c r="M6" s="32"/>
      <c r="N6" s="32"/>
    </row>
    <row r="7" spans="1:14">
      <c r="A7" s="8">
        <v>100</v>
      </c>
      <c r="C7" t="s">
        <v>137</v>
      </c>
      <c r="E7" s="22">
        <f>'7-PlantInService'!P25</f>
        <v>13210826058.73295</v>
      </c>
      <c r="F7" t="s">
        <v>331</v>
      </c>
      <c r="G7" t="s">
        <v>332</v>
      </c>
      <c r="H7" s="8">
        <f>A7</f>
        <v>100</v>
      </c>
      <c r="K7" s="30">
        <f>E7-'3-True-upTRR Corrected V1'!E7</f>
        <v>0</v>
      </c>
      <c r="L7" s="32"/>
      <c r="M7" s="32"/>
      <c r="N7" s="32"/>
    </row>
    <row r="8" spans="1:14">
      <c r="A8" s="8">
        <f>A7+1</f>
        <v>101</v>
      </c>
      <c r="C8" t="s">
        <v>140</v>
      </c>
      <c r="E8" s="22">
        <f>'7-PlantInService'!D129</f>
        <v>1244042247.4960322</v>
      </c>
      <c r="F8" t="s">
        <v>333</v>
      </c>
      <c r="G8" t="s">
        <v>334</v>
      </c>
      <c r="H8" s="8">
        <f t="shared" ref="H8:H10" si="0">A8</f>
        <v>101</v>
      </c>
      <c r="K8" s="30">
        <f>E8-'3-True-upTRR Corrected V1'!E8</f>
        <v>0</v>
      </c>
      <c r="L8" s="32"/>
      <c r="M8" s="32"/>
      <c r="N8" s="32"/>
    </row>
    <row r="9" spans="1:14">
      <c r="A9" s="8">
        <f t="shared" ref="A9:A10" si="1">A8+1</f>
        <v>102</v>
      </c>
      <c r="C9" t="s">
        <v>142</v>
      </c>
      <c r="E9" s="23">
        <f ca="1">+'8-AbandonedPlant'!N14</f>
        <v>11193193.794347662</v>
      </c>
      <c r="F9" t="s">
        <v>335</v>
      </c>
      <c r="G9" t="s">
        <v>334</v>
      </c>
      <c r="H9" s="8">
        <f t="shared" si="0"/>
        <v>102</v>
      </c>
      <c r="K9" s="30">
        <f ca="1">E9-'3-True-upTRR Corrected V1'!E9</f>
        <v>0</v>
      </c>
      <c r="L9" s="32"/>
      <c r="M9" s="32"/>
      <c r="N9" s="32"/>
    </row>
    <row r="10" spans="1:14">
      <c r="A10" s="8">
        <f t="shared" si="1"/>
        <v>103</v>
      </c>
      <c r="C10" s="12" t="s">
        <v>144</v>
      </c>
      <c r="D10" s="12"/>
      <c r="E10" s="24">
        <f ca="1">SUM(E7:E9)</f>
        <v>14466061500.023331</v>
      </c>
      <c r="F10" s="6" t="str">
        <f>"Sum of Lines "&amp;A7&amp;" to "&amp;A9&amp;""</f>
        <v>Sum of Lines 100 to 102</v>
      </c>
      <c r="H10" s="8">
        <f t="shared" si="0"/>
        <v>103</v>
      </c>
      <c r="K10" s="30">
        <f ca="1">E10-'3-True-upTRR Corrected V1'!E10</f>
        <v>0</v>
      </c>
      <c r="L10" s="32"/>
      <c r="M10" s="32"/>
      <c r="N10" s="32"/>
    </row>
    <row r="11" spans="1:14">
      <c r="E11" s="30"/>
      <c r="K11" s="30"/>
      <c r="L11" s="32"/>
      <c r="M11" s="32"/>
      <c r="N11" s="32"/>
    </row>
    <row r="12" spans="1:14">
      <c r="C12" s="11" t="s">
        <v>145</v>
      </c>
      <c r="D12" s="11"/>
      <c r="E12" s="30"/>
      <c r="K12" s="30"/>
      <c r="L12" s="32"/>
      <c r="M12" s="32"/>
      <c r="N12" s="32"/>
    </row>
    <row r="13" spans="1:14">
      <c r="A13" s="8">
        <f>A10+1</f>
        <v>104</v>
      </c>
      <c r="C13" t="s">
        <v>146</v>
      </c>
      <c r="E13" s="22">
        <f>'13-WorkCap'!E26</f>
        <v>73920152.935151443</v>
      </c>
      <c r="F13" t="s">
        <v>336</v>
      </c>
      <c r="G13" t="s">
        <v>332</v>
      </c>
      <c r="H13" s="8">
        <f t="shared" ref="H13:H16" si="2">A13</f>
        <v>104</v>
      </c>
      <c r="K13" s="30">
        <f>E13-'3-True-upTRR Corrected V1'!E13</f>
        <v>0</v>
      </c>
      <c r="L13" s="32"/>
      <c r="M13" s="32"/>
      <c r="N13" s="32"/>
    </row>
    <row r="14" spans="1:14">
      <c r="A14" s="8">
        <f>A13+1</f>
        <v>105</v>
      </c>
      <c r="C14" t="s">
        <v>148</v>
      </c>
      <c r="E14" s="22">
        <f>'13-WorkCap'!F57</f>
        <v>57289466</v>
      </c>
      <c r="F14" t="s">
        <v>337</v>
      </c>
      <c r="G14" t="s">
        <v>332</v>
      </c>
      <c r="H14" s="8">
        <f t="shared" si="2"/>
        <v>105</v>
      </c>
      <c r="K14" s="30">
        <f>E14-'3-True-upTRR Corrected V1'!E14</f>
        <v>0</v>
      </c>
      <c r="L14" s="32"/>
      <c r="M14" s="32"/>
      <c r="N14" s="32"/>
    </row>
    <row r="15" spans="1:14">
      <c r="A15" s="8">
        <f t="shared" ref="A15:A16" si="3">A14+1</f>
        <v>106</v>
      </c>
      <c r="C15" t="s">
        <v>150</v>
      </c>
      <c r="E15" s="26">
        <f>(E80+E81)/10</f>
        <v>89473620.644208238</v>
      </c>
      <c r="F15" t="str">
        <f>"(Line "&amp;A80&amp;" + Line "&amp;A81&amp;") / 10"</f>
        <v>(Line 400 + Line 401) / 10</v>
      </c>
      <c r="H15" s="8">
        <f t="shared" si="2"/>
        <v>106</v>
      </c>
      <c r="K15" s="30">
        <f>E15-'3-True-upTRR Corrected V1'!E15</f>
        <v>-220737.59133978188</v>
      </c>
      <c r="L15" s="32">
        <f>K15</f>
        <v>-220737.59133978188</v>
      </c>
      <c r="M15" s="32"/>
      <c r="N15" s="32"/>
    </row>
    <row r="16" spans="1:14">
      <c r="A16" s="8">
        <f t="shared" si="3"/>
        <v>107</v>
      </c>
      <c r="C16" s="12" t="s">
        <v>151</v>
      </c>
      <c r="D16" s="12"/>
      <c r="E16" s="24">
        <f>SUM(E13:E15)</f>
        <v>220683239.57935968</v>
      </c>
      <c r="F16" s="6" t="str">
        <f>"Sum of Lines "&amp;A13&amp;" to "&amp;A15&amp;""</f>
        <v>Sum of Lines 104 to 106</v>
      </c>
      <c r="H16" s="8">
        <f t="shared" si="2"/>
        <v>107</v>
      </c>
      <c r="K16" s="30">
        <f>E16-'3-True-upTRR Corrected V1'!E16</f>
        <v>-220737.59133979678</v>
      </c>
      <c r="L16" s="32"/>
      <c r="M16" s="32"/>
      <c r="N16" s="32"/>
    </row>
    <row r="17" spans="1:14">
      <c r="E17" s="30"/>
      <c r="K17" s="30"/>
      <c r="L17" s="32"/>
      <c r="M17" s="32"/>
      <c r="N17" s="32"/>
    </row>
    <row r="18" spans="1:14">
      <c r="C18" s="11" t="s">
        <v>152</v>
      </c>
      <c r="D18" s="11"/>
      <c r="E18" s="30"/>
      <c r="K18" s="30"/>
      <c r="L18" s="32"/>
      <c r="M18" s="32"/>
      <c r="N18" s="32"/>
    </row>
    <row r="19" spans="1:14">
      <c r="A19" s="8">
        <f>A16+1</f>
        <v>108</v>
      </c>
      <c r="C19" t="s">
        <v>153</v>
      </c>
      <c r="E19" s="22">
        <f>-'10-AccDep'!P27</f>
        <v>-3145518356.4050956</v>
      </c>
      <c r="F19" t="s">
        <v>338</v>
      </c>
      <c r="G19" t="s">
        <v>339</v>
      </c>
      <c r="H19" s="8">
        <f t="shared" ref="H19:H30" si="4">A19</f>
        <v>108</v>
      </c>
      <c r="K19" s="30">
        <f>E19-'3-True-upTRR Corrected V1'!E19</f>
        <v>0</v>
      </c>
      <c r="L19" s="32"/>
      <c r="M19" s="32"/>
      <c r="N19" s="32"/>
    </row>
    <row r="20" spans="1:14">
      <c r="A20" s="8">
        <f>A19+1</f>
        <v>109</v>
      </c>
      <c r="C20" t="s">
        <v>156</v>
      </c>
      <c r="E20" s="23">
        <f>-'10-AccDep'!D129</f>
        <v>-425136378.7341904</v>
      </c>
      <c r="F20" t="s">
        <v>340</v>
      </c>
      <c r="G20" t="s">
        <v>341</v>
      </c>
      <c r="H20" s="8">
        <f t="shared" si="4"/>
        <v>109</v>
      </c>
      <c r="K20" s="30">
        <f>E20-'3-True-upTRR Corrected V1'!E20</f>
        <v>0</v>
      </c>
      <c r="L20" s="32"/>
      <c r="M20" s="32"/>
      <c r="N20" s="32"/>
    </row>
    <row r="21" spans="1:14">
      <c r="A21" s="8">
        <f>A20+1</f>
        <v>110</v>
      </c>
      <c r="C21" s="12" t="s">
        <v>158</v>
      </c>
      <c r="D21" s="12"/>
      <c r="E21" s="345">
        <f>E19+E20</f>
        <v>-3570654735.139286</v>
      </c>
      <c r="F21" t="str">
        <f>"Line "&amp;A19&amp;" + Line "&amp;A20&amp;""</f>
        <v>Line 108 + Line 109</v>
      </c>
      <c r="H21" s="8">
        <f t="shared" si="4"/>
        <v>110</v>
      </c>
      <c r="K21" s="30">
        <f>E21-'3-True-upTRR Corrected V1'!E21</f>
        <v>0</v>
      </c>
      <c r="L21" s="32"/>
      <c r="M21" s="32"/>
      <c r="N21" s="32"/>
    </row>
    <row r="22" spans="1:14">
      <c r="E22" s="30"/>
      <c r="K22" s="30"/>
      <c r="L22" s="32"/>
      <c r="M22" s="32"/>
      <c r="N22" s="32"/>
    </row>
    <row r="23" spans="1:14">
      <c r="A23" s="8">
        <f>A21+1</f>
        <v>111</v>
      </c>
      <c r="B23" s="8" t="s">
        <v>159</v>
      </c>
      <c r="C23" s="14" t="s">
        <v>160</v>
      </c>
      <c r="D23" s="14"/>
      <c r="E23" s="29">
        <f>'14-ADIT'!D23</f>
        <v>-1440771913.3136179</v>
      </c>
      <c r="F23" t="s">
        <v>342</v>
      </c>
      <c r="G23" t="s">
        <v>343</v>
      </c>
      <c r="H23" s="8">
        <f t="shared" si="4"/>
        <v>111</v>
      </c>
      <c r="I23" t="s">
        <v>159</v>
      </c>
      <c r="K23" s="30">
        <f>E23-'3-True-upTRR Corrected V1'!E23</f>
        <v>0</v>
      </c>
      <c r="L23" s="32"/>
      <c r="M23" s="32"/>
      <c r="N23" s="32"/>
    </row>
    <row r="24" spans="1:14">
      <c r="A24" s="8">
        <v>111</v>
      </c>
      <c r="B24" s="8" t="s">
        <v>162</v>
      </c>
      <c r="C24" s="14" t="s">
        <v>163</v>
      </c>
      <c r="D24" s="14"/>
      <c r="E24" s="29">
        <f>+'17-RegAssets-1'!C48</f>
        <v>-562843911.73194265</v>
      </c>
      <c r="F24" t="s">
        <v>344</v>
      </c>
      <c r="G24" t="s">
        <v>343</v>
      </c>
      <c r="H24" s="8">
        <f t="shared" si="4"/>
        <v>111</v>
      </c>
      <c r="I24" t="s">
        <v>162</v>
      </c>
      <c r="K24" s="30">
        <f>E24-'3-True-upTRR Corrected V1'!E24</f>
        <v>0</v>
      </c>
      <c r="L24" s="32"/>
      <c r="M24" s="32"/>
      <c r="N24" s="32"/>
    </row>
    <row r="25" spans="1:14">
      <c r="A25" s="8">
        <v>111</v>
      </c>
      <c r="B25" s="8" t="s">
        <v>165</v>
      </c>
      <c r="C25" s="14" t="s">
        <v>345</v>
      </c>
      <c r="D25" s="14"/>
      <c r="E25" s="29">
        <f>+E23+E24</f>
        <v>-2003615825.0455606</v>
      </c>
      <c r="F25" t="str">
        <f>"Line "&amp;A23&amp;"a + Line "&amp;A24&amp;"b"</f>
        <v>Line 111a + Line 111b</v>
      </c>
      <c r="G25" t="s">
        <v>343</v>
      </c>
      <c r="H25" s="8">
        <f t="shared" si="4"/>
        <v>111</v>
      </c>
      <c r="I25" t="s">
        <v>165</v>
      </c>
      <c r="K25" s="30">
        <f>E25-'3-True-upTRR Corrected V1'!E25</f>
        <v>0</v>
      </c>
      <c r="L25" s="32"/>
      <c r="M25" s="32"/>
      <c r="N25" s="32"/>
    </row>
    <row r="26" spans="1:14">
      <c r="A26" s="8">
        <f>A23+1</f>
        <v>112</v>
      </c>
      <c r="C26" s="12" t="s">
        <v>346</v>
      </c>
      <c r="D26" s="12"/>
      <c r="E26" s="29">
        <f>-'15-NUC'!C20</f>
        <v>-209729819.32499999</v>
      </c>
      <c r="F26" t="s">
        <v>347</v>
      </c>
      <c r="G26" t="s">
        <v>341</v>
      </c>
      <c r="H26" s="8">
        <f t="shared" si="4"/>
        <v>112</v>
      </c>
      <c r="K26" s="30">
        <f>E26-'3-True-upTRR Corrected V1'!E26</f>
        <v>0</v>
      </c>
      <c r="L26" s="32"/>
      <c r="M26" s="32"/>
      <c r="N26" s="32"/>
    </row>
    <row r="27" spans="1:14">
      <c r="A27" s="8">
        <f>A26+1</f>
        <v>113</v>
      </c>
      <c r="C27" s="12" t="str">
        <f>+'1-BaseTRR'!C27</f>
        <v>Unfunded Reserves</v>
      </c>
      <c r="D27" s="12"/>
      <c r="E27" s="29">
        <f>'16-UnfundedReserves CorrectedV1'!E5</f>
        <v>-43740517</v>
      </c>
      <c r="F27" t="s">
        <v>348</v>
      </c>
      <c r="G27" t="s">
        <v>334</v>
      </c>
      <c r="H27" s="8">
        <f t="shared" si="4"/>
        <v>113</v>
      </c>
      <c r="K27" s="30">
        <f>E27-'3-True-upTRR Corrected V1'!E27</f>
        <v>-55150</v>
      </c>
      <c r="L27" s="32"/>
      <c r="M27" s="32">
        <f>K27</f>
        <v>-55150</v>
      </c>
      <c r="N27" s="32"/>
    </row>
    <row r="28" spans="1:14">
      <c r="A28" s="8">
        <f>A27+1</f>
        <v>114</v>
      </c>
      <c r="C28" s="12" t="s">
        <v>170</v>
      </c>
      <c r="D28" s="12"/>
      <c r="E28" s="22">
        <f>'17-RegAssets-1'!E26</f>
        <v>0</v>
      </c>
      <c r="F28" t="s">
        <v>349</v>
      </c>
      <c r="G28" t="s">
        <v>334</v>
      </c>
      <c r="H28" s="8">
        <f t="shared" si="4"/>
        <v>114</v>
      </c>
      <c r="K28" s="30">
        <f>E28-'3-True-upTRR Corrected V1'!E28</f>
        <v>0</v>
      </c>
      <c r="L28" s="32"/>
      <c r="M28" s="32"/>
      <c r="N28" s="32"/>
    </row>
    <row r="29" spans="1:14">
      <c r="C29" s="12"/>
      <c r="D29" s="12"/>
      <c r="E29" s="22"/>
      <c r="H29" s="8"/>
      <c r="K29" s="30"/>
      <c r="L29" s="32"/>
      <c r="M29" s="32"/>
      <c r="N29" s="32"/>
    </row>
    <row r="30" spans="1:14">
      <c r="A30" s="8">
        <f>A28+1</f>
        <v>115</v>
      </c>
      <c r="C30" s="12" t="s">
        <v>172</v>
      </c>
      <c r="D30" s="12"/>
      <c r="E30" s="63">
        <f ca="1">+E10+E16+E21+E25+E26+E28+E27</f>
        <v>8859003843.0928421</v>
      </c>
      <c r="F30" t="str">
        <f>"Sum of Lines "&amp;A10&amp;", "&amp;A16&amp;", "&amp;A21&amp;" and Lines "&amp;A25&amp;B25&amp;" to "&amp;A28&amp;""</f>
        <v>Sum of Lines 103, 107, 110 and Lines 111c to 114</v>
      </c>
      <c r="H30" s="8">
        <f t="shared" si="4"/>
        <v>115</v>
      </c>
      <c r="K30" s="30">
        <f ca="1">E30-'3-True-upTRR Corrected V1'!E30</f>
        <v>-275887.59134101868</v>
      </c>
      <c r="L30" s="32">
        <f>SUM(L7:L29)</f>
        <v>-220737.59133978188</v>
      </c>
      <c r="M30" s="32">
        <f>SUM(M7:M29)</f>
        <v>-55150</v>
      </c>
      <c r="N30" s="32"/>
    </row>
    <row r="31" spans="1:14">
      <c r="E31" s="17"/>
      <c r="H31" s="8"/>
      <c r="K31" s="30"/>
      <c r="L31" s="32"/>
      <c r="M31" s="32"/>
      <c r="N31" s="32"/>
    </row>
    <row r="32" spans="1:14">
      <c r="C32" s="47" t="s">
        <v>173</v>
      </c>
      <c r="D32" s="219"/>
      <c r="E32" s="219"/>
      <c r="F32" s="219"/>
      <c r="G32" s="219"/>
      <c r="K32" s="30"/>
      <c r="L32" s="32"/>
      <c r="M32" s="32"/>
      <c r="N32" s="32"/>
    </row>
    <row r="33" spans="1:14">
      <c r="C33" s="12" t="s">
        <v>350</v>
      </c>
      <c r="K33" s="30"/>
      <c r="L33" s="32"/>
      <c r="M33" s="32"/>
      <c r="N33" s="32"/>
    </row>
    <row r="34" spans="1:14">
      <c r="C34" s="801" t="s">
        <v>351</v>
      </c>
      <c r="D34" s="801"/>
      <c r="E34" s="801"/>
      <c r="F34" s="801"/>
      <c r="G34" s="801"/>
      <c r="K34" s="30"/>
      <c r="L34" s="32"/>
      <c r="M34" s="32"/>
      <c r="N34" s="32"/>
    </row>
    <row r="35" spans="1:14">
      <c r="C35" s="14"/>
      <c r="K35" s="30"/>
      <c r="L35" s="32"/>
      <c r="M35" s="32"/>
      <c r="N35" s="32"/>
    </row>
    <row r="36" spans="1:14">
      <c r="A36" s="13" t="s">
        <v>99</v>
      </c>
      <c r="B36" s="13"/>
      <c r="C36" s="13" t="s">
        <v>6</v>
      </c>
      <c r="E36" s="13" t="s">
        <v>133</v>
      </c>
      <c r="F36" s="13" t="s">
        <v>134</v>
      </c>
      <c r="G36" s="13" t="s">
        <v>135</v>
      </c>
      <c r="H36" s="13" t="str">
        <f>A36</f>
        <v>Line</v>
      </c>
      <c r="K36" s="30"/>
      <c r="L36" s="32"/>
      <c r="M36" s="32"/>
      <c r="N36" s="32"/>
    </row>
    <row r="37" spans="1:14" ht="77.25" customHeight="1">
      <c r="A37" s="8">
        <v>200</v>
      </c>
      <c r="C37" t="s">
        <v>352</v>
      </c>
      <c r="E37" s="45">
        <v>0.1045</v>
      </c>
      <c r="F37" s="49" t="s">
        <v>353</v>
      </c>
      <c r="G37" s="304" t="s">
        <v>354</v>
      </c>
      <c r="H37" s="8">
        <f t="shared" ref="H37" si="5">A37</f>
        <v>200</v>
      </c>
      <c r="K37" s="30">
        <f>E37-'3-True-upTRR Corrected V1'!E37</f>
        <v>0</v>
      </c>
      <c r="L37" s="32"/>
      <c r="M37" s="32"/>
      <c r="N37" s="32"/>
    </row>
    <row r="38" spans="1:14">
      <c r="C38" s="14"/>
      <c r="K38" s="30"/>
      <c r="L38" s="32"/>
      <c r="M38" s="32"/>
      <c r="N38" s="32"/>
    </row>
    <row r="39" spans="1:14">
      <c r="C39" s="11" t="s">
        <v>203</v>
      </c>
      <c r="D39" s="11"/>
      <c r="K39" s="30"/>
      <c r="L39" s="32"/>
      <c r="M39" s="32"/>
      <c r="N39" s="32"/>
    </row>
    <row r="40" spans="1:14" ht="43.5">
      <c r="A40" s="8">
        <f>A37+1</f>
        <v>201</v>
      </c>
      <c r="C40" t="s">
        <v>204</v>
      </c>
      <c r="E40" s="27">
        <f>('5-CostofCap-3'!F22/('5-CostofCap-2'!C13-'5-CostofCap-2'!C15+'5-CostofCap-2'!C17+'5-CostofCap-2'!C19+'5-CostofCap-2'!C21-'5-CostofCap-2'!C23-'5-CostofCap-2'!C25-'5-CostofCap-2'!C27))*'1-BaseTRR'!E50</f>
        <v>1.8281944553950786E-2</v>
      </c>
      <c r="F40" s="304" t="s">
        <v>355</v>
      </c>
      <c r="G40" t="s">
        <v>332</v>
      </c>
      <c r="H40" s="8">
        <f t="shared" ref="H40:H43" si="6">A40</f>
        <v>201</v>
      </c>
      <c r="K40" s="30">
        <f>E40-'3-True-upTRR Corrected V1'!E40</f>
        <v>0</v>
      </c>
      <c r="L40" s="32"/>
      <c r="M40" s="32"/>
      <c r="N40" s="32"/>
    </row>
    <row r="41" spans="1:14">
      <c r="A41" s="8">
        <f>A40+1</f>
        <v>202</v>
      </c>
      <c r="C41" t="s">
        <v>205</v>
      </c>
      <c r="E41" s="27">
        <f>'1-BaseTRR'!E64</f>
        <v>2.7605794758881429E-4</v>
      </c>
      <c r="F41" t="str">
        <f>CONCATENATE("1-BaseTRR, L. ",'1-BaseTRR'!A64)</f>
        <v>1-BaseTRR, L. 217</v>
      </c>
      <c r="H41" s="8">
        <f t="shared" si="6"/>
        <v>202</v>
      </c>
      <c r="K41" s="30">
        <f>E41-'3-True-upTRR Corrected V1'!E41</f>
        <v>0</v>
      </c>
      <c r="L41" s="32"/>
      <c r="M41" s="32"/>
      <c r="N41" s="32"/>
    </row>
    <row r="42" spans="1:14">
      <c r="A42" s="8">
        <f>A41+1</f>
        <v>203</v>
      </c>
      <c r="C42" t="s">
        <v>206</v>
      </c>
      <c r="E42" s="440">
        <f>E37*'1-BaseTRR'!E52</f>
        <v>5.198875E-2</v>
      </c>
      <c r="F42" t="str">
        <f>CONCATENATE("Line ",A37," * ","1-BaseTRR, L. ",'1-BaseTRR'!A52)</f>
        <v>Line 200 * 1-BaseTRR, L. 210</v>
      </c>
      <c r="H42" s="8">
        <f t="shared" si="6"/>
        <v>203</v>
      </c>
      <c r="K42" s="30">
        <f>E42-'3-True-upTRR Corrected V1'!E42</f>
        <v>0</v>
      </c>
      <c r="L42" s="32"/>
      <c r="M42" s="32"/>
      <c r="N42" s="32"/>
    </row>
    <row r="43" spans="1:14">
      <c r="A43" s="8">
        <f>A42+1</f>
        <v>204</v>
      </c>
      <c r="C43" s="12" t="s">
        <v>207</v>
      </c>
      <c r="D43" s="12"/>
      <c r="E43" s="363">
        <f>SUM(E40:E42)</f>
        <v>7.0546752501539606E-2</v>
      </c>
      <c r="F43" s="6" t="str">
        <f>"Sum of Lines "&amp;A40&amp;" to "&amp;A42&amp;""</f>
        <v>Sum of Lines 201 to 203</v>
      </c>
      <c r="H43" s="8">
        <f t="shared" si="6"/>
        <v>204</v>
      </c>
      <c r="K43" s="30">
        <f>E43-'3-True-upTRR Corrected V1'!E43</f>
        <v>0</v>
      </c>
      <c r="L43" s="32"/>
      <c r="M43" s="32"/>
      <c r="N43" s="32"/>
    </row>
    <row r="44" spans="1:14">
      <c r="K44" s="30"/>
      <c r="L44" s="32"/>
      <c r="M44" s="32"/>
      <c r="N44" s="32"/>
    </row>
    <row r="45" spans="1:14">
      <c r="A45" s="8">
        <f>A43+1</f>
        <v>205</v>
      </c>
      <c r="C45" s="12" t="s">
        <v>208</v>
      </c>
      <c r="D45" s="12"/>
      <c r="E45" s="363">
        <f>E41+E42</f>
        <v>5.2264807947588816E-2</v>
      </c>
      <c r="F45" t="str">
        <f>"Line "&amp;A41&amp;" + Line "&amp;A42&amp;""</f>
        <v>Line 202 + Line 203</v>
      </c>
      <c r="G45" s="17"/>
      <c r="H45" s="8">
        <f t="shared" ref="H45" si="7">A45</f>
        <v>205</v>
      </c>
      <c r="K45" s="30">
        <f>E45-'3-True-upTRR Corrected V1'!E45</f>
        <v>0</v>
      </c>
      <c r="L45" s="32"/>
      <c r="M45" s="32"/>
      <c r="N45" s="32"/>
    </row>
    <row r="46" spans="1:14">
      <c r="A46" s="8">
        <f>A45+1</f>
        <v>206</v>
      </c>
      <c r="C46" s="12" t="s">
        <v>209</v>
      </c>
      <c r="D46" s="12"/>
      <c r="E46" s="363">
        <f>'1-BaseTRR'!E69</f>
        <v>0</v>
      </c>
      <c r="F46" t="str">
        <f>CONCATENATE("1-BaseTRR, L. ",'1-BaseTRR'!A69)</f>
        <v>1-BaseTRR, L. 221</v>
      </c>
      <c r="G46" s="17"/>
      <c r="H46" s="8"/>
      <c r="K46" s="30"/>
      <c r="L46" s="32"/>
      <c r="M46" s="32"/>
      <c r="N46" s="32"/>
    </row>
    <row r="47" spans="1:14">
      <c r="H47" s="8"/>
      <c r="K47" s="30"/>
      <c r="L47" s="32"/>
      <c r="M47" s="32"/>
      <c r="N47" s="32"/>
    </row>
    <row r="48" spans="1:14">
      <c r="A48" s="8">
        <f>A46+1</f>
        <v>207</v>
      </c>
      <c r="C48" t="s">
        <v>210</v>
      </c>
      <c r="D48" s="12"/>
      <c r="E48" s="22">
        <f ca="1">E43*E30</f>
        <v>624973951.5288589</v>
      </c>
      <c r="F48" t="str">
        <f>"Line "&amp;A43&amp;" * Line "&amp;A30&amp;""</f>
        <v>Line 204 * Line 115</v>
      </c>
      <c r="H48" s="8">
        <f t="shared" ref="H48:H50" si="8">A48</f>
        <v>207</v>
      </c>
      <c r="K48" s="30">
        <f ca="1">E48-'3-True-upTRR Corrected V1'!E48</f>
        <v>-19462.973624587059</v>
      </c>
      <c r="L48" s="32">
        <f>L30*E43</f>
        <v>-15572.320224033585</v>
      </c>
      <c r="M48" s="32">
        <f>M30*E43</f>
        <v>-3890.6534004599093</v>
      </c>
      <c r="N48" s="32"/>
    </row>
    <row r="49" spans="1:14">
      <c r="A49" s="8">
        <f>A48+1</f>
        <v>208</v>
      </c>
      <c r="C49" t="s">
        <v>211</v>
      </c>
      <c r="D49" s="12"/>
      <c r="E49" s="29">
        <f ca="1">E46*E9</f>
        <v>0</v>
      </c>
      <c r="F49" t="str">
        <f>"Line "&amp;A9&amp;" * Line "&amp;A46&amp;""</f>
        <v>Line 102 * Line 206</v>
      </c>
      <c r="H49" s="8">
        <f t="shared" si="8"/>
        <v>208</v>
      </c>
      <c r="K49" s="30">
        <f ca="1">E49-'3-True-upTRR Corrected V1'!E49</f>
        <v>0</v>
      </c>
      <c r="L49" s="32"/>
      <c r="M49" s="32"/>
      <c r="N49" s="32"/>
    </row>
    <row r="50" spans="1:14">
      <c r="A50" s="8">
        <f>A49+1</f>
        <v>209</v>
      </c>
      <c r="C50" s="12" t="s">
        <v>212</v>
      </c>
      <c r="D50" s="12"/>
      <c r="E50" s="63">
        <f ca="1">E48-E49</f>
        <v>624973951.5288589</v>
      </c>
      <c r="F50" t="str">
        <f>"Line "&amp;A48&amp;" - Line "&amp;A49&amp;""</f>
        <v>Line 207 - Line 208</v>
      </c>
      <c r="H50" s="8">
        <f t="shared" si="8"/>
        <v>209</v>
      </c>
      <c r="K50" s="30">
        <f ca="1">E50-'3-True-upTRR Corrected V1'!E50</f>
        <v>-19462.973624587059</v>
      </c>
      <c r="L50" s="32">
        <f>SUM(L48:L49)</f>
        <v>-15572.320224033585</v>
      </c>
      <c r="M50" s="32">
        <f>SUM(M48:M49)</f>
        <v>-3890.6534004599093</v>
      </c>
      <c r="N50" s="32"/>
    </row>
    <row r="51" spans="1:14">
      <c r="H51" s="8"/>
      <c r="K51" s="30"/>
      <c r="L51" s="32"/>
      <c r="M51" s="32"/>
      <c r="N51" s="32"/>
    </row>
    <row r="52" spans="1:14">
      <c r="C52" s="47" t="s">
        <v>356</v>
      </c>
      <c r="D52" s="219"/>
      <c r="E52" s="219"/>
      <c r="F52" s="219"/>
      <c r="G52" s="219"/>
      <c r="K52" s="30"/>
      <c r="L52" s="32"/>
      <c r="M52" s="32"/>
      <c r="N52" s="32"/>
    </row>
    <row r="53" spans="1:14">
      <c r="C53" s="12" t="s">
        <v>350</v>
      </c>
      <c r="K53" s="30"/>
      <c r="L53" s="32"/>
      <c r="M53" s="32"/>
      <c r="N53" s="32"/>
    </row>
    <row r="54" spans="1:14">
      <c r="C54" s="801" t="s">
        <v>357</v>
      </c>
      <c r="D54" s="801"/>
      <c r="E54" s="801"/>
      <c r="F54" s="801"/>
      <c r="G54" s="801"/>
      <c r="K54" s="30"/>
      <c r="L54" s="32"/>
      <c r="M54" s="32"/>
      <c r="N54" s="32"/>
    </row>
    <row r="55" spans="1:14">
      <c r="C55" s="14"/>
      <c r="K55" s="30"/>
      <c r="L55" s="32"/>
      <c r="M55" s="32"/>
      <c r="N55" s="32"/>
    </row>
    <row r="56" spans="1:14">
      <c r="A56" s="13" t="s">
        <v>99</v>
      </c>
      <c r="B56" s="13"/>
      <c r="C56" s="13" t="s">
        <v>6</v>
      </c>
      <c r="E56" s="13" t="s">
        <v>133</v>
      </c>
      <c r="F56" s="13" t="s">
        <v>134</v>
      </c>
      <c r="G56" s="13" t="s">
        <v>135</v>
      </c>
      <c r="H56" s="13" t="str">
        <f>A56</f>
        <v>Line</v>
      </c>
      <c r="K56" s="30"/>
      <c r="L56" s="32"/>
      <c r="M56" s="32"/>
      <c r="N56" s="32"/>
    </row>
    <row r="57" spans="1:14">
      <c r="A57" s="8">
        <v>300</v>
      </c>
      <c r="C57" t="s">
        <v>237</v>
      </c>
      <c r="E57" s="28">
        <f>'22-TaxRates'!C13</f>
        <v>0.21</v>
      </c>
      <c r="F57" t="s">
        <v>358</v>
      </c>
      <c r="H57" s="8">
        <f t="shared" ref="H57:H59" si="9">A57</f>
        <v>300</v>
      </c>
      <c r="K57" s="30">
        <f>E57-'3-True-upTRR Corrected V1'!E57</f>
        <v>0</v>
      </c>
      <c r="L57" s="32"/>
      <c r="M57" s="32"/>
      <c r="N57" s="32"/>
    </row>
    <row r="58" spans="1:14">
      <c r="A58" s="8">
        <f>A57+1</f>
        <v>301</v>
      </c>
      <c r="C58" t="s">
        <v>239</v>
      </c>
      <c r="E58" s="440">
        <f>'22-TaxRates'!C14</f>
        <v>8.8400000000000006E-2</v>
      </c>
      <c r="F58" t="s">
        <v>359</v>
      </c>
      <c r="H58" s="8">
        <f t="shared" si="9"/>
        <v>301</v>
      </c>
      <c r="K58" s="30">
        <f>E58-'3-True-upTRR Corrected V1'!E58</f>
        <v>0</v>
      </c>
      <c r="L58" s="32"/>
      <c r="M58" s="32"/>
      <c r="N58" s="32"/>
    </row>
    <row r="59" spans="1:14">
      <c r="A59" s="8">
        <f>A58+1</f>
        <v>302</v>
      </c>
      <c r="C59" s="12" t="s">
        <v>241</v>
      </c>
      <c r="D59" s="12"/>
      <c r="E59" s="363">
        <f>(E57+E58)-(E57*E58)</f>
        <v>0.27983599999999997</v>
      </c>
      <c r="F59" s="17" t="str">
        <f>"(Line "&amp;A57&amp;" + Line "&amp;A58&amp;") - (Line "&amp;A57&amp;" * Line "&amp;A58&amp;")"</f>
        <v>(Line 300 + Line 301) - (Line 300 * Line 301)</v>
      </c>
      <c r="H59" s="8">
        <f t="shared" si="9"/>
        <v>302</v>
      </c>
      <c r="K59" s="30">
        <f>E59-'3-True-upTRR Corrected V1'!E59</f>
        <v>0</v>
      </c>
      <c r="L59" s="32"/>
      <c r="M59" s="32"/>
      <c r="N59" s="32"/>
    </row>
    <row r="60" spans="1:14">
      <c r="K60" s="30"/>
      <c r="L60" s="32"/>
      <c r="M60" s="32"/>
      <c r="N60" s="32"/>
    </row>
    <row r="61" spans="1:14">
      <c r="A61" s="8">
        <f>A59+1</f>
        <v>303</v>
      </c>
      <c r="C61" s="12" t="s">
        <v>253</v>
      </c>
      <c r="E61" s="63">
        <f ca="1">(((E66*E67)+E70-E71)*(E68/(1-E68)))+E69/(1-E68)</f>
        <v>169380962.21932092</v>
      </c>
      <c r="F61" t="str">
        <f>"Line "&amp;A63</f>
        <v>Line 304</v>
      </c>
      <c r="H61" s="8">
        <f t="shared" ref="H61" si="10">A61</f>
        <v>303</v>
      </c>
      <c r="K61" s="30">
        <f ca="1">E61-'3-True-upTRR Corrected V1'!E61</f>
        <v>-5602.9107296168804</v>
      </c>
      <c r="L61" s="32">
        <f>(L66*$E$45)*($E$59/(1-$E$59))</f>
        <v>-4482.8874431520999</v>
      </c>
      <c r="M61" s="32">
        <f>(M66*$E$45)*($E$59/(1-$E$59))</f>
        <v>-1120.023286424625</v>
      </c>
      <c r="N61" s="32"/>
    </row>
    <row r="62" spans="1:14">
      <c r="K62" s="30"/>
      <c r="L62" s="32"/>
      <c r="M62" s="32"/>
      <c r="N62" s="32"/>
    </row>
    <row r="63" spans="1:14">
      <c r="A63" s="8">
        <f>A61+1</f>
        <v>304</v>
      </c>
      <c r="C63" t="s">
        <v>360</v>
      </c>
      <c r="H63" s="8">
        <f t="shared" ref="H63" si="11">A63</f>
        <v>304</v>
      </c>
      <c r="K63" s="30">
        <f>E63-'3-True-upTRR Corrected V1'!E63</f>
        <v>0</v>
      </c>
      <c r="L63" s="32"/>
      <c r="M63" s="32"/>
      <c r="N63" s="32"/>
    </row>
    <row r="64" spans="1:14">
      <c r="K64" s="30"/>
      <c r="L64" s="32"/>
      <c r="M64" s="32"/>
      <c r="N64" s="32"/>
    </row>
    <row r="65" spans="1:14">
      <c r="C65" t="s">
        <v>255</v>
      </c>
      <c r="K65" s="30"/>
      <c r="L65" s="32"/>
      <c r="M65" s="32"/>
      <c r="N65" s="32"/>
    </row>
    <row r="66" spans="1:14">
      <c r="A66" s="8">
        <f>A63+1</f>
        <v>305</v>
      </c>
      <c r="C66" s="269" t="s">
        <v>256</v>
      </c>
      <c r="D66" s="269"/>
      <c r="E66" s="22">
        <f ca="1">+E30</f>
        <v>8859003843.0928421</v>
      </c>
      <c r="F66" t="str">
        <f>"Line "&amp;A30</f>
        <v>Line 115</v>
      </c>
      <c r="G66" s="21"/>
      <c r="H66" s="8">
        <f t="shared" ref="H66:H70" si="12">A66</f>
        <v>305</v>
      </c>
      <c r="K66" s="30">
        <f ca="1">E66-'3-True-upTRR Corrected V1'!E66</f>
        <v>-275887.59134101868</v>
      </c>
      <c r="L66" s="32">
        <f>L30</f>
        <v>-220737.59133978188</v>
      </c>
      <c r="M66" s="32">
        <f>M30</f>
        <v>-55150</v>
      </c>
      <c r="N66" s="32"/>
    </row>
    <row r="67" spans="1:14">
      <c r="A67" s="8">
        <f>A66+1</f>
        <v>306</v>
      </c>
      <c r="C67" s="18" t="s">
        <v>257</v>
      </c>
      <c r="D67" s="18"/>
      <c r="E67" s="28">
        <f>E45</f>
        <v>5.2264807947588816E-2</v>
      </c>
      <c r="F67" t="str">
        <f>"Line "&amp;A45</f>
        <v>Line 205</v>
      </c>
      <c r="H67" s="8">
        <f t="shared" si="12"/>
        <v>306</v>
      </c>
      <c r="K67" s="30">
        <f>E67-'3-True-upTRR Corrected V1'!E67</f>
        <v>0</v>
      </c>
      <c r="L67" s="32"/>
      <c r="M67" s="32"/>
      <c r="N67" s="32"/>
    </row>
    <row r="68" spans="1:14">
      <c r="A68" s="8">
        <f t="shared" ref="A68:A69" si="13">A67+1</f>
        <v>307</v>
      </c>
      <c r="C68" s="269" t="s">
        <v>258</v>
      </c>
      <c r="D68" s="269"/>
      <c r="E68" s="124">
        <f>E59</f>
        <v>0.27983599999999997</v>
      </c>
      <c r="F68" t="str">
        <f>"Line "&amp;A59</f>
        <v>Line 302</v>
      </c>
      <c r="H68" s="8">
        <f t="shared" si="12"/>
        <v>307</v>
      </c>
      <c r="K68" s="30">
        <f>E68-'3-True-upTRR Corrected V1'!E68</f>
        <v>0</v>
      </c>
      <c r="L68" s="32"/>
      <c r="M68" s="32"/>
      <c r="N68" s="32"/>
    </row>
    <row r="69" spans="1:14">
      <c r="A69" s="8">
        <f t="shared" si="13"/>
        <v>308</v>
      </c>
      <c r="C69" s="269" t="s">
        <v>259</v>
      </c>
      <c r="D69" s="269"/>
      <c r="E69" s="22">
        <f>'1-BaseTRR'!E108</f>
        <v>-10388934.203603033</v>
      </c>
      <c r="F69" t="str">
        <f>CONCATENATE("1-BaseTRR, L. ",'1-BaseTRR'!A108)</f>
        <v>1-BaseTRR, L. 407</v>
      </c>
      <c r="H69" s="8">
        <f t="shared" si="12"/>
        <v>308</v>
      </c>
      <c r="K69" s="30">
        <f>E69-'3-True-upTRR Corrected V1'!E69</f>
        <v>0</v>
      </c>
      <c r="L69" s="32"/>
      <c r="M69" s="32"/>
      <c r="N69" s="32"/>
    </row>
    <row r="70" spans="1:14">
      <c r="A70" s="8">
        <f>A69+1</f>
        <v>309</v>
      </c>
      <c r="C70" s="269" t="s">
        <v>260</v>
      </c>
      <c r="D70" s="269"/>
      <c r="E70" s="22">
        <f>'1-BaseTRR'!E103</f>
        <v>10016517.341710607</v>
      </c>
      <c r="F70" t="str">
        <f>CONCATENATE("1-BaseTRR, L. ",'1-BaseTRR'!A103)</f>
        <v>1-BaseTRR, L. 404</v>
      </c>
      <c r="H70" s="8">
        <f t="shared" si="12"/>
        <v>309</v>
      </c>
      <c r="K70" s="30">
        <f>E70-'3-True-upTRR Corrected V1'!E70</f>
        <v>0</v>
      </c>
      <c r="L70" s="32"/>
      <c r="M70" s="32"/>
      <c r="N70" s="32"/>
    </row>
    <row r="71" spans="1:14">
      <c r="A71" s="8">
        <f t="shared" ref="A71" si="14">A70+1</f>
        <v>310</v>
      </c>
      <c r="C71" s="269" t="s">
        <v>361</v>
      </c>
      <c r="D71" s="269"/>
      <c r="E71" s="29">
        <f ca="1">E49</f>
        <v>0</v>
      </c>
      <c r="F71" t="str">
        <f>"Line "&amp;A49&amp;""</f>
        <v>Line 208</v>
      </c>
      <c r="H71" s="8"/>
      <c r="K71" s="30">
        <f ca="1">E71-'3-True-upTRR Corrected V1'!E71</f>
        <v>0</v>
      </c>
      <c r="L71" s="32"/>
      <c r="M71" s="32"/>
      <c r="N71" s="32"/>
    </row>
    <row r="72" spans="1:14">
      <c r="K72" s="30"/>
      <c r="L72" s="32"/>
      <c r="M72" s="32"/>
      <c r="N72" s="32"/>
    </row>
    <row r="73" spans="1:14">
      <c r="C73" s="47" t="s">
        <v>362</v>
      </c>
      <c r="D73" s="219"/>
      <c r="E73" s="219"/>
      <c r="F73" s="219"/>
      <c r="G73" s="219"/>
      <c r="K73" s="30"/>
      <c r="L73" s="32"/>
      <c r="M73" s="32"/>
      <c r="N73" s="32"/>
    </row>
    <row r="74" spans="1:14">
      <c r="C74" s="12" t="s">
        <v>350</v>
      </c>
      <c r="K74" s="30"/>
      <c r="L74" s="32"/>
      <c r="M74" s="32"/>
      <c r="N74" s="32"/>
    </row>
    <row r="75" spans="1:14">
      <c r="C75" s="800"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00"/>
      <c r="E75" s="800"/>
      <c r="F75" s="800"/>
      <c r="G75" s="800"/>
      <c r="K75" s="30"/>
      <c r="L75" s="32"/>
      <c r="M75" s="32"/>
      <c r="N75" s="32"/>
    </row>
    <row r="76" spans="1:14">
      <c r="C76" s="800"/>
      <c r="D76" s="800"/>
      <c r="E76" s="800"/>
      <c r="F76" s="800"/>
      <c r="G76" s="800"/>
      <c r="K76" s="30"/>
      <c r="L76" s="32"/>
      <c r="M76" s="32"/>
      <c r="N76" s="32"/>
    </row>
    <row r="77" spans="1:14">
      <c r="C77" s="6"/>
      <c r="K77" s="30"/>
      <c r="L77" s="32"/>
      <c r="M77" s="32"/>
      <c r="N77" s="32"/>
    </row>
    <row r="78" spans="1:14">
      <c r="A78" s="13" t="s">
        <v>99</v>
      </c>
      <c r="B78" s="13"/>
      <c r="C78" s="13" t="s">
        <v>6</v>
      </c>
      <c r="E78" s="13" t="s">
        <v>133</v>
      </c>
      <c r="F78" s="13" t="s">
        <v>134</v>
      </c>
      <c r="G78" s="13" t="s">
        <v>135</v>
      </c>
      <c r="H78" s="13" t="str">
        <f>A78</f>
        <v>Line</v>
      </c>
      <c r="K78" s="30"/>
      <c r="L78" s="32"/>
      <c r="M78" s="32"/>
      <c r="N78" s="32"/>
    </row>
    <row r="79" spans="1:14">
      <c r="C79" s="11" t="s">
        <v>263</v>
      </c>
      <c r="D79" s="11"/>
      <c r="K79" s="30"/>
      <c r="L79" s="32"/>
      <c r="M79" s="32"/>
      <c r="N79" s="32"/>
    </row>
    <row r="80" spans="1:14">
      <c r="A80" s="8">
        <v>400</v>
      </c>
      <c r="C80" t="s">
        <v>264</v>
      </c>
      <c r="E80" s="22">
        <f>'1-BaseTRR'!E125</f>
        <v>616258249.07332659</v>
      </c>
      <c r="F80" t="str">
        <f>CONCATENATE("1-BaseTRR, L. ",'1-BaseTRR'!A125)</f>
        <v>1-BaseTRR, L. 500</v>
      </c>
      <c r="H80" s="8">
        <f t="shared" ref="H80:H94" si="15">A80</f>
        <v>400</v>
      </c>
      <c r="K80" s="30">
        <f>E80-'3-True-upTRR Corrected V1'!E80</f>
        <v>0</v>
      </c>
      <c r="L80" s="32"/>
      <c r="M80" s="32"/>
      <c r="N80" s="32"/>
    </row>
    <row r="81" spans="1:14">
      <c r="A81" s="8">
        <f>A80+1</f>
        <v>401</v>
      </c>
      <c r="C81" t="s">
        <v>266</v>
      </c>
      <c r="E81" s="22">
        <f>'1-BaseTRR'!E126</f>
        <v>278477957.36875582</v>
      </c>
      <c r="F81" t="str">
        <f>CONCATENATE("1-BaseTRR, L. ",'1-BaseTRR'!A126)</f>
        <v>1-BaseTRR, L. 501</v>
      </c>
      <c r="H81" s="8">
        <f t="shared" si="15"/>
        <v>401</v>
      </c>
      <c r="K81" s="30">
        <f>E81-'3-True-upTRR Corrected V1'!E81</f>
        <v>-2207375.9133977294</v>
      </c>
      <c r="L81" s="32">
        <f>'19-AandG Corrected V1'!K34+'19-AandG Corrected V1'!K42</f>
        <v>-2207375.9133977443</v>
      </c>
      <c r="M81" s="32"/>
      <c r="N81" s="32"/>
    </row>
    <row r="82" spans="1:14">
      <c r="A82" s="8">
        <f t="shared" ref="A82:A91" si="16">A81+1</f>
        <v>402</v>
      </c>
      <c r="C82" t="s">
        <v>268</v>
      </c>
      <c r="E82" s="22">
        <f>'1-BaseTRR'!E127</f>
        <v>6397845</v>
      </c>
      <c r="F82" t="str">
        <f>CONCATENATE("1-BaseTRR, L. ",'1-BaseTRR'!A127)</f>
        <v>1-BaseTRR, L. 502</v>
      </c>
      <c r="H82" s="8">
        <f t="shared" si="15"/>
        <v>402</v>
      </c>
      <c r="K82" s="30">
        <f>E82-'3-True-upTRR Corrected V1'!E82</f>
        <v>0</v>
      </c>
      <c r="L82" s="32"/>
      <c r="M82" s="32"/>
      <c r="N82" s="32"/>
    </row>
    <row r="83" spans="1:14">
      <c r="A83" s="8">
        <f t="shared" si="16"/>
        <v>403</v>
      </c>
      <c r="C83" t="s">
        <v>270</v>
      </c>
      <c r="E83" s="22">
        <f>'1-BaseTRR'!E128</f>
        <v>490683780.6148774</v>
      </c>
      <c r="F83" t="str">
        <f>CONCATENATE("1-BaseTRR, L. ",'1-BaseTRR'!A128)</f>
        <v>1-BaseTRR, L. 503</v>
      </c>
      <c r="H83" s="8">
        <f t="shared" si="15"/>
        <v>403</v>
      </c>
      <c r="K83" s="30">
        <f>E83-'3-True-upTRR Corrected V1'!E83</f>
        <v>0</v>
      </c>
      <c r="L83" s="32"/>
      <c r="M83" s="32"/>
      <c r="N83" s="32"/>
    </row>
    <row r="84" spans="1:14">
      <c r="A84" s="8">
        <f t="shared" si="16"/>
        <v>404</v>
      </c>
      <c r="C84" t="s">
        <v>274</v>
      </c>
      <c r="E84" s="22">
        <f ca="1">+'8-AbandonedPlant'!I14</f>
        <v>31085124.48372221</v>
      </c>
      <c r="F84" t="s">
        <v>275</v>
      </c>
      <c r="H84" s="8">
        <f t="shared" si="15"/>
        <v>404</v>
      </c>
      <c r="K84" s="30">
        <f ca="1">E84-'3-True-upTRR Corrected V1'!E84</f>
        <v>0</v>
      </c>
      <c r="L84" s="32"/>
      <c r="M84" s="32"/>
      <c r="N84" s="32"/>
    </row>
    <row r="85" spans="1:14">
      <c r="A85" s="8">
        <f t="shared" si="16"/>
        <v>405</v>
      </c>
      <c r="C85" t="s">
        <v>276</v>
      </c>
      <c r="E85" s="22">
        <f ca="1">E50</f>
        <v>624973951.5288589</v>
      </c>
      <c r="F85" t="str">
        <f>"Line "&amp;A50&amp;""</f>
        <v>Line 209</v>
      </c>
      <c r="H85" s="8">
        <f t="shared" si="15"/>
        <v>405</v>
      </c>
      <c r="K85" s="30">
        <f ca="1">E85-'3-True-upTRR Corrected V1'!E85</f>
        <v>-19462.973624587059</v>
      </c>
      <c r="L85" s="32">
        <f>L50</f>
        <v>-15572.320224033585</v>
      </c>
      <c r="M85" s="32">
        <f>M50</f>
        <v>-3890.6534004599093</v>
      </c>
      <c r="N85" s="32"/>
    </row>
    <row r="86" spans="1:14">
      <c r="A86" s="8">
        <f t="shared" si="16"/>
        <v>406</v>
      </c>
      <c r="C86" t="s">
        <v>277</v>
      </c>
      <c r="E86" s="22">
        <f>'1-BaseTRR'!E132</f>
        <v>118716287.06286834</v>
      </c>
      <c r="F86" t="str">
        <f>CONCATENATE("1-BaseTRR, L. ",'1-BaseTRR'!A132)</f>
        <v>1-BaseTRR, L. 507</v>
      </c>
      <c r="H86" s="8">
        <f t="shared" si="15"/>
        <v>406</v>
      </c>
      <c r="K86" s="30">
        <f>E86-'3-True-upTRR Corrected V1'!E86</f>
        <v>0</v>
      </c>
      <c r="L86" s="32"/>
      <c r="M86" s="32"/>
      <c r="N86" s="32"/>
    </row>
    <row r="87" spans="1:14">
      <c r="A87" s="8">
        <f t="shared" si="16"/>
        <v>407</v>
      </c>
      <c r="C87" t="s">
        <v>278</v>
      </c>
      <c r="E87" s="22">
        <f ca="1">E61</f>
        <v>169380962.21932092</v>
      </c>
      <c r="F87" t="str">
        <f>"Line "&amp;A61&amp;""</f>
        <v>Line 303</v>
      </c>
      <c r="H87" s="8">
        <f t="shared" si="15"/>
        <v>407</v>
      </c>
      <c r="K87" s="30">
        <f ca="1">E87-'3-True-upTRR Corrected V1'!E87</f>
        <v>-5602.9107296168804</v>
      </c>
      <c r="L87" s="32">
        <f>L61</f>
        <v>-4482.8874431520999</v>
      </c>
      <c r="M87" s="32">
        <f>M61</f>
        <v>-1120.023286424625</v>
      </c>
      <c r="N87" s="32"/>
    </row>
    <row r="88" spans="1:14">
      <c r="A88" s="8">
        <f t="shared" si="16"/>
        <v>408</v>
      </c>
      <c r="C88" t="s">
        <v>54</v>
      </c>
      <c r="E88" s="22">
        <f>'1-BaseTRR'!E134</f>
        <v>-10515263</v>
      </c>
      <c r="F88" t="str">
        <f>CONCATENATE("1-BaseTRR, L. ",'1-BaseTRR'!A134)</f>
        <v>1-BaseTRR, L. 509</v>
      </c>
      <c r="G88" t="s">
        <v>280</v>
      </c>
      <c r="H88" s="8">
        <f t="shared" si="15"/>
        <v>408</v>
      </c>
      <c r="K88" s="30">
        <f>E88-'3-True-upTRR Corrected V1'!E88</f>
        <v>0</v>
      </c>
      <c r="L88" s="32"/>
      <c r="M88" s="32"/>
      <c r="N88" s="32"/>
    </row>
    <row r="89" spans="1:14">
      <c r="A89" s="8">
        <f t="shared" si="16"/>
        <v>409</v>
      </c>
      <c r="C89" t="s">
        <v>281</v>
      </c>
      <c r="E89" s="22">
        <f>'1-BaseTRR'!E135</f>
        <v>-15280364.979115846</v>
      </c>
      <c r="F89" t="str">
        <f>CONCATENATE("1-BaseTRR, L. ",'1-BaseTRR'!A135)</f>
        <v>1-BaseTRR, L. 510</v>
      </c>
      <c r="G89" t="s">
        <v>280</v>
      </c>
      <c r="H89" s="8">
        <f t="shared" si="15"/>
        <v>409</v>
      </c>
      <c r="K89" s="30">
        <f>E89-'3-True-upTRR Corrected V1'!E89</f>
        <v>0</v>
      </c>
      <c r="L89" s="32"/>
      <c r="M89" s="32"/>
      <c r="N89" s="32"/>
    </row>
    <row r="90" spans="1:14">
      <c r="A90" s="8">
        <f t="shared" si="16"/>
        <v>410</v>
      </c>
      <c r="C90" t="s">
        <v>283</v>
      </c>
      <c r="E90" s="23">
        <f>'1-BaseTRR'!E136</f>
        <v>0</v>
      </c>
      <c r="F90" t="str">
        <f>CONCATENATE("1-BaseTRR, L. ",'1-BaseTRR'!A136)</f>
        <v>1-BaseTRR, L. 511</v>
      </c>
      <c r="H90" s="8">
        <f t="shared" si="15"/>
        <v>410</v>
      </c>
      <c r="K90" s="30">
        <f>E90-'3-True-upTRR Corrected V1'!E90</f>
        <v>0</v>
      </c>
      <c r="L90" s="32"/>
      <c r="M90" s="32"/>
      <c r="N90" s="32"/>
    </row>
    <row r="91" spans="1:14">
      <c r="A91" s="8">
        <f t="shared" si="16"/>
        <v>411</v>
      </c>
      <c r="C91" s="12" t="s">
        <v>286</v>
      </c>
      <c r="D91" s="12"/>
      <c r="E91" s="24">
        <f ca="1">SUM(E80:E90)</f>
        <v>2310178529.3726139</v>
      </c>
      <c r="F91" t="str">
        <f>"Sum Lines "&amp;A80&amp;" to "&amp;A90&amp;""</f>
        <v>Sum Lines 400 to 410</v>
      </c>
      <c r="H91" s="8">
        <f t="shared" si="15"/>
        <v>411</v>
      </c>
      <c r="K91" s="30">
        <f ca="1">E91-'3-True-upTRR Corrected V1'!E91</f>
        <v>-2232441.7977523804</v>
      </c>
      <c r="L91" s="32">
        <f>SUM(L80:L90)</f>
        <v>-2227431.1210649302</v>
      </c>
      <c r="M91" s="32">
        <f>SUM(M80:M90)</f>
        <v>-5010.6766868845343</v>
      </c>
      <c r="N91" s="32"/>
    </row>
    <row r="92" spans="1:14">
      <c r="H92" s="8"/>
      <c r="K92" s="30"/>
    </row>
    <row r="93" spans="1:14">
      <c r="C93" s="11" t="s">
        <v>287</v>
      </c>
      <c r="D93" s="11"/>
      <c r="K93" s="30"/>
    </row>
    <row r="94" spans="1:14">
      <c r="A94" s="8">
        <f>A91+1</f>
        <v>412</v>
      </c>
      <c r="C94" t="s">
        <v>288</v>
      </c>
      <c r="E94" s="19">
        <f>'1-BaseTRR'!E140</f>
        <v>7.2509999999999996E-3</v>
      </c>
      <c r="F94" t="str">
        <f>CONCATENATE("1-BaseTRR, L. ",'1-BaseTRR'!A140)</f>
        <v>1-BaseTRR, L. 513</v>
      </c>
      <c r="H94" s="8">
        <f t="shared" si="15"/>
        <v>412</v>
      </c>
      <c r="K94" s="30">
        <f>E94-'3-True-upTRR Corrected V1'!E94</f>
        <v>0</v>
      </c>
    </row>
    <row r="95" spans="1:14">
      <c r="A95" s="8">
        <f>A94+1</f>
        <v>413</v>
      </c>
      <c r="C95" t="s">
        <v>290</v>
      </c>
      <c r="D95" s="12"/>
      <c r="E95" s="39">
        <f>'1-BaseTRR'!E141</f>
        <v>2.7184430899152115E-4</v>
      </c>
      <c r="F95" t="str">
        <f>CONCATENATE("1-BaseTRR, L. ",'1-BaseTRR'!A141)</f>
        <v>1-BaseTRR, L. 514</v>
      </c>
      <c r="H95" s="8">
        <f t="shared" ref="H95:H108" si="17">A95</f>
        <v>413</v>
      </c>
      <c r="K95" s="30">
        <f>E95-'3-True-upTRR Corrected V1'!E95</f>
        <v>0</v>
      </c>
    </row>
    <row r="96" spans="1:14">
      <c r="A96" s="8">
        <f>A95+1</f>
        <v>414</v>
      </c>
      <c r="C96" s="12" t="s">
        <v>292</v>
      </c>
      <c r="D96" s="12"/>
      <c r="E96" s="24">
        <f ca="1">(E94+E95)*E91</f>
        <v>17379113.402445167</v>
      </c>
      <c r="F96" s="17" t="str">
        <f>"Line "&amp;A91&amp;" * ( Line "&amp;A94&amp;" + Line "&amp;A95&amp;")"</f>
        <v>Line 411 * ( Line 412 + Line 413)</v>
      </c>
      <c r="H96" s="8">
        <f t="shared" si="17"/>
        <v>414</v>
      </c>
      <c r="K96" s="30">
        <f ca="1">E96-'3-True-upTRR Corrected V1'!E96</f>
        <v>-16794.312073379755</v>
      </c>
      <c r="L96" s="34">
        <f>L91*SUM(E94:E95)</f>
        <v>-16756.617532773915</v>
      </c>
      <c r="M96" s="34">
        <f>M91*SUM(E94:E95)</f>
        <v>-37.694540598125805</v>
      </c>
      <c r="N96" s="34"/>
    </row>
    <row r="97" spans="1:14">
      <c r="C97" s="12"/>
      <c r="D97" s="12"/>
      <c r="E97" s="22"/>
      <c r="H97" s="8"/>
      <c r="K97" s="30"/>
    </row>
    <row r="98" spans="1:14">
      <c r="A98" s="8">
        <f>A96+1</f>
        <v>415</v>
      </c>
      <c r="C98" s="12" t="s">
        <v>363</v>
      </c>
      <c r="D98" s="12"/>
      <c r="E98" s="24">
        <f ca="1">E96+E91</f>
        <v>2327557642.7750592</v>
      </c>
      <c r="F98" t="str">
        <f>"Line "&amp;A91&amp;" + Line "&amp;A96&amp;""</f>
        <v>Line 411 + Line 414</v>
      </c>
      <c r="H98" s="8">
        <f t="shared" ref="H98" si="18">A98</f>
        <v>415</v>
      </c>
      <c r="K98" s="30">
        <f ca="1">E98-'3-True-upTRR Corrected V1'!E98</f>
        <v>-2249236.1098256111</v>
      </c>
      <c r="L98" s="32">
        <f>L91+L96</f>
        <v>-2244187.7385977041</v>
      </c>
      <c r="M98" s="32">
        <f>M91+M96</f>
        <v>-5048.3712274826603</v>
      </c>
      <c r="N98" s="32"/>
    </row>
    <row r="99" spans="1:14">
      <c r="C99" s="12"/>
      <c r="D99" s="12"/>
      <c r="E99" s="22"/>
      <c r="H99" s="8"/>
      <c r="K99" s="30"/>
    </row>
    <row r="100" spans="1:14">
      <c r="C100" s="11" t="s">
        <v>14</v>
      </c>
      <c r="D100" s="12"/>
      <c r="E100" s="22"/>
      <c r="H100" s="8"/>
      <c r="K100" s="30"/>
    </row>
    <row r="101" spans="1:14">
      <c r="A101" s="8">
        <f>A98+1</f>
        <v>416</v>
      </c>
      <c r="C101" t="s">
        <v>364</v>
      </c>
      <c r="E101" s="46">
        <v>0</v>
      </c>
      <c r="F101" s="49"/>
      <c r="H101" s="8">
        <f>A101</f>
        <v>416</v>
      </c>
      <c r="K101" s="30">
        <f>E101-'3-True-upTRR Corrected V1'!E101</f>
        <v>0</v>
      </c>
    </row>
    <row r="102" spans="1:14">
      <c r="E102" s="30"/>
      <c r="H102" s="8"/>
      <c r="K102" s="30"/>
    </row>
    <row r="103" spans="1:14">
      <c r="A103" s="8">
        <f>A101+1</f>
        <v>417</v>
      </c>
      <c r="C103" s="12" t="s">
        <v>365</v>
      </c>
      <c r="E103" s="24">
        <f ca="1">E101+E98</f>
        <v>2327557642.7750592</v>
      </c>
      <c r="F103" t="str">
        <f>"Line "&amp;A98&amp;" + Line "&amp;A101&amp;""</f>
        <v>Line 415 + Line 416</v>
      </c>
      <c r="H103" s="8">
        <f>A103</f>
        <v>417</v>
      </c>
      <c r="K103" s="30">
        <f ca="1">E103-'3-True-upTRR Corrected V1'!E103</f>
        <v>-2249236.1098256111</v>
      </c>
      <c r="L103" s="153">
        <f>SUM(L98:L102)</f>
        <v>-2244187.7385977041</v>
      </c>
      <c r="M103" s="153">
        <f>SUM(M98:M102)</f>
        <v>-5048.3712274826603</v>
      </c>
      <c r="N103" s="153"/>
    </row>
    <row r="104" spans="1:14">
      <c r="C104" s="12"/>
      <c r="D104" s="12"/>
      <c r="E104" s="22"/>
      <c r="H104" s="8"/>
      <c r="K104" s="30"/>
    </row>
    <row r="105" spans="1:14">
      <c r="C105" s="11" t="s">
        <v>366</v>
      </c>
      <c r="D105" s="12"/>
      <c r="E105" s="22"/>
      <c r="H105" s="8"/>
      <c r="K105" s="30"/>
    </row>
    <row r="106" spans="1:14">
      <c r="A106" s="8">
        <f>A103+1</f>
        <v>418</v>
      </c>
      <c r="C106" t="s">
        <v>298</v>
      </c>
      <c r="D106" s="12"/>
      <c r="E106" s="19">
        <f>'1-BaseTRR'!E155</f>
        <v>3.0104518270731213E-3</v>
      </c>
      <c r="F106" t="str">
        <f>CONCATENATE("1-BaseTRR, L. ",'1-BaseTRR'!A155)</f>
        <v>1-BaseTRR, L. 700</v>
      </c>
      <c r="H106" s="8">
        <f t="shared" ref="H106" si="19">A106</f>
        <v>418</v>
      </c>
      <c r="K106" s="30">
        <f>E106-'3-True-upTRR Corrected V1'!E106</f>
        <v>0</v>
      </c>
    </row>
    <row r="107" spans="1:14">
      <c r="A107" s="8">
        <f>A106+1</f>
        <v>419</v>
      </c>
      <c r="C107" t="s">
        <v>300</v>
      </c>
      <c r="E107" s="22">
        <f ca="1">E106*E103</f>
        <v>7007000.1583101843</v>
      </c>
      <c r="F107" s="17" t="str">
        <f>"Line "&amp;A103&amp;" * Line "&amp;A106&amp;""</f>
        <v>Line 417 * Line 418</v>
      </c>
      <c r="H107" s="8">
        <f t="shared" si="17"/>
        <v>419</v>
      </c>
      <c r="K107" s="30">
        <f ca="1">E107-'3-True-upTRR Corrected V1'!E107</f>
        <v>-6771.2169563435018</v>
      </c>
      <c r="L107" s="34">
        <f>L103*E106</f>
        <v>-6756.0190779565546</v>
      </c>
      <c r="M107" s="34">
        <f>M103*E106</f>
        <v>-15.197878385518552</v>
      </c>
      <c r="N107" s="34"/>
    </row>
    <row r="108" spans="1:14">
      <c r="A108" s="8">
        <f>A107+1</f>
        <v>420</v>
      </c>
      <c r="C108" t="s">
        <v>301</v>
      </c>
      <c r="E108" s="22">
        <f>+'23-RetailSGTax'!E38</f>
        <v>4851176.7134412583</v>
      </c>
      <c r="F108" t="s">
        <v>367</v>
      </c>
      <c r="H108" s="8">
        <f t="shared" si="17"/>
        <v>420</v>
      </c>
      <c r="K108" s="30">
        <f>E108-'3-True-upTRR Corrected V1'!E108</f>
        <v>0</v>
      </c>
    </row>
    <row r="109" spans="1:14">
      <c r="H109" s="8"/>
      <c r="K109" s="30"/>
    </row>
    <row r="110" spans="1:14">
      <c r="A110" s="8">
        <f>A108+1</f>
        <v>421</v>
      </c>
      <c r="C110" s="12" t="s">
        <v>12</v>
      </c>
      <c r="D110" s="12"/>
      <c r="E110" s="24">
        <f ca="1">E103+E107+E108</f>
        <v>2339415819.646811</v>
      </c>
      <c r="F110" t="str">
        <f>"Line "&amp;A103&amp;" + Line "&amp;A107&amp;" + Line "&amp;A108&amp;""</f>
        <v>Line 417 + Line 419 + Line 420</v>
      </c>
      <c r="H110" s="8">
        <f t="shared" ref="H110" si="20">A110</f>
        <v>421</v>
      </c>
      <c r="K110" s="30">
        <f ca="1">E110-'3-True-upTRR Corrected V1'!E110</f>
        <v>-2256007.3267817497</v>
      </c>
      <c r="L110" s="32">
        <f>SUM(L103+L107)</f>
        <v>-2250943.7576756608</v>
      </c>
      <c r="M110" s="32">
        <f>SUM(M103+M107)</f>
        <v>-5063.5691058681787</v>
      </c>
      <c r="N110" s="32"/>
    </row>
    <row r="111" spans="1:14">
      <c r="E111" s="32"/>
      <c r="H111" s="8"/>
      <c r="K111" s="30"/>
      <c r="N111" s="30"/>
    </row>
    <row r="112" spans="1:14">
      <c r="C112" s="16"/>
    </row>
    <row r="113" spans="5:12">
      <c r="E113" s="40"/>
    </row>
    <row r="115" spans="5:12">
      <c r="E115" s="34"/>
    </row>
    <row r="116" spans="5:12">
      <c r="L116" s="32"/>
    </row>
    <row r="118" spans="5:12">
      <c r="L118" s="32"/>
    </row>
    <row r="119" spans="5:12">
      <c r="L119" s="32"/>
    </row>
    <row r="120" spans="5:12">
      <c r="L120" s="32"/>
    </row>
    <row r="121" spans="5:12">
      <c r="L121" s="32"/>
    </row>
    <row r="122" spans="5:12">
      <c r="L122" s="32"/>
    </row>
    <row r="123" spans="5:12">
      <c r="L123" s="32"/>
    </row>
    <row r="124" spans="5:12">
      <c r="L124" s="32"/>
    </row>
    <row r="125" spans="5:12">
      <c r="L125" s="32"/>
    </row>
  </sheetData>
  <mergeCells count="4">
    <mergeCell ref="C34:G34"/>
    <mergeCell ref="C75:G76"/>
    <mergeCell ref="C54:G54"/>
    <mergeCell ref="K2:K5"/>
  </mergeCells>
  <printOptions horizontalCentered="1"/>
  <pageMargins left="1" right="1" top="1" bottom="1" header="0.5" footer="0.5"/>
  <pageSetup scale="50"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0" max="12"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DC7D0-B942-46A6-AB44-95F69EFB7E9A}">
  <sheetPr>
    <tabColor rgb="FFFF0000"/>
    <pageSetUpPr fitToPage="1"/>
  </sheetPr>
  <dimension ref="A1:K115"/>
  <sheetViews>
    <sheetView tabSelected="1" view="pageBreakPreview" zoomScaleNormal="85" zoomScaleSheetLayoutView="100" zoomScalePageLayoutView="70" workbookViewId="0">
      <selection activeCell="E21" sqref="E21"/>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0" max="10" width="9.1796875" customWidth="1"/>
    <col min="11" max="11" width="12.1796875" customWidth="1"/>
  </cols>
  <sheetData>
    <row r="1" spans="1:11">
      <c r="C1" s="14" t="s">
        <v>12</v>
      </c>
      <c r="F1" s="15"/>
      <c r="G1" s="15" t="s">
        <v>368</v>
      </c>
    </row>
    <row r="2" spans="1:11">
      <c r="C2" s="42" t="s">
        <v>130</v>
      </c>
      <c r="F2" s="15"/>
    </row>
    <row r="3" spans="1:11">
      <c r="A3" s="14"/>
      <c r="B3" s="14"/>
      <c r="C3" s="12"/>
      <c r="I3" s="15"/>
    </row>
    <row r="4" spans="1:11">
      <c r="C4" s="47" t="s">
        <v>132</v>
      </c>
      <c r="D4" s="48"/>
      <c r="E4" s="219"/>
      <c r="F4" s="219"/>
      <c r="G4" s="219"/>
    </row>
    <row r="5" spans="1:11" ht="58">
      <c r="A5" s="13" t="s">
        <v>99</v>
      </c>
      <c r="B5" s="13"/>
      <c r="C5" s="13" t="s">
        <v>6</v>
      </c>
      <c r="E5" s="13" t="s">
        <v>133</v>
      </c>
      <c r="F5" s="13" t="s">
        <v>134</v>
      </c>
      <c r="G5" s="13" t="s">
        <v>135</v>
      </c>
      <c r="H5" s="13" t="s">
        <v>99</v>
      </c>
      <c r="K5" s="5" t="s">
        <v>330</v>
      </c>
    </row>
    <row r="6" spans="1:11">
      <c r="A6"/>
      <c r="B6"/>
      <c r="C6" s="11" t="s">
        <v>136</v>
      </c>
      <c r="D6" s="11"/>
    </row>
    <row r="7" spans="1:11">
      <c r="A7" s="8">
        <v>100</v>
      </c>
      <c r="C7" t="s">
        <v>137</v>
      </c>
      <c r="E7" s="22">
        <v>13210826058.73295</v>
      </c>
      <c r="F7" t="s">
        <v>331</v>
      </c>
      <c r="G7" t="s">
        <v>332</v>
      </c>
      <c r="H7" s="8">
        <v>100</v>
      </c>
      <c r="K7" s="30">
        <v>0</v>
      </c>
    </row>
    <row r="8" spans="1:11">
      <c r="A8" s="8">
        <v>101</v>
      </c>
      <c r="C8" t="s">
        <v>140</v>
      </c>
      <c r="E8" s="22">
        <v>1244042247.4960322</v>
      </c>
      <c r="F8" t="s">
        <v>333</v>
      </c>
      <c r="G8" t="s">
        <v>334</v>
      </c>
      <c r="H8" s="8">
        <v>101</v>
      </c>
      <c r="K8" s="30">
        <v>0</v>
      </c>
    </row>
    <row r="9" spans="1:11">
      <c r="A9" s="8">
        <v>102</v>
      </c>
      <c r="C9" t="s">
        <v>142</v>
      </c>
      <c r="E9" s="23">
        <v>11193193.794347662</v>
      </c>
      <c r="F9" t="s">
        <v>335</v>
      </c>
      <c r="G9" t="s">
        <v>334</v>
      </c>
      <c r="H9" s="8">
        <v>102</v>
      </c>
      <c r="K9" s="30">
        <v>0</v>
      </c>
    </row>
    <row r="10" spans="1:11">
      <c r="A10" s="8">
        <v>103</v>
      </c>
      <c r="C10" s="12" t="s">
        <v>144</v>
      </c>
      <c r="D10" s="12"/>
      <c r="E10" s="24">
        <v>14466061500.023331</v>
      </c>
      <c r="F10" s="6" t="s">
        <v>369</v>
      </c>
      <c r="H10" s="8">
        <v>103</v>
      </c>
      <c r="K10" s="30">
        <v>0</v>
      </c>
    </row>
    <row r="11" spans="1:11">
      <c r="E11" s="30"/>
      <c r="K11" s="30"/>
    </row>
    <row r="12" spans="1:11">
      <c r="C12" s="11" t="s">
        <v>145</v>
      </c>
      <c r="D12" s="11"/>
      <c r="E12" s="30"/>
      <c r="K12" s="30"/>
    </row>
    <row r="13" spans="1:11">
      <c r="A13" s="8">
        <v>104</v>
      </c>
      <c r="C13" t="s">
        <v>146</v>
      </c>
      <c r="E13" s="22">
        <v>73920152.935151443</v>
      </c>
      <c r="F13" t="s">
        <v>336</v>
      </c>
      <c r="G13" t="s">
        <v>332</v>
      </c>
      <c r="H13" s="8">
        <v>104</v>
      </c>
      <c r="K13" s="30">
        <v>0</v>
      </c>
    </row>
    <row r="14" spans="1:11">
      <c r="A14" s="8">
        <v>105</v>
      </c>
      <c r="C14" t="s">
        <v>148</v>
      </c>
      <c r="E14" s="22">
        <v>57289466</v>
      </c>
      <c r="F14" t="s">
        <v>337</v>
      </c>
      <c r="G14" t="s">
        <v>332</v>
      </c>
      <c r="H14" s="8">
        <v>105</v>
      </c>
      <c r="K14" s="30">
        <v>0</v>
      </c>
    </row>
    <row r="15" spans="1:11">
      <c r="A15" s="8">
        <v>106</v>
      </c>
      <c r="C15" t="s">
        <v>150</v>
      </c>
      <c r="E15" s="26">
        <v>89694358.235548019</v>
      </c>
      <c r="F15" t="s">
        <v>370</v>
      </c>
      <c r="H15" s="8">
        <v>106</v>
      </c>
      <c r="K15" s="30">
        <v>0</v>
      </c>
    </row>
    <row r="16" spans="1:11">
      <c r="A16" s="8">
        <v>107</v>
      </c>
      <c r="C16" s="12" t="s">
        <v>151</v>
      </c>
      <c r="D16" s="12"/>
      <c r="E16" s="24">
        <v>220903977.17069948</v>
      </c>
      <c r="F16" s="6" t="s">
        <v>371</v>
      </c>
      <c r="H16" s="8">
        <v>107</v>
      </c>
      <c r="K16" s="30">
        <v>0</v>
      </c>
    </row>
    <row r="17" spans="1:11">
      <c r="E17" s="30"/>
      <c r="K17" s="30"/>
    </row>
    <row r="18" spans="1:11">
      <c r="C18" s="11" t="s">
        <v>152</v>
      </c>
      <c r="D18" s="11"/>
      <c r="E18" s="30"/>
      <c r="K18" s="30"/>
    </row>
    <row r="19" spans="1:11">
      <c r="A19" s="8">
        <v>108</v>
      </c>
      <c r="C19" t="s">
        <v>153</v>
      </c>
      <c r="E19" s="22">
        <v>-3145518356.4050956</v>
      </c>
      <c r="F19" t="s">
        <v>338</v>
      </c>
      <c r="G19" t="s">
        <v>339</v>
      </c>
      <c r="H19" s="8">
        <v>108</v>
      </c>
      <c r="K19" s="30">
        <v>0</v>
      </c>
    </row>
    <row r="20" spans="1:11">
      <c r="A20" s="8">
        <v>109</v>
      </c>
      <c r="C20" t="s">
        <v>156</v>
      </c>
      <c r="E20" s="23">
        <v>-425136378.7341904</v>
      </c>
      <c r="F20" t="s">
        <v>340</v>
      </c>
      <c r="G20" t="s">
        <v>341</v>
      </c>
      <c r="H20" s="8">
        <v>109</v>
      </c>
      <c r="K20" s="30">
        <v>0</v>
      </c>
    </row>
    <row r="21" spans="1:11">
      <c r="A21" s="8">
        <v>110</v>
      </c>
      <c r="C21" s="12" t="s">
        <v>158</v>
      </c>
      <c r="D21" s="12"/>
      <c r="E21" s="345">
        <v>-3570654735.139286</v>
      </c>
      <c r="F21" t="s">
        <v>372</v>
      </c>
      <c r="H21" s="8">
        <v>110</v>
      </c>
      <c r="K21" s="30">
        <v>0</v>
      </c>
    </row>
    <row r="22" spans="1:11">
      <c r="E22" s="30"/>
      <c r="K22" s="30"/>
    </row>
    <row r="23" spans="1:11">
      <c r="A23" s="8">
        <v>111</v>
      </c>
      <c r="B23" s="8" t="s">
        <v>159</v>
      </c>
      <c r="C23" s="14" t="s">
        <v>160</v>
      </c>
      <c r="D23" s="14"/>
      <c r="E23" s="29">
        <v>-1440771913.3136179</v>
      </c>
      <c r="F23" t="s">
        <v>342</v>
      </c>
      <c r="G23" t="s">
        <v>343</v>
      </c>
      <c r="H23" s="8">
        <v>111</v>
      </c>
      <c r="I23" t="s">
        <v>159</v>
      </c>
      <c r="K23" s="30">
        <v>0</v>
      </c>
    </row>
    <row r="24" spans="1:11">
      <c r="A24" s="8">
        <v>111</v>
      </c>
      <c r="B24" s="8" t="s">
        <v>162</v>
      </c>
      <c r="C24" s="14" t="s">
        <v>163</v>
      </c>
      <c r="D24" s="14"/>
      <c r="E24" s="29">
        <v>-562843911.73194265</v>
      </c>
      <c r="F24" t="s">
        <v>344</v>
      </c>
      <c r="G24" t="s">
        <v>343</v>
      </c>
      <c r="H24" s="8">
        <v>111</v>
      </c>
      <c r="I24" t="s">
        <v>162</v>
      </c>
      <c r="K24" s="30">
        <v>0</v>
      </c>
    </row>
    <row r="25" spans="1:11">
      <c r="A25" s="8">
        <v>111</v>
      </c>
      <c r="B25" s="8" t="s">
        <v>165</v>
      </c>
      <c r="C25" s="14" t="s">
        <v>345</v>
      </c>
      <c r="D25" s="14"/>
      <c r="E25" s="29">
        <v>-2003615825.0455606</v>
      </c>
      <c r="F25" t="s">
        <v>373</v>
      </c>
      <c r="G25" t="s">
        <v>343</v>
      </c>
      <c r="H25" s="8">
        <v>111</v>
      </c>
      <c r="I25" t="s">
        <v>165</v>
      </c>
      <c r="K25" s="30">
        <v>0</v>
      </c>
    </row>
    <row r="26" spans="1:11">
      <c r="A26" s="8">
        <v>112</v>
      </c>
      <c r="C26" s="12" t="s">
        <v>346</v>
      </c>
      <c r="D26" s="12"/>
      <c r="E26" s="29">
        <v>-209729819.32499999</v>
      </c>
      <c r="F26" t="s">
        <v>347</v>
      </c>
      <c r="G26" t="s">
        <v>341</v>
      </c>
      <c r="H26" s="8">
        <v>112</v>
      </c>
      <c r="K26" s="30">
        <v>0</v>
      </c>
    </row>
    <row r="27" spans="1:11">
      <c r="A27" s="8">
        <v>113</v>
      </c>
      <c r="C27" s="12" t="s">
        <v>44</v>
      </c>
      <c r="D27" s="12"/>
      <c r="E27" s="29">
        <v>-43685367</v>
      </c>
      <c r="F27" t="s">
        <v>348</v>
      </c>
      <c r="G27" t="s">
        <v>334</v>
      </c>
      <c r="H27" s="8">
        <v>113</v>
      </c>
      <c r="K27" s="30">
        <v>0</v>
      </c>
    </row>
    <row r="28" spans="1:11">
      <c r="A28" s="8">
        <v>114</v>
      </c>
      <c r="C28" s="12" t="s">
        <v>170</v>
      </c>
      <c r="D28" s="12"/>
      <c r="E28" s="22">
        <v>0</v>
      </c>
      <c r="F28" t="s">
        <v>349</v>
      </c>
      <c r="G28" t="s">
        <v>334</v>
      </c>
      <c r="H28" s="8">
        <v>114</v>
      </c>
      <c r="K28" s="30">
        <v>0</v>
      </c>
    </row>
    <row r="29" spans="1:11">
      <c r="C29" s="12"/>
      <c r="D29" s="12"/>
      <c r="E29" s="22"/>
      <c r="H29" s="8"/>
      <c r="K29" s="30"/>
    </row>
    <row r="30" spans="1:11">
      <c r="A30" s="8">
        <v>115</v>
      </c>
      <c r="C30" s="12" t="s">
        <v>172</v>
      </c>
      <c r="D30" s="12"/>
      <c r="E30" s="63">
        <v>8859279730.6841831</v>
      </c>
      <c r="F30" t="s">
        <v>374</v>
      </c>
      <c r="H30" s="8">
        <v>115</v>
      </c>
      <c r="K30" s="30">
        <v>0</v>
      </c>
    </row>
    <row r="31" spans="1:11">
      <c r="E31" s="17"/>
      <c r="H31" s="8"/>
      <c r="K31" s="30"/>
    </row>
    <row r="32" spans="1:11">
      <c r="C32" s="47" t="s">
        <v>173</v>
      </c>
      <c r="D32" s="219"/>
      <c r="E32" s="219"/>
      <c r="F32" s="219"/>
      <c r="G32" s="219"/>
      <c r="K32" s="30"/>
    </row>
    <row r="33" spans="1:11">
      <c r="C33" s="12" t="s">
        <v>350</v>
      </c>
      <c r="K33" s="30"/>
    </row>
    <row r="34" spans="1:11">
      <c r="C34" s="801" t="s">
        <v>351</v>
      </c>
      <c r="D34" s="801"/>
      <c r="E34" s="801"/>
      <c r="F34" s="801"/>
      <c r="G34" s="801"/>
      <c r="K34" s="30"/>
    </row>
    <row r="35" spans="1:11">
      <c r="C35" s="14"/>
      <c r="K35" s="30"/>
    </row>
    <row r="36" spans="1:11">
      <c r="A36" s="13" t="s">
        <v>99</v>
      </c>
      <c r="B36" s="13"/>
      <c r="C36" s="13" t="s">
        <v>6</v>
      </c>
      <c r="E36" s="13" t="s">
        <v>133</v>
      </c>
      <c r="F36" s="13" t="s">
        <v>134</v>
      </c>
      <c r="G36" s="13" t="s">
        <v>135</v>
      </c>
      <c r="H36" s="13" t="s">
        <v>99</v>
      </c>
      <c r="K36" s="30"/>
    </row>
    <row r="37" spans="1:11" ht="77.25" customHeight="1">
      <c r="A37" s="8">
        <v>200</v>
      </c>
      <c r="C37" t="s">
        <v>352</v>
      </c>
      <c r="E37" s="45">
        <v>0.1045</v>
      </c>
      <c r="F37" s="49" t="s">
        <v>353</v>
      </c>
      <c r="G37" s="304" t="s">
        <v>354</v>
      </c>
      <c r="H37" s="8">
        <v>200</v>
      </c>
      <c r="K37" s="30">
        <v>0</v>
      </c>
    </row>
    <row r="38" spans="1:11">
      <c r="C38" s="14"/>
      <c r="K38" s="30"/>
    </row>
    <row r="39" spans="1:11">
      <c r="C39" s="11" t="s">
        <v>203</v>
      </c>
      <c r="D39" s="11"/>
      <c r="K39" s="30"/>
    </row>
    <row r="40" spans="1:11" ht="43.5">
      <c r="A40" s="8">
        <v>201</v>
      </c>
      <c r="C40" t="s">
        <v>204</v>
      </c>
      <c r="E40" s="27">
        <v>1.8281944553950786E-2</v>
      </c>
      <c r="F40" s="304" t="s">
        <v>355</v>
      </c>
      <c r="G40" t="s">
        <v>332</v>
      </c>
      <c r="H40" s="8">
        <v>201</v>
      </c>
      <c r="K40" s="30">
        <v>0</v>
      </c>
    </row>
    <row r="41" spans="1:11">
      <c r="A41" s="8">
        <v>202</v>
      </c>
      <c r="C41" t="s">
        <v>205</v>
      </c>
      <c r="E41" s="27">
        <v>2.7605794758881429E-4</v>
      </c>
      <c r="F41" t="s">
        <v>375</v>
      </c>
      <c r="H41" s="8">
        <v>202</v>
      </c>
      <c r="K41" s="30">
        <v>0</v>
      </c>
    </row>
    <row r="42" spans="1:11">
      <c r="A42" s="8">
        <v>203</v>
      </c>
      <c r="C42" t="s">
        <v>206</v>
      </c>
      <c r="E42" s="440">
        <v>5.198875E-2</v>
      </c>
      <c r="F42" t="s">
        <v>376</v>
      </c>
      <c r="H42" s="8">
        <v>203</v>
      </c>
      <c r="K42" s="30">
        <v>0</v>
      </c>
    </row>
    <row r="43" spans="1:11">
      <c r="A43" s="8">
        <v>204</v>
      </c>
      <c r="C43" s="12" t="s">
        <v>207</v>
      </c>
      <c r="D43" s="12"/>
      <c r="E43" s="363">
        <v>7.0546752501539606E-2</v>
      </c>
      <c r="F43" s="6" t="s">
        <v>377</v>
      </c>
      <c r="H43" s="8">
        <v>204</v>
      </c>
      <c r="K43" s="30">
        <v>0</v>
      </c>
    </row>
    <row r="44" spans="1:11">
      <c r="K44" s="30"/>
    </row>
    <row r="45" spans="1:11">
      <c r="A45" s="8">
        <v>205</v>
      </c>
      <c r="C45" s="12" t="s">
        <v>208</v>
      </c>
      <c r="D45" s="12"/>
      <c r="E45" s="363">
        <v>5.2264807947588816E-2</v>
      </c>
      <c r="F45" t="s">
        <v>378</v>
      </c>
      <c r="G45" s="17"/>
      <c r="H45" s="8">
        <v>205</v>
      </c>
      <c r="K45" s="30">
        <v>0</v>
      </c>
    </row>
    <row r="46" spans="1:11">
      <c r="A46" s="8">
        <v>206</v>
      </c>
      <c r="C46" s="12" t="s">
        <v>209</v>
      </c>
      <c r="D46" s="12"/>
      <c r="E46" s="363">
        <v>0</v>
      </c>
      <c r="F46" t="s">
        <v>379</v>
      </c>
      <c r="G46" s="17"/>
      <c r="H46" s="8"/>
      <c r="K46" s="30"/>
    </row>
    <row r="47" spans="1:11">
      <c r="H47" s="8"/>
      <c r="K47" s="30"/>
    </row>
    <row r="48" spans="1:11">
      <c r="A48" s="8">
        <v>207</v>
      </c>
      <c r="C48" t="s">
        <v>210</v>
      </c>
      <c r="D48" s="12"/>
      <c r="E48" s="22">
        <v>624993414.50248349</v>
      </c>
      <c r="F48" t="s">
        <v>380</v>
      </c>
      <c r="H48" s="8">
        <v>207</v>
      </c>
      <c r="K48" s="30">
        <v>0</v>
      </c>
    </row>
    <row r="49" spans="1:11">
      <c r="A49" s="8">
        <v>208</v>
      </c>
      <c r="C49" t="s">
        <v>211</v>
      </c>
      <c r="D49" s="12"/>
      <c r="E49" s="29">
        <v>0</v>
      </c>
      <c r="F49" t="s">
        <v>381</v>
      </c>
      <c r="H49" s="8">
        <v>208</v>
      </c>
      <c r="K49" s="30">
        <v>0</v>
      </c>
    </row>
    <row r="50" spans="1:11">
      <c r="A50" s="8">
        <v>209</v>
      </c>
      <c r="C50" s="12" t="s">
        <v>212</v>
      </c>
      <c r="D50" s="12"/>
      <c r="E50" s="63">
        <v>624993414.50248349</v>
      </c>
      <c r="F50" t="s">
        <v>382</v>
      </c>
      <c r="H50" s="8">
        <v>209</v>
      </c>
      <c r="K50" s="30">
        <v>0</v>
      </c>
    </row>
    <row r="51" spans="1:11">
      <c r="H51" s="8"/>
      <c r="K51" s="30"/>
    </row>
    <row r="52" spans="1:11">
      <c r="C52" s="47" t="s">
        <v>356</v>
      </c>
      <c r="D52" s="219"/>
      <c r="E52" s="219"/>
      <c r="F52" s="219"/>
      <c r="G52" s="219"/>
      <c r="K52" s="30"/>
    </row>
    <row r="53" spans="1:11">
      <c r="C53" s="12" t="s">
        <v>350</v>
      </c>
      <c r="K53" s="30"/>
    </row>
    <row r="54" spans="1:11">
      <c r="C54" s="801" t="s">
        <v>357</v>
      </c>
      <c r="D54" s="801"/>
      <c r="E54" s="801"/>
      <c r="F54" s="801"/>
      <c r="G54" s="801"/>
      <c r="K54" s="30"/>
    </row>
    <row r="55" spans="1:11">
      <c r="C55" s="14"/>
      <c r="K55" s="30"/>
    </row>
    <row r="56" spans="1:11">
      <c r="A56" s="13" t="s">
        <v>99</v>
      </c>
      <c r="B56" s="13"/>
      <c r="C56" s="13" t="s">
        <v>6</v>
      </c>
      <c r="E56" s="13" t="s">
        <v>133</v>
      </c>
      <c r="F56" s="13" t="s">
        <v>134</v>
      </c>
      <c r="G56" s="13" t="s">
        <v>135</v>
      </c>
      <c r="H56" s="13" t="s">
        <v>99</v>
      </c>
      <c r="K56" s="30"/>
    </row>
    <row r="57" spans="1:11">
      <c r="A57" s="8">
        <v>300</v>
      </c>
      <c r="C57" t="s">
        <v>237</v>
      </c>
      <c r="E57" s="28">
        <v>0.21</v>
      </c>
      <c r="F57" t="s">
        <v>358</v>
      </c>
      <c r="H57" s="8">
        <v>300</v>
      </c>
      <c r="K57" s="30">
        <v>0</v>
      </c>
    </row>
    <row r="58" spans="1:11">
      <c r="A58" s="8">
        <v>301</v>
      </c>
      <c r="C58" t="s">
        <v>239</v>
      </c>
      <c r="E58" s="440">
        <v>8.8400000000000006E-2</v>
      </c>
      <c r="F58" t="s">
        <v>359</v>
      </c>
      <c r="H58" s="8">
        <v>301</v>
      </c>
      <c r="K58" s="30">
        <v>0</v>
      </c>
    </row>
    <row r="59" spans="1:11">
      <c r="A59" s="8">
        <v>302</v>
      </c>
      <c r="C59" s="12" t="s">
        <v>241</v>
      </c>
      <c r="D59" s="12"/>
      <c r="E59" s="363">
        <v>0.27983599999999997</v>
      </c>
      <c r="F59" s="17" t="s">
        <v>383</v>
      </c>
      <c r="H59" s="8">
        <v>302</v>
      </c>
      <c r="K59" s="30">
        <v>0</v>
      </c>
    </row>
    <row r="60" spans="1:11">
      <c r="K60" s="30"/>
    </row>
    <row r="61" spans="1:11">
      <c r="A61" s="8">
        <v>303</v>
      </c>
      <c r="C61" s="12" t="s">
        <v>253</v>
      </c>
      <c r="E61" s="63">
        <v>169386565.13005054</v>
      </c>
      <c r="F61" t="s">
        <v>384</v>
      </c>
      <c r="H61" s="8">
        <v>303</v>
      </c>
      <c r="K61" s="30">
        <v>0</v>
      </c>
    </row>
    <row r="62" spans="1:11">
      <c r="K62" s="30"/>
    </row>
    <row r="63" spans="1:11">
      <c r="A63" s="8">
        <v>304</v>
      </c>
      <c r="C63" t="s">
        <v>360</v>
      </c>
      <c r="H63" s="8">
        <v>304</v>
      </c>
      <c r="K63" s="30">
        <v>0</v>
      </c>
    </row>
    <row r="64" spans="1:11">
      <c r="K64" s="30"/>
    </row>
    <row r="65" spans="1:11">
      <c r="C65" t="s">
        <v>255</v>
      </c>
      <c r="K65" s="30"/>
    </row>
    <row r="66" spans="1:11">
      <c r="A66" s="8">
        <v>305</v>
      </c>
      <c r="C66" s="269" t="s">
        <v>256</v>
      </c>
      <c r="D66" s="269"/>
      <c r="E66" s="22">
        <v>8859279730.6841831</v>
      </c>
      <c r="F66" t="s">
        <v>385</v>
      </c>
      <c r="G66" s="21"/>
      <c r="H66" s="8">
        <v>305</v>
      </c>
      <c r="K66" s="30">
        <v>0</v>
      </c>
    </row>
    <row r="67" spans="1:11">
      <c r="A67" s="8">
        <v>306</v>
      </c>
      <c r="C67" s="18" t="s">
        <v>257</v>
      </c>
      <c r="D67" s="18"/>
      <c r="E67" s="28">
        <v>5.2264807947588816E-2</v>
      </c>
      <c r="F67" t="s">
        <v>386</v>
      </c>
      <c r="H67" s="8">
        <v>306</v>
      </c>
      <c r="K67" s="30">
        <v>0</v>
      </c>
    </row>
    <row r="68" spans="1:11">
      <c r="A68" s="8">
        <v>307</v>
      </c>
      <c r="C68" s="269" t="s">
        <v>258</v>
      </c>
      <c r="D68" s="269"/>
      <c r="E68" s="124">
        <v>0.27983599999999997</v>
      </c>
      <c r="F68" t="s">
        <v>387</v>
      </c>
      <c r="H68" s="8">
        <v>307</v>
      </c>
      <c r="K68" s="30">
        <v>0</v>
      </c>
    </row>
    <row r="69" spans="1:11">
      <c r="A69" s="8">
        <v>308</v>
      </c>
      <c r="C69" s="269" t="s">
        <v>259</v>
      </c>
      <c r="D69" s="269"/>
      <c r="E69" s="22">
        <v>-10388934.203603033</v>
      </c>
      <c r="F69" t="s">
        <v>388</v>
      </c>
      <c r="H69" s="8">
        <v>308</v>
      </c>
      <c r="K69" s="30">
        <v>0</v>
      </c>
    </row>
    <row r="70" spans="1:11">
      <c r="A70" s="8">
        <v>309</v>
      </c>
      <c r="C70" s="269" t="s">
        <v>260</v>
      </c>
      <c r="D70" s="269"/>
      <c r="E70" s="22">
        <v>10016517.341710607</v>
      </c>
      <c r="F70" t="s">
        <v>389</v>
      </c>
      <c r="H70" s="8">
        <v>309</v>
      </c>
      <c r="K70" s="30">
        <v>0</v>
      </c>
    </row>
    <row r="71" spans="1:11">
      <c r="A71" s="8">
        <v>310</v>
      </c>
      <c r="C71" s="269" t="s">
        <v>361</v>
      </c>
      <c r="D71" s="269"/>
      <c r="E71" s="29">
        <v>0</v>
      </c>
      <c r="F71" t="s">
        <v>390</v>
      </c>
      <c r="H71" s="8"/>
      <c r="K71" s="30"/>
    </row>
    <row r="72" spans="1:11">
      <c r="K72" s="30"/>
    </row>
    <row r="73" spans="1:11">
      <c r="C73" s="47" t="s">
        <v>362</v>
      </c>
      <c r="D73" s="219"/>
      <c r="E73" s="219"/>
      <c r="F73" s="219"/>
      <c r="G73" s="219"/>
      <c r="K73" s="30"/>
    </row>
    <row r="74" spans="1:11">
      <c r="C74" s="12" t="s">
        <v>350</v>
      </c>
      <c r="K74" s="30"/>
    </row>
    <row r="75" spans="1:11">
      <c r="C75" s="800" t="s">
        <v>391</v>
      </c>
      <c r="D75" s="800"/>
      <c r="E75" s="800"/>
      <c r="F75" s="800"/>
      <c r="G75" s="800"/>
      <c r="K75" s="30"/>
    </row>
    <row r="76" spans="1:11">
      <c r="C76" s="800"/>
      <c r="D76" s="800"/>
      <c r="E76" s="800"/>
      <c r="F76" s="800"/>
      <c r="G76" s="800"/>
      <c r="K76" s="30"/>
    </row>
    <row r="77" spans="1:11">
      <c r="C77" s="6"/>
      <c r="K77" s="30"/>
    </row>
    <row r="78" spans="1:11">
      <c r="A78" s="13" t="s">
        <v>99</v>
      </c>
      <c r="B78" s="13"/>
      <c r="C78" s="13" t="s">
        <v>6</v>
      </c>
      <c r="E78" s="13" t="s">
        <v>133</v>
      </c>
      <c r="F78" s="13" t="s">
        <v>134</v>
      </c>
      <c r="G78" s="13" t="s">
        <v>135</v>
      </c>
      <c r="H78" s="13" t="s">
        <v>99</v>
      </c>
      <c r="K78" s="30"/>
    </row>
    <row r="79" spans="1:11">
      <c r="C79" s="11" t="s">
        <v>263</v>
      </c>
      <c r="D79" s="11"/>
      <c r="K79" s="30"/>
    </row>
    <row r="80" spans="1:11">
      <c r="A80" s="8">
        <v>400</v>
      </c>
      <c r="C80" t="s">
        <v>264</v>
      </c>
      <c r="E80" s="22">
        <v>616258249.07332659</v>
      </c>
      <c r="F80" t="s">
        <v>392</v>
      </c>
      <c r="H80" s="8">
        <v>400</v>
      </c>
      <c r="K80" s="30">
        <v>0</v>
      </c>
    </row>
    <row r="81" spans="1:11">
      <c r="A81" s="8">
        <v>401</v>
      </c>
      <c r="C81" t="s">
        <v>266</v>
      </c>
      <c r="E81" s="22">
        <v>280685333.28215355</v>
      </c>
      <c r="F81" t="s">
        <v>393</v>
      </c>
      <c r="H81" s="8">
        <v>401</v>
      </c>
      <c r="K81" s="30">
        <v>0</v>
      </c>
    </row>
    <row r="82" spans="1:11">
      <c r="A82" s="8">
        <v>402</v>
      </c>
      <c r="C82" t="s">
        <v>268</v>
      </c>
      <c r="E82" s="22">
        <v>6397845</v>
      </c>
      <c r="F82" t="s">
        <v>394</v>
      </c>
      <c r="H82" s="8">
        <v>402</v>
      </c>
      <c r="K82" s="30">
        <v>0</v>
      </c>
    </row>
    <row r="83" spans="1:11">
      <c r="A83" s="8">
        <v>403</v>
      </c>
      <c r="C83" t="s">
        <v>270</v>
      </c>
      <c r="E83" s="22">
        <v>490683780.6148774</v>
      </c>
      <c r="F83" t="s">
        <v>395</v>
      </c>
      <c r="H83" s="8">
        <v>403</v>
      </c>
      <c r="K83" s="30">
        <v>0</v>
      </c>
    </row>
    <row r="84" spans="1:11">
      <c r="A84" s="8">
        <v>404</v>
      </c>
      <c r="C84" t="s">
        <v>274</v>
      </c>
      <c r="E84" s="22">
        <v>31085124.48372221</v>
      </c>
      <c r="F84" t="s">
        <v>275</v>
      </c>
      <c r="H84" s="8">
        <v>404</v>
      </c>
      <c r="K84" s="30">
        <v>0</v>
      </c>
    </row>
    <row r="85" spans="1:11">
      <c r="A85" s="8">
        <v>405</v>
      </c>
      <c r="C85" t="s">
        <v>276</v>
      </c>
      <c r="E85" s="22">
        <v>624993414.50248349</v>
      </c>
      <c r="F85" t="s">
        <v>396</v>
      </c>
      <c r="H85" s="8">
        <v>405</v>
      </c>
      <c r="K85" s="30">
        <v>0</v>
      </c>
    </row>
    <row r="86" spans="1:11">
      <c r="A86" s="8">
        <v>406</v>
      </c>
      <c r="C86" t="s">
        <v>277</v>
      </c>
      <c r="E86" s="22">
        <v>118716287.06286834</v>
      </c>
      <c r="F86" t="s">
        <v>397</v>
      </c>
      <c r="H86" s="8">
        <v>406</v>
      </c>
      <c r="K86" s="30">
        <v>0</v>
      </c>
    </row>
    <row r="87" spans="1:11">
      <c r="A87" s="8">
        <v>407</v>
      </c>
      <c r="C87" t="s">
        <v>278</v>
      </c>
      <c r="E87" s="22">
        <v>169386565.13005054</v>
      </c>
      <c r="F87" t="s">
        <v>398</v>
      </c>
      <c r="H87" s="8">
        <v>407</v>
      </c>
      <c r="K87" s="30">
        <v>0</v>
      </c>
    </row>
    <row r="88" spans="1:11">
      <c r="A88" s="8">
        <v>408</v>
      </c>
      <c r="C88" t="s">
        <v>54</v>
      </c>
      <c r="E88" s="22">
        <v>-10515263</v>
      </c>
      <c r="F88" t="s">
        <v>399</v>
      </c>
      <c r="G88" t="s">
        <v>280</v>
      </c>
      <c r="H88" s="8">
        <v>408</v>
      </c>
      <c r="K88" s="30">
        <v>0</v>
      </c>
    </row>
    <row r="89" spans="1:11">
      <c r="A89" s="8">
        <v>409</v>
      </c>
      <c r="C89" t="s">
        <v>281</v>
      </c>
      <c r="E89" s="22">
        <v>-15280364.979115846</v>
      </c>
      <c r="F89" t="s">
        <v>400</v>
      </c>
      <c r="G89" t="s">
        <v>280</v>
      </c>
      <c r="H89" s="8">
        <v>409</v>
      </c>
      <c r="K89" s="30">
        <v>-429532.22044822574</v>
      </c>
    </row>
    <row r="90" spans="1:11">
      <c r="A90" s="8">
        <v>410</v>
      </c>
      <c r="C90" t="s">
        <v>283</v>
      </c>
      <c r="E90" s="23">
        <v>0</v>
      </c>
      <c r="F90" t="s">
        <v>401</v>
      </c>
      <c r="H90" s="8">
        <v>410</v>
      </c>
      <c r="K90" s="30">
        <v>0</v>
      </c>
    </row>
    <row r="91" spans="1:11">
      <c r="A91" s="8">
        <v>411</v>
      </c>
      <c r="C91" s="12" t="s">
        <v>286</v>
      </c>
      <c r="D91" s="12"/>
      <c r="E91" s="24">
        <v>2312410971.1703663</v>
      </c>
      <c r="F91" t="s">
        <v>402</v>
      </c>
      <c r="H91" s="8">
        <v>411</v>
      </c>
      <c r="K91" s="30">
        <v>-429532.22044849396</v>
      </c>
    </row>
    <row r="92" spans="1:11">
      <c r="H92" s="8"/>
      <c r="K92" s="30"/>
    </row>
    <row r="93" spans="1:11">
      <c r="C93" s="11" t="s">
        <v>287</v>
      </c>
      <c r="D93" s="11"/>
      <c r="K93" s="30"/>
    </row>
    <row r="94" spans="1:11">
      <c r="A94" s="8">
        <v>412</v>
      </c>
      <c r="C94" t="s">
        <v>288</v>
      </c>
      <c r="E94" s="19">
        <v>7.2509999999999996E-3</v>
      </c>
      <c r="F94" t="s">
        <v>403</v>
      </c>
      <c r="H94" s="8">
        <v>412</v>
      </c>
      <c r="K94" s="30">
        <v>0</v>
      </c>
    </row>
    <row r="95" spans="1:11">
      <c r="A95" s="8">
        <v>413</v>
      </c>
      <c r="C95" t="s">
        <v>290</v>
      </c>
      <c r="D95" s="12"/>
      <c r="E95" s="39">
        <v>2.7184430899152115E-4</v>
      </c>
      <c r="F95" t="s">
        <v>404</v>
      </c>
      <c r="H95" s="8">
        <v>413</v>
      </c>
      <c r="K95" s="30">
        <v>0</v>
      </c>
    </row>
    <row r="96" spans="1:11">
      <c r="A96" s="8">
        <v>414</v>
      </c>
      <c r="C96" s="12" t="s">
        <v>292</v>
      </c>
      <c r="D96" s="12"/>
      <c r="E96" s="24">
        <v>17395907.714518547</v>
      </c>
      <c r="F96" s="17" t="s">
        <v>405</v>
      </c>
      <c r="H96" s="8">
        <v>414</v>
      </c>
      <c r="K96" s="30">
        <v>-3231.3040201291442</v>
      </c>
    </row>
    <row r="97" spans="1:11">
      <c r="C97" s="12"/>
      <c r="D97" s="12"/>
      <c r="E97" s="22"/>
      <c r="H97" s="8"/>
      <c r="K97" s="30"/>
    </row>
    <row r="98" spans="1:11">
      <c r="A98" s="8">
        <v>415</v>
      </c>
      <c r="C98" s="12" t="s">
        <v>363</v>
      </c>
      <c r="D98" s="12"/>
      <c r="E98" s="24">
        <v>2329806878.8848848</v>
      </c>
      <c r="F98" t="s">
        <v>406</v>
      </c>
      <c r="H98" s="8">
        <v>415</v>
      </c>
      <c r="K98" s="30">
        <v>-432763.52446842194</v>
      </c>
    </row>
    <row r="99" spans="1:11">
      <c r="C99" s="12"/>
      <c r="D99" s="12"/>
      <c r="E99" s="22"/>
      <c r="H99" s="8"/>
      <c r="K99" s="30"/>
    </row>
    <row r="100" spans="1:11">
      <c r="C100" s="11" t="s">
        <v>14</v>
      </c>
      <c r="D100" s="12"/>
      <c r="E100" s="22"/>
      <c r="H100" s="8"/>
      <c r="K100" s="30"/>
    </row>
    <row r="101" spans="1:11">
      <c r="A101" s="8">
        <v>416</v>
      </c>
      <c r="C101" t="s">
        <v>364</v>
      </c>
      <c r="E101" s="46">
        <v>0</v>
      </c>
      <c r="F101" s="49"/>
      <c r="H101" s="8">
        <v>416</v>
      </c>
      <c r="K101" s="30">
        <v>0</v>
      </c>
    </row>
    <row r="102" spans="1:11">
      <c r="E102" s="30"/>
      <c r="H102" s="8"/>
      <c r="K102" s="30"/>
    </row>
    <row r="103" spans="1:11">
      <c r="A103" s="8">
        <v>417</v>
      </c>
      <c r="C103" s="12" t="s">
        <v>365</v>
      </c>
      <c r="E103" s="24">
        <v>2329806878.8848848</v>
      </c>
      <c r="F103" t="s">
        <v>407</v>
      </c>
      <c r="H103" s="8">
        <v>417</v>
      </c>
      <c r="K103" s="30">
        <v>-432763.52446842194</v>
      </c>
    </row>
    <row r="104" spans="1:11">
      <c r="C104" s="12"/>
      <c r="D104" s="12"/>
      <c r="E104" s="22"/>
      <c r="H104" s="8"/>
      <c r="K104" s="30"/>
    </row>
    <row r="105" spans="1:11">
      <c r="C105" s="11" t="s">
        <v>366</v>
      </c>
      <c r="D105" s="12"/>
      <c r="E105" s="22"/>
      <c r="H105" s="8"/>
      <c r="K105" s="30"/>
    </row>
    <row r="106" spans="1:11">
      <c r="A106" s="8">
        <v>418</v>
      </c>
      <c r="C106" t="s">
        <v>298</v>
      </c>
      <c r="D106" s="12"/>
      <c r="E106" s="19">
        <v>3.0104518270731213E-3</v>
      </c>
      <c r="F106" t="s">
        <v>408</v>
      </c>
      <c r="H106" s="8">
        <v>418</v>
      </c>
      <c r="K106" s="30">
        <v>0</v>
      </c>
    </row>
    <row r="107" spans="1:11">
      <c r="A107" s="8">
        <v>419</v>
      </c>
      <c r="C107" t="s">
        <v>300</v>
      </c>
      <c r="E107" s="22">
        <v>7013771.3752665278</v>
      </c>
      <c r="F107" s="17" t="s">
        <v>409</v>
      </c>
      <c r="H107" s="8">
        <v>419</v>
      </c>
      <c r="K107" s="30">
        <v>-1302.8137429263443</v>
      </c>
    </row>
    <row r="108" spans="1:11">
      <c r="A108" s="8">
        <v>420</v>
      </c>
      <c r="C108" t="s">
        <v>301</v>
      </c>
      <c r="E108" s="22">
        <v>4851176.7134412583</v>
      </c>
      <c r="F108" t="s">
        <v>367</v>
      </c>
      <c r="H108" s="8">
        <v>420</v>
      </c>
      <c r="K108" s="30">
        <v>0</v>
      </c>
    </row>
    <row r="109" spans="1:11">
      <c r="H109" s="8"/>
      <c r="K109" s="30"/>
    </row>
    <row r="110" spans="1:11">
      <c r="A110" s="8">
        <v>421</v>
      </c>
      <c r="C110" s="12" t="s">
        <v>12</v>
      </c>
      <c r="D110" s="12"/>
      <c r="E110" s="24">
        <v>2341671826.9735928</v>
      </c>
      <c r="F110" t="s">
        <v>410</v>
      </c>
      <c r="H110" s="8">
        <v>421</v>
      </c>
      <c r="K110" s="30">
        <v>-434066.33821153641</v>
      </c>
    </row>
    <row r="111" spans="1:11">
      <c r="H111" s="8"/>
      <c r="K111" s="30"/>
    </row>
    <row r="112" spans="1:11">
      <c r="C112" s="16"/>
    </row>
    <row r="113" spans="5:5">
      <c r="E113" s="40"/>
    </row>
    <row r="115" spans="5:5">
      <c r="E115" s="34"/>
    </row>
  </sheetData>
  <mergeCells count="3">
    <mergeCell ref="C34:G34"/>
    <mergeCell ref="C54:G54"/>
    <mergeCell ref="C75:G76"/>
  </mergeCells>
  <printOptions horizontalCentered="1"/>
  <pageMargins left="1" right="1" top="1" bottom="1" header="0.5" footer="0.5"/>
  <pageSetup scale="59"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1"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B99A-D506-4311-A30B-726C0EE1620B}">
  <sheetPr>
    <tabColor rgb="FFC00000"/>
    <pageSetUpPr fitToPage="1"/>
  </sheetPr>
  <dimension ref="A1:I115"/>
  <sheetViews>
    <sheetView tabSelected="1" view="pageBreakPreview" topLeftCell="B60" zoomScaleNormal="85" zoomScaleSheetLayoutView="100" zoomScalePageLayoutView="70" workbookViewId="0">
      <selection activeCell="E21" sqref="E21"/>
    </sheetView>
  </sheetViews>
  <sheetFormatPr defaultColWidth="9.1796875" defaultRowHeight="14.5"/>
  <cols>
    <col min="1" max="1" width="4.54296875" style="8" bestFit="1" customWidth="1"/>
    <col min="2" max="2" width="2.1796875" style="8"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s>
  <sheetData>
    <row r="1" spans="1:9">
      <c r="C1" s="14" t="s">
        <v>12</v>
      </c>
      <c r="F1" s="15"/>
      <c r="G1" s="15" t="s">
        <v>368</v>
      </c>
    </row>
    <row r="2" spans="1:9">
      <c r="C2" s="42" t="s">
        <v>130</v>
      </c>
      <c r="F2" s="15"/>
    </row>
    <row r="3" spans="1:9">
      <c r="A3" s="14"/>
      <c r="B3" s="14"/>
      <c r="C3" s="12"/>
      <c r="I3" s="15"/>
    </row>
    <row r="4" spans="1:9">
      <c r="C4" s="47" t="s">
        <v>132</v>
      </c>
      <c r="D4" s="48"/>
      <c r="E4" s="219"/>
      <c r="F4" s="219"/>
      <c r="G4" s="219"/>
    </row>
    <row r="5" spans="1:9">
      <c r="A5" s="13" t="s">
        <v>99</v>
      </c>
      <c r="B5" s="13"/>
      <c r="C5" s="13" t="s">
        <v>6</v>
      </c>
      <c r="E5" s="13" t="s">
        <v>133</v>
      </c>
      <c r="F5" s="13" t="s">
        <v>134</v>
      </c>
      <c r="G5" s="13" t="s">
        <v>135</v>
      </c>
      <c r="H5" s="13" t="s">
        <v>99</v>
      </c>
    </row>
    <row r="6" spans="1:9">
      <c r="A6"/>
      <c r="B6"/>
      <c r="C6" s="11" t="s">
        <v>136</v>
      </c>
      <c r="D6" s="11"/>
    </row>
    <row r="7" spans="1:9">
      <c r="A7" s="8">
        <v>100</v>
      </c>
      <c r="C7" t="s">
        <v>137</v>
      </c>
      <c r="E7" s="22">
        <v>13210826058.73295</v>
      </c>
      <c r="F7" t="s">
        <v>331</v>
      </c>
      <c r="G7" t="s">
        <v>332</v>
      </c>
      <c r="H7" s="8">
        <v>100</v>
      </c>
    </row>
    <row r="8" spans="1:9">
      <c r="A8" s="8">
        <v>101</v>
      </c>
      <c r="C8" t="s">
        <v>140</v>
      </c>
      <c r="E8" s="22">
        <v>1244042247.4960322</v>
      </c>
      <c r="F8" t="s">
        <v>333</v>
      </c>
      <c r="G8" t="s">
        <v>334</v>
      </c>
      <c r="H8" s="8">
        <v>101</v>
      </c>
    </row>
    <row r="9" spans="1:9">
      <c r="A9" s="8">
        <v>102</v>
      </c>
      <c r="C9" t="s">
        <v>142</v>
      </c>
      <c r="E9" s="23">
        <v>11193193.794347662</v>
      </c>
      <c r="F9" t="s">
        <v>335</v>
      </c>
      <c r="G9" t="s">
        <v>334</v>
      </c>
      <c r="H9" s="8">
        <v>102</v>
      </c>
    </row>
    <row r="10" spans="1:9">
      <c r="A10" s="8">
        <v>103</v>
      </c>
      <c r="C10" s="12" t="s">
        <v>144</v>
      </c>
      <c r="D10" s="12"/>
      <c r="E10" s="24">
        <v>14466061500.023331</v>
      </c>
      <c r="F10" s="6" t="s">
        <v>369</v>
      </c>
      <c r="H10" s="8">
        <v>103</v>
      </c>
    </row>
    <row r="11" spans="1:9">
      <c r="E11" s="30"/>
    </row>
    <row r="12" spans="1:9">
      <c r="C12" s="11" t="s">
        <v>145</v>
      </c>
      <c r="D12" s="11"/>
      <c r="E12" s="30"/>
    </row>
    <row r="13" spans="1:9">
      <c r="A13" s="8">
        <v>104</v>
      </c>
      <c r="C13" t="s">
        <v>146</v>
      </c>
      <c r="E13" s="22">
        <v>73920152.935151443</v>
      </c>
      <c r="F13" t="s">
        <v>336</v>
      </c>
      <c r="G13" t="s">
        <v>332</v>
      </c>
      <c r="H13" s="8">
        <v>104</v>
      </c>
    </row>
    <row r="14" spans="1:9">
      <c r="A14" s="8">
        <v>105</v>
      </c>
      <c r="C14" t="s">
        <v>148</v>
      </c>
      <c r="E14" s="22">
        <v>57289466</v>
      </c>
      <c r="F14" t="s">
        <v>337</v>
      </c>
      <c r="G14" t="s">
        <v>332</v>
      </c>
      <c r="H14" s="8">
        <v>105</v>
      </c>
    </row>
    <row r="15" spans="1:9">
      <c r="A15" s="8">
        <v>106</v>
      </c>
      <c r="C15" t="s">
        <v>150</v>
      </c>
      <c r="E15" s="26">
        <v>89694358.235548019</v>
      </c>
      <c r="F15" t="s">
        <v>370</v>
      </c>
      <c r="H15" s="8">
        <v>106</v>
      </c>
    </row>
    <row r="16" spans="1:9">
      <c r="A16" s="8">
        <v>107</v>
      </c>
      <c r="C16" s="12" t="s">
        <v>151</v>
      </c>
      <c r="D16" s="12"/>
      <c r="E16" s="24">
        <v>220903977.17069948</v>
      </c>
      <c r="F16" s="6" t="s">
        <v>371</v>
      </c>
      <c r="H16" s="8">
        <v>107</v>
      </c>
    </row>
    <row r="17" spans="1:9">
      <c r="E17" s="30"/>
    </row>
    <row r="18" spans="1:9">
      <c r="C18" s="11" t="s">
        <v>152</v>
      </c>
      <c r="D18" s="11"/>
      <c r="E18" s="30"/>
    </row>
    <row r="19" spans="1:9">
      <c r="A19" s="8">
        <v>108</v>
      </c>
      <c r="C19" t="s">
        <v>153</v>
      </c>
      <c r="E19" s="22">
        <v>-3145518356.4050956</v>
      </c>
      <c r="F19" t="s">
        <v>338</v>
      </c>
      <c r="G19" t="s">
        <v>339</v>
      </c>
      <c r="H19" s="8">
        <v>108</v>
      </c>
    </row>
    <row r="20" spans="1:9">
      <c r="A20" s="8">
        <v>109</v>
      </c>
      <c r="C20" t="s">
        <v>156</v>
      </c>
      <c r="E20" s="23">
        <v>-425136378.7341904</v>
      </c>
      <c r="F20" t="s">
        <v>340</v>
      </c>
      <c r="G20" t="s">
        <v>341</v>
      </c>
      <c r="H20" s="8">
        <v>109</v>
      </c>
    </row>
    <row r="21" spans="1:9">
      <c r="A21" s="8">
        <v>110</v>
      </c>
      <c r="C21" s="12" t="s">
        <v>158</v>
      </c>
      <c r="D21" s="12"/>
      <c r="E21" s="345">
        <v>-3570654735.139286</v>
      </c>
      <c r="F21" t="s">
        <v>372</v>
      </c>
      <c r="H21" s="8">
        <v>110</v>
      </c>
    </row>
    <row r="22" spans="1:9">
      <c r="E22" s="30"/>
    </row>
    <row r="23" spans="1:9">
      <c r="A23" s="8">
        <v>111</v>
      </c>
      <c r="B23" s="8" t="s">
        <v>159</v>
      </c>
      <c r="C23" s="14" t="s">
        <v>160</v>
      </c>
      <c r="D23" s="14"/>
      <c r="E23" s="29">
        <v>-1440771913.3136179</v>
      </c>
      <c r="F23" t="s">
        <v>342</v>
      </c>
      <c r="G23" t="s">
        <v>343</v>
      </c>
      <c r="H23" s="8">
        <v>111</v>
      </c>
      <c r="I23" t="s">
        <v>159</v>
      </c>
    </row>
    <row r="24" spans="1:9">
      <c r="A24" s="8">
        <v>111</v>
      </c>
      <c r="B24" s="8" t="s">
        <v>162</v>
      </c>
      <c r="C24" s="14" t="s">
        <v>163</v>
      </c>
      <c r="D24" s="14"/>
      <c r="E24" s="29">
        <v>-562843911.73194265</v>
      </c>
      <c r="F24" t="s">
        <v>344</v>
      </c>
      <c r="G24" t="s">
        <v>343</v>
      </c>
      <c r="H24" s="8">
        <v>111</v>
      </c>
      <c r="I24" t="s">
        <v>162</v>
      </c>
    </row>
    <row r="25" spans="1:9">
      <c r="A25" s="8">
        <v>111</v>
      </c>
      <c r="B25" s="8" t="s">
        <v>165</v>
      </c>
      <c r="C25" s="14" t="s">
        <v>345</v>
      </c>
      <c r="D25" s="14"/>
      <c r="E25" s="29">
        <v>-2003615825.0455606</v>
      </c>
      <c r="F25" t="s">
        <v>373</v>
      </c>
      <c r="G25" t="s">
        <v>343</v>
      </c>
      <c r="H25" s="8">
        <v>111</v>
      </c>
      <c r="I25" t="s">
        <v>165</v>
      </c>
    </row>
    <row r="26" spans="1:9">
      <c r="A26" s="8">
        <v>112</v>
      </c>
      <c r="C26" s="12" t="s">
        <v>346</v>
      </c>
      <c r="D26" s="12"/>
      <c r="E26" s="29">
        <v>-209729819.32499999</v>
      </c>
      <c r="F26" t="s">
        <v>347</v>
      </c>
      <c r="G26" t="s">
        <v>341</v>
      </c>
      <c r="H26" s="8">
        <v>112</v>
      </c>
    </row>
    <row r="27" spans="1:9">
      <c r="A27" s="8">
        <v>113</v>
      </c>
      <c r="C27" s="12" t="s">
        <v>44</v>
      </c>
      <c r="D27" s="12"/>
      <c r="E27" s="29">
        <v>-43685367</v>
      </c>
      <c r="F27" t="s">
        <v>348</v>
      </c>
      <c r="G27" t="s">
        <v>334</v>
      </c>
      <c r="H27" s="8">
        <v>113</v>
      </c>
    </row>
    <row r="28" spans="1:9">
      <c r="A28" s="8">
        <v>114</v>
      </c>
      <c r="C28" s="12" t="s">
        <v>170</v>
      </c>
      <c r="D28" s="12"/>
      <c r="E28" s="22">
        <v>0</v>
      </c>
      <c r="F28" t="s">
        <v>349</v>
      </c>
      <c r="G28" t="s">
        <v>334</v>
      </c>
      <c r="H28" s="8">
        <v>114</v>
      </c>
    </row>
    <row r="29" spans="1:9">
      <c r="C29" s="12"/>
      <c r="D29" s="12"/>
      <c r="E29" s="22"/>
      <c r="H29" s="8"/>
    </row>
    <row r="30" spans="1:9">
      <c r="A30" s="8">
        <v>115</v>
      </c>
      <c r="C30" s="12" t="s">
        <v>172</v>
      </c>
      <c r="D30" s="12"/>
      <c r="E30" s="63">
        <v>8859279730.6841831</v>
      </c>
      <c r="F30" t="s">
        <v>374</v>
      </c>
      <c r="H30" s="8">
        <v>115</v>
      </c>
    </row>
    <row r="31" spans="1:9">
      <c r="E31" s="17"/>
      <c r="H31" s="8"/>
    </row>
    <row r="32" spans="1:9">
      <c r="C32" s="47" t="s">
        <v>173</v>
      </c>
      <c r="D32" s="219"/>
      <c r="E32" s="219"/>
      <c r="F32" s="219"/>
      <c r="G32" s="219"/>
    </row>
    <row r="33" spans="1:8">
      <c r="C33" s="12" t="s">
        <v>350</v>
      </c>
    </row>
    <row r="34" spans="1:8">
      <c r="C34" s="801" t="s">
        <v>351</v>
      </c>
      <c r="D34" s="801"/>
      <c r="E34" s="801"/>
      <c r="F34" s="801"/>
      <c r="G34" s="801"/>
    </row>
    <row r="35" spans="1:8">
      <c r="C35" s="14"/>
    </row>
    <row r="36" spans="1:8">
      <c r="A36" s="13" t="s">
        <v>99</v>
      </c>
      <c r="B36" s="13"/>
      <c r="C36" s="13" t="s">
        <v>6</v>
      </c>
      <c r="E36" s="13" t="s">
        <v>133</v>
      </c>
      <c r="F36" s="13" t="s">
        <v>134</v>
      </c>
      <c r="G36" s="13" t="s">
        <v>135</v>
      </c>
      <c r="H36" s="13" t="s">
        <v>99</v>
      </c>
    </row>
    <row r="37" spans="1:8" ht="77.25" customHeight="1">
      <c r="A37" s="8">
        <v>200</v>
      </c>
      <c r="C37" t="s">
        <v>352</v>
      </c>
      <c r="E37" s="45">
        <v>0.1045</v>
      </c>
      <c r="F37" s="49" t="s">
        <v>353</v>
      </c>
      <c r="G37" s="304" t="s">
        <v>354</v>
      </c>
      <c r="H37" s="8">
        <v>200</v>
      </c>
    </row>
    <row r="38" spans="1:8">
      <c r="C38" s="14"/>
    </row>
    <row r="39" spans="1:8">
      <c r="C39" s="11" t="s">
        <v>203</v>
      </c>
      <c r="D39" s="11"/>
    </row>
    <row r="40" spans="1:8" ht="43.5">
      <c r="A40" s="8">
        <v>201</v>
      </c>
      <c r="C40" t="s">
        <v>204</v>
      </c>
      <c r="E40" s="27">
        <v>1.8281944553950786E-2</v>
      </c>
      <c r="F40" s="304" t="s">
        <v>355</v>
      </c>
      <c r="G40" t="s">
        <v>332</v>
      </c>
      <c r="H40" s="8">
        <v>201</v>
      </c>
    </row>
    <row r="41" spans="1:8">
      <c r="A41" s="8">
        <v>202</v>
      </c>
      <c r="C41" t="s">
        <v>205</v>
      </c>
      <c r="E41" s="27">
        <v>2.7605794758881429E-4</v>
      </c>
      <c r="F41" t="s">
        <v>375</v>
      </c>
      <c r="H41" s="8">
        <v>202</v>
      </c>
    </row>
    <row r="42" spans="1:8">
      <c r="A42" s="8">
        <v>203</v>
      </c>
      <c r="C42" t="s">
        <v>206</v>
      </c>
      <c r="E42" s="440">
        <v>5.198875E-2</v>
      </c>
      <c r="F42" t="s">
        <v>376</v>
      </c>
      <c r="H42" s="8">
        <v>203</v>
      </c>
    </row>
    <row r="43" spans="1:8">
      <c r="A43" s="8">
        <v>204</v>
      </c>
      <c r="C43" s="12" t="s">
        <v>207</v>
      </c>
      <c r="D43" s="12"/>
      <c r="E43" s="363">
        <v>7.0546752501539606E-2</v>
      </c>
      <c r="F43" s="6" t="s">
        <v>377</v>
      </c>
      <c r="H43" s="8">
        <v>204</v>
      </c>
    </row>
    <row r="45" spans="1:8">
      <c r="A45" s="8">
        <v>205</v>
      </c>
      <c r="C45" s="12" t="s">
        <v>208</v>
      </c>
      <c r="D45" s="12"/>
      <c r="E45" s="363">
        <v>5.2264807947588816E-2</v>
      </c>
      <c r="F45" t="s">
        <v>378</v>
      </c>
      <c r="G45" s="17"/>
      <c r="H45" s="8">
        <v>205</v>
      </c>
    </row>
    <row r="46" spans="1:8">
      <c r="A46" s="8">
        <v>206</v>
      </c>
      <c r="C46" s="12" t="s">
        <v>209</v>
      </c>
      <c r="D46" s="12"/>
      <c r="E46" s="363">
        <v>0</v>
      </c>
      <c r="F46" t="s">
        <v>379</v>
      </c>
      <c r="G46" s="17"/>
      <c r="H46" s="8"/>
    </row>
    <row r="47" spans="1:8">
      <c r="H47" s="8"/>
    </row>
    <row r="48" spans="1:8">
      <c r="A48" s="8">
        <v>207</v>
      </c>
      <c r="C48" t="s">
        <v>210</v>
      </c>
      <c r="D48" s="12"/>
      <c r="E48" s="22">
        <v>624993414.50248349</v>
      </c>
      <c r="F48" t="s">
        <v>380</v>
      </c>
      <c r="H48" s="8">
        <v>207</v>
      </c>
    </row>
    <row r="49" spans="1:8">
      <c r="A49" s="8">
        <v>208</v>
      </c>
      <c r="C49" t="s">
        <v>211</v>
      </c>
      <c r="D49" s="12"/>
      <c r="E49" s="29">
        <v>0</v>
      </c>
      <c r="F49" t="s">
        <v>381</v>
      </c>
      <c r="H49" s="8"/>
    </row>
    <row r="50" spans="1:8">
      <c r="A50" s="8">
        <v>209</v>
      </c>
      <c r="C50" s="12" t="s">
        <v>212</v>
      </c>
      <c r="D50" s="12"/>
      <c r="E50" s="63">
        <v>624993414.50248349</v>
      </c>
      <c r="F50" t="s">
        <v>382</v>
      </c>
      <c r="H50" s="8"/>
    </row>
    <row r="52" spans="1:8">
      <c r="C52" s="47" t="s">
        <v>356</v>
      </c>
      <c r="D52" s="219"/>
      <c r="E52" s="219"/>
      <c r="F52" s="219"/>
      <c r="G52" s="219"/>
    </row>
    <row r="53" spans="1:8">
      <c r="C53" s="12" t="s">
        <v>350</v>
      </c>
    </row>
    <row r="54" spans="1:8">
      <c r="C54" s="801" t="s">
        <v>357</v>
      </c>
      <c r="D54" s="801"/>
      <c r="E54" s="801"/>
      <c r="F54" s="801"/>
      <c r="G54" s="801"/>
    </row>
    <row r="55" spans="1:8">
      <c r="C55" s="14"/>
    </row>
    <row r="56" spans="1:8">
      <c r="A56" s="13" t="s">
        <v>99</v>
      </c>
      <c r="B56" s="13"/>
      <c r="C56" s="13" t="s">
        <v>6</v>
      </c>
      <c r="E56" s="13" t="s">
        <v>133</v>
      </c>
      <c r="F56" s="13" t="s">
        <v>134</v>
      </c>
      <c r="G56" s="13" t="s">
        <v>135</v>
      </c>
      <c r="H56" s="13" t="s">
        <v>99</v>
      </c>
    </row>
    <row r="57" spans="1:8">
      <c r="A57" s="8">
        <v>300</v>
      </c>
      <c r="C57" t="s">
        <v>237</v>
      </c>
      <c r="E57" s="28">
        <v>0.21</v>
      </c>
      <c r="F57" t="s">
        <v>358</v>
      </c>
      <c r="H57" s="8">
        <v>300</v>
      </c>
    </row>
    <row r="58" spans="1:8">
      <c r="A58" s="8">
        <v>301</v>
      </c>
      <c r="C58" t="s">
        <v>239</v>
      </c>
      <c r="E58" s="440">
        <v>8.8400000000000006E-2</v>
      </c>
      <c r="F58" t="s">
        <v>359</v>
      </c>
      <c r="H58" s="8">
        <v>301</v>
      </c>
    </row>
    <row r="59" spans="1:8">
      <c r="A59" s="8">
        <v>302</v>
      </c>
      <c r="C59" s="12" t="s">
        <v>241</v>
      </c>
      <c r="D59" s="12"/>
      <c r="E59" s="363">
        <v>0.27983599999999997</v>
      </c>
      <c r="F59" s="17" t="s">
        <v>383</v>
      </c>
      <c r="H59" s="8">
        <v>302</v>
      </c>
    </row>
    <row r="61" spans="1:8">
      <c r="A61" s="8">
        <v>303</v>
      </c>
      <c r="C61" s="12" t="s">
        <v>253</v>
      </c>
      <c r="E61" s="63">
        <v>169386565.13005054</v>
      </c>
      <c r="F61" t="s">
        <v>384</v>
      </c>
      <c r="H61" s="8">
        <v>303</v>
      </c>
    </row>
    <row r="63" spans="1:8">
      <c r="A63" s="8">
        <v>304</v>
      </c>
      <c r="C63" t="s">
        <v>360</v>
      </c>
      <c r="H63" s="8">
        <v>304</v>
      </c>
    </row>
    <row r="65" spans="1:8">
      <c r="C65" t="s">
        <v>255</v>
      </c>
    </row>
    <row r="66" spans="1:8">
      <c r="A66" s="8">
        <v>305</v>
      </c>
      <c r="C66" s="269" t="s">
        <v>256</v>
      </c>
      <c r="D66" s="269"/>
      <c r="E66" s="22">
        <v>8859279730.6841831</v>
      </c>
      <c r="F66" t="s">
        <v>385</v>
      </c>
      <c r="G66" s="21"/>
      <c r="H66" s="8">
        <v>305</v>
      </c>
    </row>
    <row r="67" spans="1:8">
      <c r="A67" s="8">
        <v>306</v>
      </c>
      <c r="C67" s="18" t="s">
        <v>257</v>
      </c>
      <c r="D67" s="18"/>
      <c r="E67" s="28">
        <v>5.2264807947588816E-2</v>
      </c>
      <c r="F67" t="s">
        <v>386</v>
      </c>
      <c r="H67" s="8">
        <v>306</v>
      </c>
    </row>
    <row r="68" spans="1:8">
      <c r="A68" s="8">
        <v>307</v>
      </c>
      <c r="C68" s="269" t="s">
        <v>258</v>
      </c>
      <c r="D68" s="269"/>
      <c r="E68" s="124">
        <v>0.27983599999999997</v>
      </c>
      <c r="F68" t="s">
        <v>387</v>
      </c>
      <c r="H68" s="8">
        <v>307</v>
      </c>
    </row>
    <row r="69" spans="1:8">
      <c r="A69" s="8">
        <v>308</v>
      </c>
      <c r="C69" s="269" t="s">
        <v>259</v>
      </c>
      <c r="D69" s="269"/>
      <c r="E69" s="22">
        <v>-10388934.203603033</v>
      </c>
      <c r="F69" t="s">
        <v>388</v>
      </c>
      <c r="H69" s="8">
        <v>308</v>
      </c>
    </row>
    <row r="70" spans="1:8">
      <c r="A70" s="8">
        <v>309</v>
      </c>
      <c r="C70" s="269" t="s">
        <v>260</v>
      </c>
      <c r="D70" s="269"/>
      <c r="E70" s="22">
        <v>10016517.341710607</v>
      </c>
      <c r="F70" t="s">
        <v>389</v>
      </c>
      <c r="H70" s="8">
        <v>309</v>
      </c>
    </row>
    <row r="71" spans="1:8">
      <c r="A71" s="8">
        <v>310</v>
      </c>
      <c r="C71" s="269" t="s">
        <v>361</v>
      </c>
      <c r="D71" s="269"/>
      <c r="E71" s="29">
        <v>0</v>
      </c>
      <c r="F71" t="s">
        <v>390</v>
      </c>
      <c r="H71" s="8"/>
    </row>
    <row r="73" spans="1:8">
      <c r="C73" s="47" t="s">
        <v>362</v>
      </c>
      <c r="D73" s="219"/>
      <c r="E73" s="219"/>
      <c r="F73" s="219"/>
      <c r="G73" s="219"/>
    </row>
    <row r="74" spans="1:8">
      <c r="C74" s="12" t="s">
        <v>350</v>
      </c>
    </row>
    <row r="75" spans="1:8">
      <c r="C75" s="800" t="s">
        <v>391</v>
      </c>
      <c r="D75" s="800"/>
      <c r="E75" s="800"/>
      <c r="F75" s="800"/>
      <c r="G75" s="800"/>
    </row>
    <row r="76" spans="1:8">
      <c r="C76" s="800"/>
      <c r="D76" s="800"/>
      <c r="E76" s="800"/>
      <c r="F76" s="800"/>
      <c r="G76" s="800"/>
    </row>
    <row r="77" spans="1:8">
      <c r="C77" s="6"/>
    </row>
    <row r="78" spans="1:8">
      <c r="A78" s="13" t="s">
        <v>99</v>
      </c>
      <c r="B78" s="13"/>
      <c r="C78" s="13" t="s">
        <v>6</v>
      </c>
      <c r="E78" s="13" t="s">
        <v>133</v>
      </c>
      <c r="F78" s="13" t="s">
        <v>134</v>
      </c>
      <c r="G78" s="13" t="s">
        <v>135</v>
      </c>
      <c r="H78" s="13" t="s">
        <v>99</v>
      </c>
    </row>
    <row r="79" spans="1:8">
      <c r="C79" s="11" t="s">
        <v>263</v>
      </c>
      <c r="D79" s="11"/>
    </row>
    <row r="80" spans="1:8">
      <c r="A80" s="8">
        <v>400</v>
      </c>
      <c r="C80" t="s">
        <v>264</v>
      </c>
      <c r="E80" s="22">
        <v>616258249.07332659</v>
      </c>
      <c r="F80" t="s">
        <v>392</v>
      </c>
      <c r="H80" s="8">
        <v>400</v>
      </c>
    </row>
    <row r="81" spans="1:8">
      <c r="A81" s="8">
        <v>401</v>
      </c>
      <c r="C81" t="s">
        <v>266</v>
      </c>
      <c r="E81" s="22">
        <v>280685333.28215355</v>
      </c>
      <c r="F81" t="s">
        <v>393</v>
      </c>
      <c r="H81" s="8">
        <v>401</v>
      </c>
    </row>
    <row r="82" spans="1:8">
      <c r="A82" s="8">
        <v>402</v>
      </c>
      <c r="C82" t="s">
        <v>268</v>
      </c>
      <c r="E82" s="22">
        <v>6397845</v>
      </c>
      <c r="F82" t="s">
        <v>394</v>
      </c>
      <c r="H82" s="8">
        <v>402</v>
      </c>
    </row>
    <row r="83" spans="1:8">
      <c r="A83" s="8">
        <v>403</v>
      </c>
      <c r="C83" t="s">
        <v>270</v>
      </c>
      <c r="E83" s="22">
        <v>490683780.6148774</v>
      </c>
      <c r="F83" t="s">
        <v>395</v>
      </c>
      <c r="H83" s="8">
        <v>403</v>
      </c>
    </row>
    <row r="84" spans="1:8">
      <c r="A84" s="8">
        <v>404</v>
      </c>
      <c r="C84" t="s">
        <v>274</v>
      </c>
      <c r="E84" s="22">
        <v>31085124.48372221</v>
      </c>
      <c r="F84" t="s">
        <v>275</v>
      </c>
      <c r="H84" s="8">
        <v>404</v>
      </c>
    </row>
    <row r="85" spans="1:8">
      <c r="A85" s="8">
        <v>405</v>
      </c>
      <c r="C85" t="s">
        <v>276</v>
      </c>
      <c r="E85" s="22">
        <v>624993414.50248349</v>
      </c>
      <c r="F85" t="s">
        <v>396</v>
      </c>
      <c r="H85" s="8">
        <v>405</v>
      </c>
    </row>
    <row r="86" spans="1:8">
      <c r="A86" s="8">
        <v>406</v>
      </c>
      <c r="C86" t="s">
        <v>277</v>
      </c>
      <c r="E86" s="22">
        <v>118716287.06286834</v>
      </c>
      <c r="F86" t="s">
        <v>397</v>
      </c>
      <c r="H86" s="8">
        <v>406</v>
      </c>
    </row>
    <row r="87" spans="1:8">
      <c r="A87" s="8">
        <v>407</v>
      </c>
      <c r="C87" t="s">
        <v>278</v>
      </c>
      <c r="E87" s="22">
        <v>169386565.13005054</v>
      </c>
      <c r="F87" t="s">
        <v>398</v>
      </c>
      <c r="H87" s="8">
        <v>407</v>
      </c>
    </row>
    <row r="88" spans="1:8">
      <c r="A88" s="8">
        <v>408</v>
      </c>
      <c r="C88" t="s">
        <v>54</v>
      </c>
      <c r="E88" s="22">
        <v>-10515263</v>
      </c>
      <c r="F88" t="s">
        <v>399</v>
      </c>
      <c r="G88" t="s">
        <v>280</v>
      </c>
      <c r="H88" s="8">
        <v>408</v>
      </c>
    </row>
    <row r="89" spans="1:8">
      <c r="A89" s="8">
        <v>409</v>
      </c>
      <c r="C89" t="s">
        <v>281</v>
      </c>
      <c r="E89" s="22">
        <v>-14850832.75866762</v>
      </c>
      <c r="F89" t="s">
        <v>400</v>
      </c>
      <c r="G89" t="s">
        <v>280</v>
      </c>
      <c r="H89" s="8">
        <v>409</v>
      </c>
    </row>
    <row r="90" spans="1:8">
      <c r="A90" s="8">
        <v>410</v>
      </c>
      <c r="C90" t="s">
        <v>283</v>
      </c>
      <c r="E90" s="23">
        <v>0</v>
      </c>
      <c r="F90" t="s">
        <v>401</v>
      </c>
      <c r="H90" s="8">
        <v>410</v>
      </c>
    </row>
    <row r="91" spans="1:8">
      <c r="A91" s="8">
        <v>411</v>
      </c>
      <c r="C91" s="12" t="s">
        <v>286</v>
      </c>
      <c r="D91" s="12"/>
      <c r="E91" s="24">
        <v>2312840503.3908148</v>
      </c>
      <c r="F91" t="s">
        <v>402</v>
      </c>
      <c r="H91" s="8">
        <v>411</v>
      </c>
    </row>
    <row r="92" spans="1:8">
      <c r="H92" s="8"/>
    </row>
    <row r="93" spans="1:8">
      <c r="C93" s="11" t="s">
        <v>287</v>
      </c>
      <c r="D93" s="11"/>
    </row>
    <row r="94" spans="1:8">
      <c r="A94" s="8">
        <v>412</v>
      </c>
      <c r="C94" t="s">
        <v>288</v>
      </c>
      <c r="E94" s="19">
        <v>7.2509999999999996E-3</v>
      </c>
      <c r="F94" t="s">
        <v>403</v>
      </c>
      <c r="H94" s="8">
        <v>412</v>
      </c>
    </row>
    <row r="95" spans="1:8">
      <c r="A95" s="8">
        <v>413</v>
      </c>
      <c r="C95" t="s">
        <v>290</v>
      </c>
      <c r="D95" s="12"/>
      <c r="E95" s="39">
        <v>2.7184430899152115E-4</v>
      </c>
      <c r="F95" t="s">
        <v>404</v>
      </c>
      <c r="H95" s="8">
        <v>413</v>
      </c>
    </row>
    <row r="96" spans="1:8">
      <c r="A96" s="8">
        <v>414</v>
      </c>
      <c r="C96" s="12" t="s">
        <v>292</v>
      </c>
      <c r="D96" s="12"/>
      <c r="E96" s="24">
        <v>17399139.018538676</v>
      </c>
      <c r="F96" s="17" t="s">
        <v>405</v>
      </c>
      <c r="H96" s="8">
        <v>414</v>
      </c>
    </row>
    <row r="97" spans="1:8">
      <c r="C97" s="12"/>
      <c r="D97" s="12"/>
      <c r="E97" s="22"/>
      <c r="H97" s="8"/>
    </row>
    <row r="98" spans="1:8">
      <c r="A98" s="8">
        <v>415</v>
      </c>
      <c r="C98" s="12" t="s">
        <v>363</v>
      </c>
      <c r="D98" s="12"/>
      <c r="E98" s="24">
        <v>2330239642.4093533</v>
      </c>
      <c r="F98" t="s">
        <v>406</v>
      </c>
      <c r="H98" s="8">
        <v>415</v>
      </c>
    </row>
    <row r="99" spans="1:8">
      <c r="C99" s="12"/>
      <c r="D99" s="12"/>
      <c r="E99" s="22"/>
      <c r="H99" s="8"/>
    </row>
    <row r="100" spans="1:8">
      <c r="C100" s="11" t="s">
        <v>14</v>
      </c>
      <c r="D100" s="12"/>
      <c r="E100" s="22"/>
      <c r="H100" s="8"/>
    </row>
    <row r="101" spans="1:8">
      <c r="A101" s="8">
        <v>416</v>
      </c>
      <c r="C101" t="s">
        <v>364</v>
      </c>
      <c r="E101" s="46">
        <v>0</v>
      </c>
      <c r="F101" s="49"/>
      <c r="H101" s="8">
        <v>416</v>
      </c>
    </row>
    <row r="102" spans="1:8">
      <c r="E102" s="30"/>
      <c r="H102" s="8"/>
    </row>
    <row r="103" spans="1:8">
      <c r="A103" s="8">
        <v>417</v>
      </c>
      <c r="C103" s="12" t="s">
        <v>365</v>
      </c>
      <c r="E103" s="24">
        <v>2330239642.4093533</v>
      </c>
      <c r="F103" t="s">
        <v>407</v>
      </c>
      <c r="H103" s="8">
        <v>417</v>
      </c>
    </row>
    <row r="104" spans="1:8">
      <c r="C104" s="12"/>
      <c r="D104" s="12"/>
      <c r="E104" s="22"/>
      <c r="H104" s="8"/>
    </row>
    <row r="105" spans="1:8">
      <c r="C105" s="11" t="s">
        <v>366</v>
      </c>
      <c r="D105" s="12"/>
      <c r="E105" s="22"/>
      <c r="H105" s="8"/>
    </row>
    <row r="106" spans="1:8">
      <c r="A106" s="8">
        <v>418</v>
      </c>
      <c r="C106" t="s">
        <v>298</v>
      </c>
      <c r="D106" s="12"/>
      <c r="E106" s="19">
        <v>3.0104518270731213E-3</v>
      </c>
      <c r="F106" t="s">
        <v>408</v>
      </c>
      <c r="H106" s="8">
        <v>418</v>
      </c>
    </row>
    <row r="107" spans="1:8">
      <c r="A107" s="8">
        <v>419</v>
      </c>
      <c r="C107" t="s">
        <v>300</v>
      </c>
      <c r="E107" s="22">
        <v>7015074.1890094541</v>
      </c>
      <c r="F107" s="17" t="s">
        <v>409</v>
      </c>
      <c r="H107" s="8">
        <v>419</v>
      </c>
    </row>
    <row r="108" spans="1:8">
      <c r="A108" s="8">
        <v>420</v>
      </c>
      <c r="C108" t="s">
        <v>301</v>
      </c>
      <c r="E108" s="22">
        <v>4851176.7134412583</v>
      </c>
      <c r="F108" t="s">
        <v>367</v>
      </c>
      <c r="H108" s="8">
        <v>420</v>
      </c>
    </row>
    <row r="109" spans="1:8">
      <c r="H109" s="8"/>
    </row>
    <row r="110" spans="1:8">
      <c r="A110" s="8">
        <v>421</v>
      </c>
      <c r="C110" s="12" t="s">
        <v>12</v>
      </c>
      <c r="D110" s="12"/>
      <c r="E110" s="24">
        <v>2342105893.3118043</v>
      </c>
      <c r="F110" t="s">
        <v>410</v>
      </c>
      <c r="H110" s="8">
        <v>421</v>
      </c>
    </row>
    <row r="111" spans="1:8">
      <c r="H111" s="8"/>
    </row>
    <row r="112" spans="1:8">
      <c r="C112" s="16"/>
    </row>
    <row r="113" spans="5:5">
      <c r="E113" s="40"/>
    </row>
    <row r="115" spans="5:5">
      <c r="E115" s="34"/>
    </row>
  </sheetData>
  <mergeCells count="3">
    <mergeCell ref="C34:G34"/>
    <mergeCell ref="C54:G54"/>
    <mergeCell ref="C75:G76"/>
  </mergeCells>
  <printOptions horizontalCentered="1"/>
  <pageMargins left="1" right="1" top="1" bottom="1" header="0.5" footer="0.5"/>
  <pageSetup scale="65"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7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C6EF9-F146-4CCF-A71B-2840726A9D58}">
  <sheetPr>
    <tabColor rgb="FF00B050"/>
    <pageSetUpPr fitToPage="1"/>
  </sheetPr>
  <dimension ref="A1:O162"/>
  <sheetViews>
    <sheetView tabSelected="1" view="pageBreakPreview" topLeftCell="A118" zoomScale="85" zoomScaleSheetLayoutView="85" zoomScalePageLayoutView="70" workbookViewId="0">
      <selection activeCell="E21" sqref="E21"/>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6.81640625" bestFit="1" customWidth="1"/>
    <col min="11" max="11" width="17.54296875" bestFit="1" customWidth="1"/>
    <col min="12" max="12" width="4.7265625" bestFit="1" customWidth="1"/>
    <col min="13" max="13" width="9.1796875" customWidth="1"/>
    <col min="14" max="15" width="11.54296875" customWidth="1"/>
    <col min="16" max="16" width="9.7265625" bestFit="1" customWidth="1"/>
    <col min="17" max="17" width="15" bestFit="1" customWidth="1"/>
    <col min="18" max="18" width="13.453125" bestFit="1" customWidth="1"/>
  </cols>
  <sheetData>
    <row r="1" spans="1:12">
      <c r="B1" s="12" t="s">
        <v>14</v>
      </c>
      <c r="K1" s="15" t="str">
        <f>CONCATENATE("Rate Year: ",'1-BaseTRR'!$G$1)</f>
        <v>Rate Year: 2022</v>
      </c>
    </row>
    <row r="2" spans="1:12">
      <c r="B2" s="42" t="s">
        <v>130</v>
      </c>
      <c r="K2" s="15" t="str">
        <f>CONCATENATE("Prior Year: ",'1-BaseTRR'!$G$2)</f>
        <v>Prior Year: 2020</v>
      </c>
    </row>
    <row r="4" spans="1:12">
      <c r="B4" s="52" t="s">
        <v>411</v>
      </c>
      <c r="C4" s="219"/>
      <c r="D4" s="219"/>
      <c r="E4" s="219"/>
      <c r="F4" s="219"/>
      <c r="G4" s="219"/>
      <c r="H4" s="219"/>
      <c r="I4" s="219"/>
      <c r="J4" s="219"/>
      <c r="K4" s="219"/>
    </row>
    <row r="5" spans="1:12">
      <c r="B5" s="16" t="s">
        <v>350</v>
      </c>
    </row>
    <row r="6" spans="1:12">
      <c r="B6" s="801" t="s">
        <v>412</v>
      </c>
      <c r="C6" s="801"/>
      <c r="D6" s="801"/>
      <c r="E6" s="801"/>
      <c r="F6" s="801"/>
      <c r="G6" s="801"/>
      <c r="H6" s="801"/>
      <c r="I6" s="801"/>
      <c r="J6" s="801"/>
      <c r="K6" s="801"/>
    </row>
    <row r="7" spans="1:12">
      <c r="B7" s="801"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01"/>
      <c r="D7" s="801"/>
      <c r="E7" s="801"/>
      <c r="F7" s="801"/>
      <c r="G7" s="801"/>
      <c r="H7" s="801"/>
      <c r="I7" s="801"/>
      <c r="J7" s="801"/>
      <c r="K7" s="801"/>
    </row>
    <row r="8" spans="1:12">
      <c r="B8" s="304"/>
      <c r="C8" s="304"/>
      <c r="D8" s="304"/>
      <c r="E8" s="304"/>
      <c r="F8" s="304"/>
      <c r="G8" s="304"/>
      <c r="H8" s="304"/>
      <c r="I8" s="304"/>
      <c r="J8" s="304"/>
      <c r="K8" s="304"/>
    </row>
    <row r="9" spans="1:12">
      <c r="B9" s="12"/>
      <c r="C9" s="13" t="s">
        <v>413</v>
      </c>
      <c r="D9" s="13" t="s">
        <v>414</v>
      </c>
      <c r="E9" s="13" t="s">
        <v>415</v>
      </c>
      <c r="F9" s="13" t="s">
        <v>416</v>
      </c>
      <c r="G9" s="13" t="s">
        <v>417</v>
      </c>
      <c r="H9" s="13" t="s">
        <v>418</v>
      </c>
      <c r="I9" s="13" t="s">
        <v>419</v>
      </c>
      <c r="J9" s="13" t="s">
        <v>420</v>
      </c>
    </row>
    <row r="10" spans="1:12">
      <c r="B10" s="12"/>
      <c r="C10" s="35" t="s">
        <v>110</v>
      </c>
      <c r="D10" s="35" t="s">
        <v>202</v>
      </c>
      <c r="E10" s="8"/>
      <c r="F10" s="8"/>
      <c r="G10" s="8"/>
      <c r="H10" s="8"/>
      <c r="I10" s="8"/>
      <c r="J10" s="35" t="s">
        <v>421</v>
      </c>
    </row>
    <row r="11" spans="1:12">
      <c r="B11" s="12"/>
      <c r="C11" s="8" t="s">
        <v>422</v>
      </c>
      <c r="D11" s="8" t="s">
        <v>423</v>
      </c>
      <c r="E11" s="8"/>
      <c r="F11" s="8"/>
      <c r="G11" s="8" t="s">
        <v>424</v>
      </c>
      <c r="H11" s="8" t="s">
        <v>425</v>
      </c>
      <c r="I11" s="8"/>
      <c r="J11" s="35"/>
    </row>
    <row r="12" spans="1:12">
      <c r="A12" s="13" t="s">
        <v>99</v>
      </c>
      <c r="B12" s="13" t="s">
        <v>426</v>
      </c>
      <c r="C12" s="13" t="s">
        <v>427</v>
      </c>
      <c r="D12" s="13" t="s">
        <v>427</v>
      </c>
      <c r="E12" s="13" t="s">
        <v>428</v>
      </c>
      <c r="F12" s="13" t="s">
        <v>429</v>
      </c>
      <c r="G12" s="13" t="s">
        <v>430</v>
      </c>
      <c r="H12" s="13" t="s">
        <v>431</v>
      </c>
      <c r="I12" s="13" t="s">
        <v>423</v>
      </c>
      <c r="J12" s="13" t="s">
        <v>432</v>
      </c>
      <c r="K12" s="13"/>
      <c r="L12" s="13" t="str">
        <f t="shared" ref="L12:L25" si="0">A12</f>
        <v>Line</v>
      </c>
    </row>
    <row r="13" spans="1:12">
      <c r="A13" s="8">
        <v>100</v>
      </c>
      <c r="B13" t="s">
        <v>433</v>
      </c>
      <c r="C13" s="46">
        <f>167787148-2237548.38</f>
        <v>165549599.62</v>
      </c>
      <c r="D13" s="46">
        <v>18557500</v>
      </c>
      <c r="E13" s="46">
        <v>312426972</v>
      </c>
      <c r="F13" s="46">
        <v>366404827.99999994</v>
      </c>
      <c r="G13" s="46">
        <v>72161804</v>
      </c>
      <c r="H13" s="46">
        <v>5724508</v>
      </c>
      <c r="I13" s="46">
        <v>34309335</v>
      </c>
      <c r="J13" s="22">
        <f t="shared" ref="J13:J24" si="1">SUM(C13:I13)</f>
        <v>975134546.61999989</v>
      </c>
      <c r="K13" s="32"/>
      <c r="L13" s="8">
        <f t="shared" si="0"/>
        <v>100</v>
      </c>
    </row>
    <row r="14" spans="1:12">
      <c r="A14" s="8">
        <f>A13+1</f>
        <v>101</v>
      </c>
      <c r="B14" t="s">
        <v>434</v>
      </c>
      <c r="C14" s="46">
        <f>157380817-2237548.38</f>
        <v>155143268.62</v>
      </c>
      <c r="D14" s="46">
        <v>15114267</v>
      </c>
      <c r="E14" s="46">
        <v>266096814</v>
      </c>
      <c r="F14" s="46">
        <v>311129990</v>
      </c>
      <c r="G14" s="46">
        <v>62850872</v>
      </c>
      <c r="H14" s="46">
        <v>5023267</v>
      </c>
      <c r="I14" s="46">
        <v>32270708</v>
      </c>
      <c r="J14" s="22">
        <f t="shared" si="1"/>
        <v>847629186.62</v>
      </c>
      <c r="K14" s="32"/>
      <c r="L14" s="8">
        <f t="shared" si="0"/>
        <v>101</v>
      </c>
    </row>
    <row r="15" spans="1:12">
      <c r="A15" s="8">
        <f t="shared" ref="A15:A25" si="2">A14+1</f>
        <v>102</v>
      </c>
      <c r="B15" t="s">
        <v>435</v>
      </c>
      <c r="C15" s="46">
        <f>171943006-2237548.38</f>
        <v>169705457.62</v>
      </c>
      <c r="D15" s="46">
        <v>16210348</v>
      </c>
      <c r="E15" s="46">
        <v>275123683</v>
      </c>
      <c r="F15" s="46">
        <v>342134050</v>
      </c>
      <c r="G15" s="46">
        <v>68076881</v>
      </c>
      <c r="H15" s="46">
        <v>5444346</v>
      </c>
      <c r="I15" s="46">
        <v>35247499</v>
      </c>
      <c r="J15" s="22">
        <f t="shared" si="1"/>
        <v>911942264.62</v>
      </c>
      <c r="K15" s="32"/>
      <c r="L15" s="8">
        <f t="shared" si="0"/>
        <v>102</v>
      </c>
    </row>
    <row r="16" spans="1:12">
      <c r="A16" s="8">
        <f t="shared" si="2"/>
        <v>103</v>
      </c>
      <c r="B16" t="s">
        <v>436</v>
      </c>
      <c r="C16" s="46">
        <f>170087368-2237548.38</f>
        <v>167849819.62</v>
      </c>
      <c r="D16" s="46">
        <v>15787681</v>
      </c>
      <c r="E16" s="46">
        <v>72026530</v>
      </c>
      <c r="F16" s="46">
        <v>327630349</v>
      </c>
      <c r="G16" s="46">
        <v>66619274</v>
      </c>
      <c r="H16" s="46">
        <v>5366897</v>
      </c>
      <c r="I16" s="46">
        <v>34328045</v>
      </c>
      <c r="J16" s="22">
        <f t="shared" si="1"/>
        <v>689608595.62</v>
      </c>
      <c r="K16" s="32"/>
      <c r="L16" s="8">
        <f t="shared" si="0"/>
        <v>103</v>
      </c>
    </row>
    <row r="17" spans="1:12">
      <c r="A17" s="8">
        <f t="shared" si="2"/>
        <v>104</v>
      </c>
      <c r="B17" t="s">
        <v>437</v>
      </c>
      <c r="C17" s="46">
        <f>161597293-2237548.38</f>
        <v>159359744.62</v>
      </c>
      <c r="D17" s="46">
        <v>15167257</v>
      </c>
      <c r="E17" s="46">
        <v>219974843</v>
      </c>
      <c r="F17" s="46">
        <v>362426507</v>
      </c>
      <c r="G17" s="46">
        <v>64895211</v>
      </c>
      <c r="H17" s="46">
        <v>5421148</v>
      </c>
      <c r="I17" s="46">
        <v>32716136</v>
      </c>
      <c r="J17" s="22">
        <f t="shared" si="1"/>
        <v>859960846.62</v>
      </c>
      <c r="K17" s="32"/>
      <c r="L17" s="8">
        <f t="shared" si="0"/>
        <v>104</v>
      </c>
    </row>
    <row r="18" spans="1:12">
      <c r="A18" s="8">
        <f t="shared" si="2"/>
        <v>105</v>
      </c>
      <c r="B18" t="s">
        <v>438</v>
      </c>
      <c r="C18" s="46">
        <f>200135220-2237548.38</f>
        <v>197897671.62</v>
      </c>
      <c r="D18" s="46">
        <v>18508918</v>
      </c>
      <c r="E18" s="46">
        <v>361556426</v>
      </c>
      <c r="F18" s="46">
        <v>537179912</v>
      </c>
      <c r="G18" s="46">
        <v>82349957</v>
      </c>
      <c r="H18" s="46">
        <v>7158494</v>
      </c>
      <c r="I18" s="46">
        <v>40005639</v>
      </c>
      <c r="J18" s="22">
        <f t="shared" si="1"/>
        <v>1244657017.6199999</v>
      </c>
      <c r="K18" s="32"/>
      <c r="L18" s="8">
        <f t="shared" si="0"/>
        <v>105</v>
      </c>
    </row>
    <row r="19" spans="1:12">
      <c r="A19" s="8">
        <f t="shared" si="2"/>
        <v>106</v>
      </c>
      <c r="B19" t="s">
        <v>439</v>
      </c>
      <c r="C19" s="46">
        <f>224072087-2237548.38</f>
        <v>221834538.62</v>
      </c>
      <c r="D19" s="46">
        <v>20642439</v>
      </c>
      <c r="E19" s="46">
        <v>501080879</v>
      </c>
      <c r="F19" s="46">
        <v>623593004</v>
      </c>
      <c r="G19" s="46">
        <v>91356647</v>
      </c>
      <c r="H19" s="46">
        <v>7991568</v>
      </c>
      <c r="I19" s="46">
        <v>43986504</v>
      </c>
      <c r="J19" s="22">
        <f t="shared" si="1"/>
        <v>1510485579.6199999</v>
      </c>
      <c r="K19" s="32"/>
      <c r="L19" s="8">
        <f t="shared" si="0"/>
        <v>106</v>
      </c>
    </row>
    <row r="20" spans="1:12">
      <c r="A20" s="8">
        <f t="shared" si="2"/>
        <v>107</v>
      </c>
      <c r="B20" t="s">
        <v>440</v>
      </c>
      <c r="C20" s="46">
        <f>214003757-2237548.38</f>
        <v>211766208.62</v>
      </c>
      <c r="D20" s="46">
        <v>19930661</v>
      </c>
      <c r="E20" s="46">
        <v>480536825</v>
      </c>
      <c r="F20" s="46">
        <v>611980701</v>
      </c>
      <c r="G20" s="46">
        <v>87584605</v>
      </c>
      <c r="H20" s="46">
        <v>7697863</v>
      </c>
      <c r="I20" s="46">
        <v>42067006</v>
      </c>
      <c r="J20" s="22">
        <f t="shared" si="1"/>
        <v>1461563869.6199999</v>
      </c>
      <c r="K20" s="32"/>
      <c r="L20" s="8">
        <f t="shared" si="0"/>
        <v>107</v>
      </c>
    </row>
    <row r="21" spans="1:12">
      <c r="A21" s="8">
        <f t="shared" si="2"/>
        <v>108</v>
      </c>
      <c r="B21" t="s">
        <v>441</v>
      </c>
      <c r="C21" s="46">
        <f>220277422-2237548.38</f>
        <v>218039873.62</v>
      </c>
      <c r="D21" s="46">
        <v>20197257</v>
      </c>
      <c r="E21" s="46">
        <v>493481900.91000003</v>
      </c>
      <c r="F21" s="46">
        <v>610446905</v>
      </c>
      <c r="G21" s="46">
        <v>88816201</v>
      </c>
      <c r="H21" s="46">
        <v>7808014</v>
      </c>
      <c r="I21" s="46">
        <v>42661110</v>
      </c>
      <c r="J21" s="22">
        <f t="shared" si="1"/>
        <v>1481451261.53</v>
      </c>
      <c r="K21" s="32"/>
      <c r="L21" s="8">
        <f t="shared" si="0"/>
        <v>108</v>
      </c>
    </row>
    <row r="22" spans="1:12">
      <c r="A22" s="8">
        <f t="shared" si="2"/>
        <v>109</v>
      </c>
      <c r="B22" t="s">
        <v>442</v>
      </c>
      <c r="C22" s="46">
        <f>196958953-2237548.38</f>
        <v>194721404.62</v>
      </c>
      <c r="D22" s="46">
        <v>18475661</v>
      </c>
      <c r="E22" s="46">
        <v>433414466</v>
      </c>
      <c r="F22" s="46">
        <v>526700248</v>
      </c>
      <c r="G22" s="46">
        <v>81507004</v>
      </c>
      <c r="H22" s="46">
        <v>7123114</v>
      </c>
      <c r="I22" s="46">
        <v>41304174</v>
      </c>
      <c r="J22" s="22">
        <f t="shared" si="1"/>
        <v>1303246071.6199999</v>
      </c>
      <c r="K22" s="32"/>
      <c r="L22" s="8">
        <f t="shared" si="0"/>
        <v>109</v>
      </c>
    </row>
    <row r="23" spans="1:12">
      <c r="A23" s="8">
        <f t="shared" si="2"/>
        <v>110</v>
      </c>
      <c r="B23" t="s">
        <v>443</v>
      </c>
      <c r="C23" s="46">
        <f>157500004-2237548.38</f>
        <v>155262455.62</v>
      </c>
      <c r="D23" s="46">
        <v>14759516</v>
      </c>
      <c r="E23" s="46">
        <v>314787779</v>
      </c>
      <c r="F23" s="46">
        <v>387833558.00000006</v>
      </c>
      <c r="G23" s="46">
        <v>65435225</v>
      </c>
      <c r="H23" s="46">
        <v>5703264</v>
      </c>
      <c r="I23" s="46">
        <v>35101828</v>
      </c>
      <c r="J23" s="22">
        <f t="shared" si="1"/>
        <v>978883625.62000012</v>
      </c>
      <c r="K23" s="32"/>
      <c r="L23" s="8">
        <f t="shared" si="0"/>
        <v>110</v>
      </c>
    </row>
    <row r="24" spans="1:12">
      <c r="A24" s="8">
        <f t="shared" si="2"/>
        <v>111</v>
      </c>
      <c r="B24" t="s">
        <v>444</v>
      </c>
      <c r="C24" s="46">
        <f>187124239-2237548.38</f>
        <v>184886690.62</v>
      </c>
      <c r="D24" s="46">
        <v>17315014</v>
      </c>
      <c r="E24" s="46">
        <v>332516159</v>
      </c>
      <c r="F24" s="46">
        <v>415900014</v>
      </c>
      <c r="G24" s="46">
        <v>76743506</v>
      </c>
      <c r="H24" s="46">
        <v>6707850</v>
      </c>
      <c r="I24" s="46">
        <v>40895827.090000004</v>
      </c>
      <c r="J24" s="22">
        <f t="shared" si="1"/>
        <v>1074965060.71</v>
      </c>
      <c r="K24" s="32"/>
      <c r="L24" s="8">
        <f t="shared" si="0"/>
        <v>111</v>
      </c>
    </row>
    <row r="25" spans="1:12">
      <c r="A25" s="8">
        <f t="shared" si="2"/>
        <v>112</v>
      </c>
      <c r="B25" t="s">
        <v>445</v>
      </c>
      <c r="C25" s="24">
        <f>SUM(C13:C24)</f>
        <v>2202016733.4399996</v>
      </c>
      <c r="D25" s="24">
        <f t="shared" ref="D25:J25" si="3">SUM(D13:D24)</f>
        <v>210666519</v>
      </c>
      <c r="E25" s="24">
        <f t="shared" si="3"/>
        <v>4063023276.9099998</v>
      </c>
      <c r="F25" s="24">
        <f t="shared" si="3"/>
        <v>5423360066</v>
      </c>
      <c r="G25" s="24">
        <f t="shared" si="3"/>
        <v>908397187</v>
      </c>
      <c r="H25" s="24">
        <f t="shared" si="3"/>
        <v>77170333</v>
      </c>
      <c r="I25" s="24">
        <f t="shared" si="3"/>
        <v>454893811.09000003</v>
      </c>
      <c r="J25" s="24">
        <f t="shared" si="3"/>
        <v>13339527926.440002</v>
      </c>
      <c r="K25" s="32"/>
      <c r="L25" s="8">
        <f t="shared" si="0"/>
        <v>112</v>
      </c>
    </row>
    <row r="26" spans="1:12">
      <c r="A26" s="8"/>
      <c r="L26" s="8"/>
    </row>
    <row r="27" spans="1:12">
      <c r="A27" s="8">
        <f>A25+1</f>
        <v>113</v>
      </c>
      <c r="I27" s="15" t="s">
        <v>446</v>
      </c>
      <c r="J27" s="46">
        <v>13366378507</v>
      </c>
      <c r="K27" s="30"/>
      <c r="L27" s="8">
        <f>A27</f>
        <v>113</v>
      </c>
    </row>
    <row r="28" spans="1:12">
      <c r="L28" s="8"/>
    </row>
    <row r="29" spans="1:12">
      <c r="B29" s="52" t="s">
        <v>447</v>
      </c>
      <c r="C29" s="219"/>
      <c r="D29" s="219"/>
      <c r="E29" s="219"/>
      <c r="F29" s="219"/>
      <c r="G29" s="219"/>
      <c r="H29" s="219"/>
      <c r="I29" s="219"/>
      <c r="J29" s="219"/>
      <c r="K29" s="219"/>
    </row>
    <row r="30" spans="1:12">
      <c r="B30" s="16" t="s">
        <v>350</v>
      </c>
    </row>
    <row r="31" spans="1:12">
      <c r="B31" s="800"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00"/>
      <c r="D31" s="800"/>
      <c r="E31" s="800"/>
      <c r="F31" s="800"/>
      <c r="G31" s="800"/>
      <c r="H31" s="800"/>
      <c r="I31" s="800"/>
      <c r="J31" s="800"/>
      <c r="K31" s="800"/>
    </row>
    <row r="32" spans="1:12">
      <c r="B32" s="800"/>
      <c r="C32" s="800"/>
      <c r="D32" s="800"/>
      <c r="E32" s="800"/>
      <c r="F32" s="800"/>
      <c r="G32" s="800"/>
      <c r="H32" s="800"/>
      <c r="I32" s="800"/>
      <c r="J32" s="800"/>
      <c r="K32" s="800"/>
    </row>
    <row r="33" spans="1:12">
      <c r="B33" s="801" t="s">
        <v>448</v>
      </c>
      <c r="C33" s="801"/>
      <c r="D33" s="801"/>
      <c r="E33" s="801"/>
      <c r="F33" s="801"/>
      <c r="G33" s="801"/>
      <c r="H33" s="801"/>
      <c r="I33" s="801"/>
      <c r="J33" s="801"/>
      <c r="K33" s="801"/>
    </row>
    <row r="34" spans="1:12">
      <c r="B34" s="12"/>
    </row>
    <row r="35" spans="1:12">
      <c r="A35" s="13" t="s">
        <v>99</v>
      </c>
      <c r="B35" s="13" t="s">
        <v>449</v>
      </c>
      <c r="C35" s="13" t="s">
        <v>450</v>
      </c>
      <c r="L35" s="13" t="str">
        <f>A35</f>
        <v>Line</v>
      </c>
    </row>
    <row r="36" spans="1:12">
      <c r="A36" s="8">
        <v>200</v>
      </c>
      <c r="B36" s="41">
        <f ca="1">'3-True-upTRR Corrected V2'!$E$110</f>
        <v>2339415819.646811</v>
      </c>
      <c r="C36" s="6" t="str">
        <f>"3-True-up TRR, L. "&amp;'3-True-upTRR Corrected V2'!$A$110&amp;""</f>
        <v>3-True-up TRR, L. 421</v>
      </c>
      <c r="L36" s="8">
        <f>A36</f>
        <v>200</v>
      </c>
    </row>
    <row r="37" spans="1:12">
      <c r="A37" s="8"/>
    </row>
    <row r="38" spans="1:12">
      <c r="A38" s="8"/>
      <c r="B38" s="8"/>
      <c r="C38" s="13" t="s">
        <v>413</v>
      </c>
      <c r="D38" s="13" t="s">
        <v>414</v>
      </c>
      <c r="E38" s="13" t="s">
        <v>415</v>
      </c>
      <c r="F38" s="13" t="s">
        <v>416</v>
      </c>
      <c r="G38" s="13" t="s">
        <v>417</v>
      </c>
      <c r="H38" s="13" t="s">
        <v>418</v>
      </c>
      <c r="I38" s="13" t="s">
        <v>419</v>
      </c>
      <c r="J38" s="13" t="s">
        <v>420</v>
      </c>
      <c r="K38" s="13" t="s">
        <v>451</v>
      </c>
    </row>
    <row r="39" spans="1:12">
      <c r="A39" s="8"/>
      <c r="B39" s="8"/>
      <c r="C39" s="8"/>
      <c r="D39" s="371" t="s">
        <v>249</v>
      </c>
      <c r="E39" s="35" t="s">
        <v>285</v>
      </c>
      <c r="F39" s="35" t="str">
        <f>""&amp;D38&amp;" - "&amp;E38&amp;""</f>
        <v>Col 2 - Col 3</v>
      </c>
      <c r="G39" s="35" t="s">
        <v>452</v>
      </c>
      <c r="H39" s="35" t="s">
        <v>453</v>
      </c>
      <c r="I39" s="35" t="s">
        <v>454</v>
      </c>
      <c r="J39" s="35" t="s">
        <v>455</v>
      </c>
      <c r="K39" s="35" t="str">
        <f>""&amp;G38&amp;" + "&amp;J38&amp;""</f>
        <v>Col 5 + Col 8</v>
      </c>
    </row>
    <row r="40" spans="1:12">
      <c r="A40" s="8"/>
      <c r="B40" s="8"/>
      <c r="C40" s="8"/>
      <c r="D40" s="8"/>
      <c r="E40" s="8"/>
      <c r="F40" s="8"/>
      <c r="G40" s="8" t="s">
        <v>456</v>
      </c>
      <c r="H40" s="8"/>
      <c r="I40" s="8"/>
      <c r="J40" s="8"/>
      <c r="K40" s="8" t="s">
        <v>456</v>
      </c>
    </row>
    <row r="41" spans="1:12">
      <c r="A41" s="8"/>
      <c r="B41" s="8"/>
      <c r="C41" s="8"/>
      <c r="D41" s="8" t="s">
        <v>422</v>
      </c>
      <c r="E41" s="8" t="s">
        <v>422</v>
      </c>
      <c r="F41" s="8" t="s">
        <v>422</v>
      </c>
      <c r="G41" s="8" t="s">
        <v>457</v>
      </c>
      <c r="H41" s="8"/>
      <c r="I41" s="8"/>
      <c r="J41" s="8"/>
      <c r="K41" s="8" t="s">
        <v>457</v>
      </c>
    </row>
    <row r="42" spans="1:12">
      <c r="A42" s="8"/>
      <c r="B42" s="8"/>
      <c r="C42" s="8"/>
      <c r="D42" s="8" t="s">
        <v>458</v>
      </c>
      <c r="E42" s="8" t="s">
        <v>427</v>
      </c>
      <c r="F42" s="8" t="s">
        <v>459</v>
      </c>
      <c r="G42" s="8" t="s">
        <v>460</v>
      </c>
      <c r="H42" s="8" t="s">
        <v>458</v>
      </c>
      <c r="I42" s="8" t="s">
        <v>458</v>
      </c>
      <c r="J42" s="8" t="s">
        <v>461</v>
      </c>
      <c r="K42" s="8" t="s">
        <v>460</v>
      </c>
    </row>
    <row r="43" spans="1:12">
      <c r="A43" s="8"/>
      <c r="B43" s="13" t="s">
        <v>426</v>
      </c>
      <c r="C43" s="13" t="s">
        <v>462</v>
      </c>
      <c r="D43" s="13" t="s">
        <v>463</v>
      </c>
      <c r="E43" s="13" t="s">
        <v>464</v>
      </c>
      <c r="F43" s="13" t="s">
        <v>465</v>
      </c>
      <c r="G43" s="13" t="s">
        <v>466</v>
      </c>
      <c r="H43" s="13" t="s">
        <v>467</v>
      </c>
      <c r="I43" s="13" t="s">
        <v>468</v>
      </c>
      <c r="J43" s="13" t="s">
        <v>468</v>
      </c>
      <c r="K43" s="13" t="s">
        <v>469</v>
      </c>
    </row>
    <row r="44" spans="1:12">
      <c r="A44" s="8">
        <f>A36+1</f>
        <v>201</v>
      </c>
      <c r="B44" t="s">
        <v>470</v>
      </c>
      <c r="C44" s="35">
        <f>C45-1</f>
        <v>2019</v>
      </c>
      <c r="D44" s="35" t="s">
        <v>471</v>
      </c>
      <c r="E44" s="35" t="s">
        <v>471</v>
      </c>
      <c r="F44" s="35" t="s">
        <v>471</v>
      </c>
      <c r="G44" s="46">
        <v>-12429137.985378623</v>
      </c>
      <c r="H44" s="35" t="s">
        <v>471</v>
      </c>
      <c r="I44" s="35" t="s">
        <v>471</v>
      </c>
      <c r="J44" s="46">
        <v>-235069.05</v>
      </c>
      <c r="K44" s="22">
        <f>ROUND((G44+J44),2)</f>
        <v>-12664207.039999999</v>
      </c>
      <c r="L44" s="8">
        <f t="shared" ref="L44:L68" si="4">A44</f>
        <v>201</v>
      </c>
    </row>
    <row r="45" spans="1:12">
      <c r="A45" s="8">
        <f>A44+1</f>
        <v>202</v>
      </c>
      <c r="B45" t="s">
        <v>472</v>
      </c>
      <c r="C45" s="35">
        <f>'1-BaseTRR'!$G$2</f>
        <v>2020</v>
      </c>
      <c r="D45" s="22">
        <f ca="1">IF($D$102="No",$B$36*D108,IF(F108="No",0,IF(F108="Yes",D108*$B$36,0)))</f>
        <v>186428180.27716467</v>
      </c>
      <c r="E45" s="22">
        <f t="shared" ref="E45:E56" si="5">IF($D$102="No",C13,IF(F108="No",0,IF(F108="Yes",C13,0)))</f>
        <v>165549599.62</v>
      </c>
      <c r="F45" s="22">
        <f t="shared" ref="F45:F56" ca="1" si="6">D45-E45</f>
        <v>20878580.657164663</v>
      </c>
      <c r="G45" s="22">
        <f ca="1">F45+G44</f>
        <v>8449442.6717860401</v>
      </c>
      <c r="H45" s="709">
        <f>0.0496/12</f>
        <v>4.1333333333333335E-3</v>
      </c>
      <c r="I45" s="22">
        <f ca="1">ROUND((F45/2+K44)*H45,2)</f>
        <v>-9196.32</v>
      </c>
      <c r="J45" s="22">
        <f ca="1">I45+J44</f>
        <v>-244265.37</v>
      </c>
      <c r="K45" s="22">
        <f t="shared" ref="K45:K68" ca="1" si="7">ROUND((G45+J45),2)</f>
        <v>8205177.2999999998</v>
      </c>
      <c r="L45" s="8">
        <f t="shared" si="4"/>
        <v>202</v>
      </c>
    </row>
    <row r="46" spans="1:12">
      <c r="A46" s="8">
        <f t="shared" ref="A46:A68" si="8">A45+1</f>
        <v>203</v>
      </c>
      <c r="B46" t="s">
        <v>473</v>
      </c>
      <c r="C46" s="35">
        <f>'1-BaseTRR'!$G$2</f>
        <v>2020</v>
      </c>
      <c r="D46" s="22">
        <f t="shared" ref="D46:D56" ca="1" si="9">IF($D$102="No",$B$36*D109,IF(F109="No",0,IF(F109="Yes",D109*$B$36,0)))</f>
        <v>168845635.05427989</v>
      </c>
      <c r="E46" s="22">
        <f t="shared" si="5"/>
        <v>155143268.62</v>
      </c>
      <c r="F46" s="22">
        <f t="shared" ca="1" si="6"/>
        <v>13702366.434279889</v>
      </c>
      <c r="G46" s="22">
        <f t="shared" ref="G46:G68" ca="1" si="10">F46+G45</f>
        <v>22151809.106065929</v>
      </c>
      <c r="H46" s="709">
        <f t="shared" ref="H46:H47" si="11">0.0496/12</f>
        <v>4.1333333333333335E-3</v>
      </c>
      <c r="I46" s="22">
        <f t="shared" ref="I46:I68" ca="1" si="12">ROUND((F46/2+K45)*H46,2)</f>
        <v>62232.959999999999</v>
      </c>
      <c r="J46" s="22">
        <f ca="1">I46+J45</f>
        <v>-182032.41</v>
      </c>
      <c r="K46" s="22">
        <f t="shared" ca="1" si="7"/>
        <v>21969776.699999999</v>
      </c>
      <c r="L46" s="8">
        <f t="shared" si="4"/>
        <v>203</v>
      </c>
    </row>
    <row r="47" spans="1:12">
      <c r="A47" s="8">
        <f t="shared" si="8"/>
        <v>204</v>
      </c>
      <c r="B47" t="s">
        <v>474</v>
      </c>
      <c r="C47" s="35">
        <f>'1-BaseTRR'!$G$2</f>
        <v>2020</v>
      </c>
      <c r="D47" s="22">
        <f t="shared" ca="1" si="9"/>
        <v>175655947.99474603</v>
      </c>
      <c r="E47" s="22">
        <f t="shared" si="5"/>
        <v>169705457.62</v>
      </c>
      <c r="F47" s="22">
        <f t="shared" ca="1" si="6"/>
        <v>5950490.3747460246</v>
      </c>
      <c r="G47" s="22">
        <f t="shared" ca="1" si="10"/>
        <v>28102299.480811954</v>
      </c>
      <c r="H47" s="709">
        <f t="shared" si="11"/>
        <v>4.1333333333333335E-3</v>
      </c>
      <c r="I47" s="22">
        <f t="shared" ca="1" si="12"/>
        <v>103106.09</v>
      </c>
      <c r="J47" s="22">
        <f ca="1">I47+J46</f>
        <v>-78926.320000000007</v>
      </c>
      <c r="K47" s="22">
        <f t="shared" ca="1" si="7"/>
        <v>28023373.16</v>
      </c>
      <c r="L47" s="8">
        <f t="shared" si="4"/>
        <v>204</v>
      </c>
    </row>
    <row r="48" spans="1:12">
      <c r="A48" s="8">
        <f t="shared" si="8"/>
        <v>205</v>
      </c>
      <c r="B48" t="s">
        <v>475</v>
      </c>
      <c r="C48" s="35">
        <f>'1-BaseTRR'!$G$2</f>
        <v>2020</v>
      </c>
      <c r="D48" s="22">
        <f t="shared" ca="1" si="9"/>
        <v>162008565.89225104</v>
      </c>
      <c r="E48" s="22">
        <f t="shared" si="5"/>
        <v>167849819.62</v>
      </c>
      <c r="F48" s="22">
        <f t="shared" ca="1" si="6"/>
        <v>-5841253.7277489603</v>
      </c>
      <c r="G48" s="22">
        <f t="shared" ca="1" si="10"/>
        <v>22261045.753062993</v>
      </c>
      <c r="H48" s="709">
        <f>0.0475/12</f>
        <v>3.9583333333333337E-3</v>
      </c>
      <c r="I48" s="22">
        <f t="shared" ca="1" si="12"/>
        <v>99365.04</v>
      </c>
      <c r="J48" s="22">
        <f t="shared" ref="J48:J68" ca="1" si="13">I48+J47</f>
        <v>20438.719999999987</v>
      </c>
      <c r="K48" s="22">
        <f t="shared" ca="1" si="7"/>
        <v>22281484.469999999</v>
      </c>
      <c r="L48" s="8">
        <f t="shared" si="4"/>
        <v>205</v>
      </c>
    </row>
    <row r="49" spans="1:15">
      <c r="A49" s="8">
        <f t="shared" si="8"/>
        <v>206</v>
      </c>
      <c r="B49" t="s">
        <v>437</v>
      </c>
      <c r="C49" s="35">
        <f>'1-BaseTRR'!$G$2</f>
        <v>2020</v>
      </c>
      <c r="D49" s="22">
        <f t="shared" ca="1" si="9"/>
        <v>186470667.23397443</v>
      </c>
      <c r="E49" s="22">
        <f t="shared" si="5"/>
        <v>159359744.62</v>
      </c>
      <c r="F49" s="22">
        <f t="shared" ca="1" si="6"/>
        <v>27110922.613974422</v>
      </c>
      <c r="G49" s="22">
        <f t="shared" ca="1" si="10"/>
        <v>49371968.367037416</v>
      </c>
      <c r="H49" s="709">
        <f t="shared" ref="H49:H50" si="14">0.0475/12</f>
        <v>3.9583333333333337E-3</v>
      </c>
      <c r="I49" s="22">
        <f t="shared" ca="1" si="12"/>
        <v>141854.57999999999</v>
      </c>
      <c r="J49" s="22">
        <f t="shared" ca="1" si="13"/>
        <v>162293.29999999999</v>
      </c>
      <c r="K49" s="22">
        <f t="shared" ca="1" si="7"/>
        <v>49534261.670000002</v>
      </c>
      <c r="L49" s="8">
        <f t="shared" si="4"/>
        <v>206</v>
      </c>
    </row>
    <row r="50" spans="1:15">
      <c r="A50" s="8">
        <f t="shared" si="8"/>
        <v>207</v>
      </c>
      <c r="B50" t="s">
        <v>476</v>
      </c>
      <c r="C50" s="35">
        <f>'1-BaseTRR'!$G$2</f>
        <v>2020</v>
      </c>
      <c r="D50" s="22">
        <f t="shared" ca="1" si="9"/>
        <v>207440662.35953531</v>
      </c>
      <c r="E50" s="22">
        <f t="shared" si="5"/>
        <v>197897671.62</v>
      </c>
      <c r="F50" s="22">
        <f t="shared" ca="1" si="6"/>
        <v>9542990.7395353019</v>
      </c>
      <c r="G50" s="22">
        <f t="shared" ca="1" si="10"/>
        <v>58914959.106572717</v>
      </c>
      <c r="H50" s="709">
        <f t="shared" si="14"/>
        <v>3.9583333333333337E-3</v>
      </c>
      <c r="I50" s="22">
        <f t="shared" ca="1" si="12"/>
        <v>214960.29</v>
      </c>
      <c r="J50" s="22">
        <f t="shared" ca="1" si="13"/>
        <v>377253.58999999997</v>
      </c>
      <c r="K50" s="22">
        <f t="shared" ca="1" si="7"/>
        <v>59292212.700000003</v>
      </c>
      <c r="L50" s="8">
        <f t="shared" si="4"/>
        <v>207</v>
      </c>
    </row>
    <row r="51" spans="1:15">
      <c r="A51" s="8">
        <f t="shared" si="8"/>
        <v>208</v>
      </c>
      <c r="B51" t="s">
        <v>477</v>
      </c>
      <c r="C51" s="35">
        <f>'1-BaseTRR'!$G$2</f>
        <v>2020</v>
      </c>
      <c r="D51" s="22">
        <f t="shared" ca="1" si="9"/>
        <v>228129961.07284796</v>
      </c>
      <c r="E51" s="22">
        <f t="shared" si="5"/>
        <v>221834538.62</v>
      </c>
      <c r="F51" s="22">
        <f t="shared" ca="1" si="6"/>
        <v>6295422.4528479576</v>
      </c>
      <c r="G51" s="22">
        <f t="shared" ca="1" si="10"/>
        <v>65210381.559420675</v>
      </c>
      <c r="H51" s="709">
        <f>0.0343/12</f>
        <v>2.858333333333333E-3</v>
      </c>
      <c r="I51" s="22">
        <f t="shared" ca="1" si="12"/>
        <v>178474.12</v>
      </c>
      <c r="J51" s="22">
        <f t="shared" ca="1" si="13"/>
        <v>555727.71</v>
      </c>
      <c r="K51" s="22">
        <f t="shared" ca="1" si="7"/>
        <v>65766109.270000003</v>
      </c>
      <c r="L51" s="8">
        <f t="shared" si="4"/>
        <v>208</v>
      </c>
    </row>
    <row r="52" spans="1:15">
      <c r="A52" s="8">
        <f t="shared" si="8"/>
        <v>209</v>
      </c>
      <c r="B52" t="s">
        <v>478</v>
      </c>
      <c r="C52" s="35">
        <f>'1-BaseTRR'!$G$2</f>
        <v>2020</v>
      </c>
      <c r="D52" s="22">
        <f t="shared" ca="1" si="9"/>
        <v>244697226.67823443</v>
      </c>
      <c r="E52" s="22">
        <f t="shared" si="5"/>
        <v>211766208.62</v>
      </c>
      <c r="F52" s="22">
        <f t="shared" ca="1" si="6"/>
        <v>32931018.058234423</v>
      </c>
      <c r="G52" s="22">
        <f t="shared" ca="1" si="10"/>
        <v>98141399.617655098</v>
      </c>
      <c r="H52" s="709">
        <f t="shared" ref="H52:H53" si="15">0.0343/12</f>
        <v>2.858333333333333E-3</v>
      </c>
      <c r="I52" s="22">
        <f t="shared" ca="1" si="12"/>
        <v>235045.38</v>
      </c>
      <c r="J52" s="22">
        <f t="shared" ca="1" si="13"/>
        <v>790773.09</v>
      </c>
      <c r="K52" s="22">
        <f t="shared" ca="1" si="7"/>
        <v>98932172.709999993</v>
      </c>
      <c r="L52" s="8">
        <f t="shared" si="4"/>
        <v>209</v>
      </c>
    </row>
    <row r="53" spans="1:15">
      <c r="A53" s="8">
        <f t="shared" si="8"/>
        <v>210</v>
      </c>
      <c r="B53" t="s">
        <v>480</v>
      </c>
      <c r="C53" s="35">
        <f>'1-BaseTRR'!$G$2</f>
        <v>2020</v>
      </c>
      <c r="D53" s="22">
        <f t="shared" ca="1" si="9"/>
        <v>213883802.16980189</v>
      </c>
      <c r="E53" s="22">
        <f t="shared" si="5"/>
        <v>218039873.62</v>
      </c>
      <c r="F53" s="22">
        <f t="shared" ca="1" si="6"/>
        <v>-4156071.4501981139</v>
      </c>
      <c r="G53" s="22">
        <f t="shared" ca="1" si="10"/>
        <v>93985328.167456985</v>
      </c>
      <c r="H53" s="709">
        <f t="shared" si="15"/>
        <v>2.858333333333333E-3</v>
      </c>
      <c r="I53" s="22">
        <f t="shared" ca="1" si="12"/>
        <v>276841.40999999997</v>
      </c>
      <c r="J53" s="22">
        <f t="shared" ca="1" si="13"/>
        <v>1067614.5</v>
      </c>
      <c r="K53" s="22">
        <f t="shared" ca="1" si="7"/>
        <v>95052942.670000002</v>
      </c>
      <c r="L53" s="8">
        <f t="shared" si="4"/>
        <v>210</v>
      </c>
    </row>
    <row r="54" spans="1:15">
      <c r="A54" s="8">
        <f t="shared" si="8"/>
        <v>211</v>
      </c>
      <c r="B54" t="s">
        <v>481</v>
      </c>
      <c r="C54" s="35">
        <f>'1-BaseTRR'!$G$2</f>
        <v>2020</v>
      </c>
      <c r="D54" s="22">
        <f t="shared" ca="1" si="9"/>
        <v>198282255.30243036</v>
      </c>
      <c r="E54" s="22">
        <f t="shared" si="5"/>
        <v>194721404.62</v>
      </c>
      <c r="F54" s="22">
        <f t="shared" ca="1" si="6"/>
        <v>3560850.6824303567</v>
      </c>
      <c r="G54" s="22">
        <f t="shared" ca="1" si="10"/>
        <v>97546178.849887341</v>
      </c>
      <c r="H54" s="709">
        <f>0.0325/12</f>
        <v>2.7083333333333334E-3</v>
      </c>
      <c r="I54" s="22">
        <f t="shared" ca="1" si="12"/>
        <v>262257.03999999998</v>
      </c>
      <c r="J54" s="22">
        <f t="shared" ca="1" si="13"/>
        <v>1329871.54</v>
      </c>
      <c r="K54" s="22">
        <f t="shared" ca="1" si="7"/>
        <v>98876050.390000001</v>
      </c>
      <c r="L54" s="8">
        <f t="shared" si="4"/>
        <v>211</v>
      </c>
    </row>
    <row r="55" spans="1:15">
      <c r="A55" s="8">
        <f t="shared" si="8"/>
        <v>212</v>
      </c>
      <c r="B55" t="s">
        <v>482</v>
      </c>
      <c r="C55" s="35">
        <f>'1-BaseTRR'!$G$2</f>
        <v>2020</v>
      </c>
      <c r="D55" s="22">
        <f t="shared" ca="1" si="9"/>
        <v>177052625.38116023</v>
      </c>
      <c r="E55" s="22">
        <f t="shared" si="5"/>
        <v>155262455.62</v>
      </c>
      <c r="F55" s="22">
        <f t="shared" ca="1" si="6"/>
        <v>21790169.761160225</v>
      </c>
      <c r="G55" s="22">
        <f t="shared" ca="1" si="10"/>
        <v>119336348.61104757</v>
      </c>
      <c r="H55" s="709">
        <f t="shared" ref="H55:H68" si="16">0.0325/12</f>
        <v>2.7083333333333334E-3</v>
      </c>
      <c r="I55" s="22">
        <f t="shared" ca="1" si="12"/>
        <v>297296.82</v>
      </c>
      <c r="J55" s="22">
        <f t="shared" ca="1" si="13"/>
        <v>1627168.36</v>
      </c>
      <c r="K55" s="22">
        <f t="shared" ca="1" si="7"/>
        <v>120963516.97</v>
      </c>
      <c r="L55" s="8">
        <f t="shared" si="4"/>
        <v>212</v>
      </c>
      <c r="N55" s="12"/>
      <c r="O55" s="12"/>
    </row>
    <row r="56" spans="1:15">
      <c r="A56" s="8">
        <f t="shared" si="8"/>
        <v>213</v>
      </c>
      <c r="B56" t="s">
        <v>470</v>
      </c>
      <c r="C56" s="35">
        <f>'1-BaseTRR'!$G$2</f>
        <v>2020</v>
      </c>
      <c r="D56" s="29">
        <f t="shared" ca="1" si="9"/>
        <v>190520290.23038447</v>
      </c>
      <c r="E56" s="29">
        <f t="shared" si="5"/>
        <v>184886690.62</v>
      </c>
      <c r="F56" s="29">
        <f t="shared" ca="1" si="6"/>
        <v>5633599.6103844643</v>
      </c>
      <c r="G56" s="29">
        <f t="shared" ca="1" si="10"/>
        <v>124969948.22143203</v>
      </c>
      <c r="H56" s="709">
        <f t="shared" si="16"/>
        <v>2.7083333333333334E-3</v>
      </c>
      <c r="I56" s="29">
        <f t="shared" ca="1" si="12"/>
        <v>335238.36</v>
      </c>
      <c r="J56" s="29">
        <f t="shared" ca="1" si="13"/>
        <v>1962406.7200000002</v>
      </c>
      <c r="K56" s="29">
        <f t="shared" ca="1" si="7"/>
        <v>126932354.94</v>
      </c>
      <c r="L56" s="8">
        <f t="shared" si="4"/>
        <v>213</v>
      </c>
      <c r="N56" s="30"/>
      <c r="O56" s="30"/>
    </row>
    <row r="57" spans="1:15">
      <c r="A57" s="8">
        <f t="shared" si="8"/>
        <v>214</v>
      </c>
      <c r="B57" t="s">
        <v>472</v>
      </c>
      <c r="C57" s="35">
        <f>C56+1</f>
        <v>2021</v>
      </c>
      <c r="D57" s="35" t="s">
        <v>471</v>
      </c>
      <c r="E57" s="35" t="s">
        <v>471</v>
      </c>
      <c r="F57" s="20">
        <v>0</v>
      </c>
      <c r="G57" s="22">
        <f ca="1">F57+G56</f>
        <v>124969948.22143203</v>
      </c>
      <c r="H57" s="709">
        <f t="shared" si="16"/>
        <v>2.7083333333333334E-3</v>
      </c>
      <c r="I57" s="22">
        <f t="shared" ca="1" si="12"/>
        <v>343775.13</v>
      </c>
      <c r="J57" s="22">
        <f t="shared" ca="1" si="13"/>
        <v>2306181.85</v>
      </c>
      <c r="K57" s="22">
        <f t="shared" ca="1" si="7"/>
        <v>127276130.06999999</v>
      </c>
      <c r="L57" s="8">
        <f t="shared" si="4"/>
        <v>214</v>
      </c>
    </row>
    <row r="58" spans="1:15">
      <c r="A58" s="8">
        <f t="shared" si="8"/>
        <v>215</v>
      </c>
      <c r="B58" t="s">
        <v>473</v>
      </c>
      <c r="C58" s="35">
        <f>$C$57</f>
        <v>2021</v>
      </c>
      <c r="D58" s="35" t="s">
        <v>471</v>
      </c>
      <c r="E58" s="35" t="s">
        <v>471</v>
      </c>
      <c r="F58" s="20">
        <v>0</v>
      </c>
      <c r="G58" s="22">
        <f t="shared" ca="1" si="10"/>
        <v>124969948.22143203</v>
      </c>
      <c r="H58" s="709">
        <f t="shared" si="16"/>
        <v>2.7083333333333334E-3</v>
      </c>
      <c r="I58" s="22">
        <f t="shared" ca="1" si="12"/>
        <v>344706.19</v>
      </c>
      <c r="J58" s="22">
        <f t="shared" ca="1" si="13"/>
        <v>2650888.04</v>
      </c>
      <c r="K58" s="22">
        <f t="shared" ca="1" si="7"/>
        <v>127620836.26000001</v>
      </c>
      <c r="L58" s="8">
        <f t="shared" si="4"/>
        <v>215</v>
      </c>
    </row>
    <row r="59" spans="1:15">
      <c r="A59" s="8">
        <f t="shared" si="8"/>
        <v>216</v>
      </c>
      <c r="B59" t="s">
        <v>474</v>
      </c>
      <c r="C59" s="35">
        <f t="shared" ref="C59:C68" si="17">$C$57</f>
        <v>2021</v>
      </c>
      <c r="D59" s="35" t="s">
        <v>471</v>
      </c>
      <c r="E59" s="35" t="s">
        <v>471</v>
      </c>
      <c r="F59" s="20">
        <v>0</v>
      </c>
      <c r="G59" s="22">
        <f t="shared" ca="1" si="10"/>
        <v>124969948.22143203</v>
      </c>
      <c r="H59" s="709">
        <f t="shared" si="16"/>
        <v>2.7083333333333334E-3</v>
      </c>
      <c r="I59" s="22">
        <f t="shared" ca="1" si="12"/>
        <v>345639.76</v>
      </c>
      <c r="J59" s="22">
        <f t="shared" ca="1" si="13"/>
        <v>2996527.8</v>
      </c>
      <c r="K59" s="22">
        <f t="shared" ca="1" si="7"/>
        <v>127966476.02</v>
      </c>
      <c r="L59" s="8">
        <f t="shared" si="4"/>
        <v>216</v>
      </c>
    </row>
    <row r="60" spans="1:15">
      <c r="A60" s="8">
        <f t="shared" si="8"/>
        <v>217</v>
      </c>
      <c r="B60" t="s">
        <v>475</v>
      </c>
      <c r="C60" s="35">
        <f t="shared" si="17"/>
        <v>2021</v>
      </c>
      <c r="D60" s="35" t="s">
        <v>471</v>
      </c>
      <c r="E60" s="35" t="s">
        <v>471</v>
      </c>
      <c r="F60" s="20">
        <v>0</v>
      </c>
      <c r="G60" s="22">
        <f t="shared" ca="1" si="10"/>
        <v>124969948.22143203</v>
      </c>
      <c r="H60" s="709">
        <f t="shared" si="16"/>
        <v>2.7083333333333334E-3</v>
      </c>
      <c r="I60" s="22">
        <f t="shared" ca="1" si="12"/>
        <v>346575.87</v>
      </c>
      <c r="J60" s="22">
        <f t="shared" ca="1" si="13"/>
        <v>3343103.67</v>
      </c>
      <c r="K60" s="22">
        <f t="shared" ca="1" si="7"/>
        <v>128313051.89</v>
      </c>
      <c r="L60" s="8">
        <f t="shared" si="4"/>
        <v>217</v>
      </c>
    </row>
    <row r="61" spans="1:15">
      <c r="A61" s="8">
        <f t="shared" si="8"/>
        <v>218</v>
      </c>
      <c r="B61" t="s">
        <v>437</v>
      </c>
      <c r="C61" s="35">
        <f t="shared" si="17"/>
        <v>2021</v>
      </c>
      <c r="D61" s="35" t="s">
        <v>471</v>
      </c>
      <c r="E61" s="35" t="s">
        <v>471</v>
      </c>
      <c r="F61" s="20">
        <v>0</v>
      </c>
      <c r="G61" s="22">
        <f t="shared" ca="1" si="10"/>
        <v>124969948.22143203</v>
      </c>
      <c r="H61" s="709">
        <f t="shared" si="16"/>
        <v>2.7083333333333334E-3</v>
      </c>
      <c r="I61" s="22">
        <f t="shared" ca="1" si="12"/>
        <v>347514.52</v>
      </c>
      <c r="J61" s="22">
        <f t="shared" ca="1" si="13"/>
        <v>3690618.19</v>
      </c>
      <c r="K61" s="22">
        <f t="shared" ca="1" si="7"/>
        <v>128660566.41</v>
      </c>
      <c r="L61" s="8">
        <f t="shared" si="4"/>
        <v>218</v>
      </c>
    </row>
    <row r="62" spans="1:15">
      <c r="A62" s="8">
        <f t="shared" si="8"/>
        <v>219</v>
      </c>
      <c r="B62" t="s">
        <v>476</v>
      </c>
      <c r="C62" s="35">
        <f t="shared" si="17"/>
        <v>2021</v>
      </c>
      <c r="D62" s="35" t="s">
        <v>471</v>
      </c>
      <c r="E62" s="35" t="s">
        <v>471</v>
      </c>
      <c r="F62" s="20">
        <v>0</v>
      </c>
      <c r="G62" s="22">
        <f t="shared" ca="1" si="10"/>
        <v>124969948.22143203</v>
      </c>
      <c r="H62" s="709">
        <f t="shared" si="16"/>
        <v>2.7083333333333334E-3</v>
      </c>
      <c r="I62" s="22">
        <f t="shared" ca="1" si="12"/>
        <v>348455.7</v>
      </c>
      <c r="J62" s="22">
        <f t="shared" ca="1" si="13"/>
        <v>4039073.89</v>
      </c>
      <c r="K62" s="22">
        <f t="shared" ca="1" si="7"/>
        <v>129009022.11</v>
      </c>
      <c r="L62" s="8">
        <f t="shared" si="4"/>
        <v>219</v>
      </c>
    </row>
    <row r="63" spans="1:15">
      <c r="A63" s="8">
        <f t="shared" si="8"/>
        <v>220</v>
      </c>
      <c r="B63" t="s">
        <v>477</v>
      </c>
      <c r="C63" s="35">
        <f t="shared" si="17"/>
        <v>2021</v>
      </c>
      <c r="D63" s="35" t="s">
        <v>471</v>
      </c>
      <c r="E63" s="35" t="s">
        <v>471</v>
      </c>
      <c r="F63" s="20">
        <v>0</v>
      </c>
      <c r="G63" s="22">
        <f t="shared" ca="1" si="10"/>
        <v>124969948.22143203</v>
      </c>
      <c r="H63" s="709">
        <f t="shared" si="16"/>
        <v>2.7083333333333334E-3</v>
      </c>
      <c r="I63" s="22">
        <f t="shared" ca="1" si="12"/>
        <v>349399.43</v>
      </c>
      <c r="J63" s="22">
        <f t="shared" ca="1" si="13"/>
        <v>4388473.32</v>
      </c>
      <c r="K63" s="22">
        <f t="shared" ca="1" si="7"/>
        <v>129358421.54000001</v>
      </c>
      <c r="L63" s="8">
        <f t="shared" si="4"/>
        <v>220</v>
      </c>
    </row>
    <row r="64" spans="1:15">
      <c r="A64" s="8">
        <f t="shared" si="8"/>
        <v>221</v>
      </c>
      <c r="B64" t="s">
        <v>478</v>
      </c>
      <c r="C64" s="35">
        <f t="shared" si="17"/>
        <v>2021</v>
      </c>
      <c r="D64" s="35" t="s">
        <v>471</v>
      </c>
      <c r="E64" s="35" t="s">
        <v>471</v>
      </c>
      <c r="F64" s="20">
        <v>0</v>
      </c>
      <c r="G64" s="22">
        <f t="shared" ca="1" si="10"/>
        <v>124969948.22143203</v>
      </c>
      <c r="H64" s="709">
        <f t="shared" si="16"/>
        <v>2.7083333333333334E-3</v>
      </c>
      <c r="I64" s="22">
        <f t="shared" ca="1" si="12"/>
        <v>350345.73</v>
      </c>
      <c r="J64" s="22">
        <f t="shared" ca="1" si="13"/>
        <v>4738819.0500000007</v>
      </c>
      <c r="K64" s="22">
        <f t="shared" ca="1" si="7"/>
        <v>129708767.27</v>
      </c>
      <c r="L64" s="8">
        <f t="shared" si="4"/>
        <v>221</v>
      </c>
    </row>
    <row r="65" spans="1:13" ht="15" customHeight="1">
      <c r="A65" s="8">
        <f t="shared" si="8"/>
        <v>222</v>
      </c>
      <c r="B65" t="s">
        <v>480</v>
      </c>
      <c r="C65" s="35">
        <f t="shared" si="17"/>
        <v>2021</v>
      </c>
      <c r="D65" s="35" t="s">
        <v>471</v>
      </c>
      <c r="E65" s="35" t="s">
        <v>471</v>
      </c>
      <c r="F65" s="20">
        <v>0</v>
      </c>
      <c r="G65" s="22">
        <f t="shared" ca="1" si="10"/>
        <v>124969948.22143203</v>
      </c>
      <c r="H65" s="709">
        <f t="shared" si="16"/>
        <v>2.7083333333333334E-3</v>
      </c>
      <c r="I65" s="22">
        <f t="shared" ca="1" si="12"/>
        <v>351294.58</v>
      </c>
      <c r="J65" s="22">
        <f t="shared" ca="1" si="13"/>
        <v>5090113.6300000008</v>
      </c>
      <c r="K65" s="22">
        <f t="shared" ca="1" si="7"/>
        <v>130060061.84999999</v>
      </c>
      <c r="L65" s="8">
        <f t="shared" si="4"/>
        <v>222</v>
      </c>
    </row>
    <row r="66" spans="1:13" ht="15" customHeight="1">
      <c r="A66" s="8">
        <f t="shared" si="8"/>
        <v>223</v>
      </c>
      <c r="B66" t="s">
        <v>481</v>
      </c>
      <c r="C66" s="35">
        <f t="shared" si="17"/>
        <v>2021</v>
      </c>
      <c r="D66" s="35" t="s">
        <v>471</v>
      </c>
      <c r="E66" s="35" t="s">
        <v>471</v>
      </c>
      <c r="F66" s="20">
        <v>0</v>
      </c>
      <c r="G66" s="22">
        <f t="shared" ca="1" si="10"/>
        <v>124969948.22143203</v>
      </c>
      <c r="H66" s="709">
        <f t="shared" si="16"/>
        <v>2.7083333333333334E-3</v>
      </c>
      <c r="I66" s="22">
        <f t="shared" ca="1" si="12"/>
        <v>352246</v>
      </c>
      <c r="J66" s="22">
        <f t="shared" ca="1" si="13"/>
        <v>5442359.6300000008</v>
      </c>
      <c r="K66" s="22">
        <f t="shared" ca="1" si="7"/>
        <v>130412307.84999999</v>
      </c>
      <c r="L66" s="8">
        <f t="shared" si="4"/>
        <v>223</v>
      </c>
    </row>
    <row r="67" spans="1:13">
      <c r="A67" s="8">
        <f t="shared" si="8"/>
        <v>224</v>
      </c>
      <c r="B67" t="s">
        <v>482</v>
      </c>
      <c r="C67" s="35">
        <f t="shared" si="17"/>
        <v>2021</v>
      </c>
      <c r="D67" s="35" t="s">
        <v>471</v>
      </c>
      <c r="E67" s="35" t="s">
        <v>471</v>
      </c>
      <c r="F67" s="20">
        <v>0</v>
      </c>
      <c r="G67" s="22">
        <f t="shared" ca="1" si="10"/>
        <v>124969948.22143203</v>
      </c>
      <c r="H67" s="709">
        <f t="shared" si="16"/>
        <v>2.7083333333333334E-3</v>
      </c>
      <c r="I67" s="22">
        <f t="shared" ca="1" si="12"/>
        <v>353200</v>
      </c>
      <c r="J67" s="22">
        <f t="shared" ca="1" si="13"/>
        <v>5795559.6300000008</v>
      </c>
      <c r="K67" s="22">
        <f t="shared" ca="1" si="7"/>
        <v>130765507.84999999</v>
      </c>
      <c r="L67" s="8">
        <f t="shared" si="4"/>
        <v>224</v>
      </c>
    </row>
    <row r="68" spans="1:13">
      <c r="A68" s="777">
        <f t="shared" si="8"/>
        <v>225</v>
      </c>
      <c r="B68" s="778" t="s">
        <v>470</v>
      </c>
      <c r="C68" s="779">
        <f t="shared" si="17"/>
        <v>2021</v>
      </c>
      <c r="D68" s="779" t="s">
        <v>471</v>
      </c>
      <c r="E68" s="779" t="s">
        <v>471</v>
      </c>
      <c r="F68" s="780">
        <v>0</v>
      </c>
      <c r="G68" s="781">
        <f t="shared" ca="1" si="10"/>
        <v>124969948.22143203</v>
      </c>
      <c r="H68" s="782">
        <f t="shared" si="16"/>
        <v>2.7083333333333334E-3</v>
      </c>
      <c r="I68" s="781">
        <f t="shared" ca="1" si="12"/>
        <v>354156.58</v>
      </c>
      <c r="J68" s="781">
        <f t="shared" ca="1" si="13"/>
        <v>6149716.2100000009</v>
      </c>
      <c r="K68" s="781">
        <f t="shared" ca="1" si="7"/>
        <v>131119664.43000001</v>
      </c>
      <c r="L68" s="777">
        <f t="shared" si="4"/>
        <v>225</v>
      </c>
      <c r="M68" s="778"/>
    </row>
    <row r="69" spans="1:13">
      <c r="A69" s="8"/>
      <c r="D69" s="37"/>
      <c r="E69" s="20"/>
      <c r="G69" s="20"/>
      <c r="I69" s="20"/>
      <c r="J69" s="20"/>
      <c r="K69" s="20"/>
    </row>
    <row r="70" spans="1:13">
      <c r="A70" s="8"/>
      <c r="B70" s="52" t="s">
        <v>484</v>
      </c>
      <c r="C70" s="219"/>
      <c r="D70" s="219"/>
      <c r="E70" s="219"/>
      <c r="F70" s="219"/>
      <c r="G70" s="219"/>
      <c r="H70" s="219"/>
      <c r="I70" s="219"/>
      <c r="J70" s="219"/>
      <c r="K70" s="219"/>
    </row>
    <row r="71" spans="1:13">
      <c r="A71" s="8"/>
      <c r="B71" s="11" t="s">
        <v>485</v>
      </c>
    </row>
    <row r="72" spans="1:13">
      <c r="A72" s="8"/>
      <c r="B72" s="800"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00"/>
      <c r="D72" s="800"/>
      <c r="E72" s="800"/>
      <c r="F72" s="800"/>
      <c r="G72" s="800"/>
      <c r="H72" s="800"/>
      <c r="I72" s="800"/>
      <c r="J72" s="800"/>
      <c r="K72" s="800"/>
    </row>
    <row r="73" spans="1:13">
      <c r="A73" s="8"/>
      <c r="B73" s="800"/>
      <c r="C73" s="800"/>
      <c r="D73" s="800"/>
      <c r="E73" s="800"/>
      <c r="F73" s="800"/>
      <c r="G73" s="800"/>
      <c r="H73" s="800"/>
      <c r="I73" s="800"/>
      <c r="J73" s="800"/>
      <c r="K73" s="800"/>
    </row>
    <row r="74" spans="1:13">
      <c r="C74" s="13" t="s">
        <v>413</v>
      </c>
      <c r="D74" s="13" t="s">
        <v>414</v>
      </c>
      <c r="E74" s="13" t="s">
        <v>415</v>
      </c>
      <c r="F74" s="13" t="s">
        <v>416</v>
      </c>
      <c r="G74" s="13" t="s">
        <v>417</v>
      </c>
      <c r="H74" s="13" t="s">
        <v>418</v>
      </c>
      <c r="I74" s="13" t="s">
        <v>419</v>
      </c>
    </row>
    <row r="75" spans="1:13">
      <c r="C75" s="35"/>
      <c r="D75" s="35" t="s">
        <v>486</v>
      </c>
      <c r="E75" s="35"/>
      <c r="F75" s="35" t="str">
        <f>""&amp;D74&amp;" + "&amp;E74&amp;""</f>
        <v>Col 2 + Col 3</v>
      </c>
      <c r="G75" s="35" t="s">
        <v>487</v>
      </c>
      <c r="H75" s="35" t="s">
        <v>488</v>
      </c>
      <c r="I75" s="35" t="str">
        <f>""&amp;F74&amp;" + "&amp;G74&amp;""</f>
        <v>Col 4 + Col 5</v>
      </c>
    </row>
    <row r="76" spans="1:13">
      <c r="B76" s="8"/>
      <c r="C76" s="8"/>
      <c r="D76" s="8" t="s">
        <v>426</v>
      </c>
      <c r="E76" s="59"/>
      <c r="F76" s="8" t="s">
        <v>426</v>
      </c>
      <c r="G76" s="8"/>
      <c r="H76" s="8"/>
      <c r="I76" s="8"/>
    </row>
    <row r="77" spans="1:13">
      <c r="B77" s="8"/>
      <c r="C77" s="8"/>
      <c r="D77" s="8" t="s">
        <v>489</v>
      </c>
      <c r="E77" s="59"/>
      <c r="F77" s="8" t="s">
        <v>490</v>
      </c>
      <c r="G77" s="8" t="s">
        <v>491</v>
      </c>
      <c r="H77" s="8" t="s">
        <v>458</v>
      </c>
      <c r="I77" s="8" t="s">
        <v>426</v>
      </c>
    </row>
    <row r="78" spans="1:13">
      <c r="A78" s="13" t="s">
        <v>99</v>
      </c>
      <c r="B78" s="13" t="s">
        <v>426</v>
      </c>
      <c r="C78" s="13" t="s">
        <v>462</v>
      </c>
      <c r="D78" s="13" t="s">
        <v>492</v>
      </c>
      <c r="E78" s="13" t="s">
        <v>493</v>
      </c>
      <c r="F78" s="13" t="s">
        <v>466</v>
      </c>
      <c r="G78" s="13" t="s">
        <v>494</v>
      </c>
      <c r="H78" s="13" t="s">
        <v>467</v>
      </c>
      <c r="I78" s="13" t="s">
        <v>490</v>
      </c>
      <c r="L78" s="13" t="str">
        <f t="shared" ref="L78:L91" si="18">A78</f>
        <v>Line</v>
      </c>
    </row>
    <row r="79" spans="1:13">
      <c r="A79" s="8">
        <v>300</v>
      </c>
      <c r="B79" t="s">
        <v>472</v>
      </c>
      <c r="C79" s="35">
        <f>'1-BaseTRR'!$G$1</f>
        <v>2022</v>
      </c>
      <c r="D79" s="22">
        <f ca="1">K68</f>
        <v>131119664.43000001</v>
      </c>
      <c r="E79" s="22">
        <f>$E$91/12</f>
        <v>-11344507</v>
      </c>
      <c r="F79" s="22">
        <f ca="1">D79+E79</f>
        <v>119775157.43000001</v>
      </c>
      <c r="G79" s="22">
        <f ca="1">ROUND(((D79+F79)/2)*H79,2)</f>
        <v>339753.4</v>
      </c>
      <c r="H79" s="60">
        <f>$H$68</f>
        <v>2.7083333333333334E-3</v>
      </c>
      <c r="I79" s="22">
        <f ca="1">ROUND(G79+F79,2)</f>
        <v>120114910.83</v>
      </c>
      <c r="L79" s="8">
        <f t="shared" si="18"/>
        <v>300</v>
      </c>
    </row>
    <row r="80" spans="1:13">
      <c r="A80" s="8">
        <f>A79+1</f>
        <v>301</v>
      </c>
      <c r="B80" t="s">
        <v>473</v>
      </c>
      <c r="C80" s="35">
        <f>'1-BaseTRR'!$G$1</f>
        <v>2022</v>
      </c>
      <c r="D80" s="22">
        <f ca="1">I79</f>
        <v>120114910.83</v>
      </c>
      <c r="E80" s="22">
        <f t="shared" ref="E80:E90" si="19">$E$91/12</f>
        <v>-11344507</v>
      </c>
      <c r="F80" s="22">
        <f t="shared" ref="F80:F90" ca="1" si="20">D80+E80</f>
        <v>108770403.83</v>
      </c>
      <c r="G80" s="22">
        <f t="shared" ref="G80:G90" ca="1" si="21">ROUND(((D80+F80)/2)*H80,2)</f>
        <v>309948.86</v>
      </c>
      <c r="H80" s="60">
        <f t="shared" ref="H80:H90" si="22">$H$68</f>
        <v>2.7083333333333334E-3</v>
      </c>
      <c r="I80" s="22">
        <f t="shared" ref="I80:I90" ca="1" si="23">ROUND(G80+F80,2)</f>
        <v>109080352.69</v>
      </c>
      <c r="L80" s="8">
        <f t="shared" si="18"/>
        <v>301</v>
      </c>
    </row>
    <row r="81" spans="1:12">
      <c r="A81" s="8">
        <f t="shared" ref="A81:A91" si="24">A80+1</f>
        <v>302</v>
      </c>
      <c r="B81" t="s">
        <v>474</v>
      </c>
      <c r="C81" s="35">
        <f>'1-BaseTRR'!$G$1</f>
        <v>2022</v>
      </c>
      <c r="D81" s="22">
        <f t="shared" ref="D81:D90" ca="1" si="25">I80</f>
        <v>109080352.69</v>
      </c>
      <c r="E81" s="22">
        <f t="shared" si="19"/>
        <v>-11344507</v>
      </c>
      <c r="F81" s="22">
        <f t="shared" ca="1" si="20"/>
        <v>97735845.689999998</v>
      </c>
      <c r="G81" s="22">
        <f t="shared" ca="1" si="21"/>
        <v>280063.59999999998</v>
      </c>
      <c r="H81" s="60">
        <f t="shared" si="22"/>
        <v>2.7083333333333334E-3</v>
      </c>
      <c r="I81" s="22">
        <f t="shared" ca="1" si="23"/>
        <v>98015909.290000007</v>
      </c>
      <c r="L81" s="8">
        <f t="shared" si="18"/>
        <v>302</v>
      </c>
    </row>
    <row r="82" spans="1:12">
      <c r="A82" s="8">
        <f t="shared" si="24"/>
        <v>303</v>
      </c>
      <c r="B82" t="s">
        <v>475</v>
      </c>
      <c r="C82" s="35">
        <f>'1-BaseTRR'!$G$1</f>
        <v>2022</v>
      </c>
      <c r="D82" s="22">
        <f t="shared" ca="1" si="25"/>
        <v>98015909.290000007</v>
      </c>
      <c r="E82" s="22">
        <f t="shared" si="19"/>
        <v>-11344507</v>
      </c>
      <c r="F82" s="22">
        <f t="shared" ca="1" si="20"/>
        <v>86671402.290000007</v>
      </c>
      <c r="G82" s="22">
        <f t="shared" ca="1" si="21"/>
        <v>250097.4</v>
      </c>
      <c r="H82" s="60">
        <f t="shared" si="22"/>
        <v>2.7083333333333334E-3</v>
      </c>
      <c r="I82" s="22">
        <f t="shared" ca="1" si="23"/>
        <v>86921499.689999998</v>
      </c>
      <c r="L82" s="8">
        <f t="shared" si="18"/>
        <v>303</v>
      </c>
    </row>
    <row r="83" spans="1:12">
      <c r="A83" s="8">
        <f t="shared" si="24"/>
        <v>304</v>
      </c>
      <c r="B83" t="s">
        <v>437</v>
      </c>
      <c r="C83" s="35">
        <f>'1-BaseTRR'!$G$1</f>
        <v>2022</v>
      </c>
      <c r="D83" s="22">
        <f t="shared" ca="1" si="25"/>
        <v>86921499.689999998</v>
      </c>
      <c r="E83" s="22">
        <f t="shared" si="19"/>
        <v>-11344507</v>
      </c>
      <c r="F83" s="22">
        <f t="shared" ca="1" si="20"/>
        <v>75576992.689999998</v>
      </c>
      <c r="G83" s="22">
        <f t="shared" ca="1" si="21"/>
        <v>220050.04</v>
      </c>
      <c r="H83" s="60">
        <f t="shared" si="22"/>
        <v>2.7083333333333334E-3</v>
      </c>
      <c r="I83" s="22">
        <f t="shared" ca="1" si="23"/>
        <v>75797042.730000004</v>
      </c>
      <c r="L83" s="8">
        <f t="shared" si="18"/>
        <v>304</v>
      </c>
    </row>
    <row r="84" spans="1:12">
      <c r="A84" s="8">
        <f t="shared" si="24"/>
        <v>305</v>
      </c>
      <c r="B84" t="s">
        <v>476</v>
      </c>
      <c r="C84" s="35">
        <f>'1-BaseTRR'!$G$1</f>
        <v>2022</v>
      </c>
      <c r="D84" s="22">
        <f t="shared" ca="1" si="25"/>
        <v>75797042.730000004</v>
      </c>
      <c r="E84" s="22">
        <f t="shared" si="19"/>
        <v>-11344507</v>
      </c>
      <c r="F84" s="22">
        <f t="shared" ca="1" si="20"/>
        <v>64452535.730000004</v>
      </c>
      <c r="G84" s="22">
        <f t="shared" ca="1" si="21"/>
        <v>189921.3</v>
      </c>
      <c r="H84" s="60">
        <f t="shared" si="22"/>
        <v>2.7083333333333334E-3</v>
      </c>
      <c r="I84" s="22">
        <f t="shared" ca="1" si="23"/>
        <v>64642457.030000001</v>
      </c>
      <c r="L84" s="8">
        <f t="shared" si="18"/>
        <v>305</v>
      </c>
    </row>
    <row r="85" spans="1:12">
      <c r="A85" s="8">
        <f t="shared" si="24"/>
        <v>306</v>
      </c>
      <c r="B85" t="s">
        <v>477</v>
      </c>
      <c r="C85" s="35">
        <f>'1-BaseTRR'!$G$1</f>
        <v>2022</v>
      </c>
      <c r="D85" s="22">
        <f t="shared" ca="1" si="25"/>
        <v>64642457.030000001</v>
      </c>
      <c r="E85" s="22">
        <f t="shared" si="19"/>
        <v>-11344507</v>
      </c>
      <c r="F85" s="22">
        <f t="shared" ca="1" si="20"/>
        <v>53297950.030000001</v>
      </c>
      <c r="G85" s="22">
        <f t="shared" ca="1" si="21"/>
        <v>159710.97</v>
      </c>
      <c r="H85" s="60">
        <f t="shared" si="22"/>
        <v>2.7083333333333334E-3</v>
      </c>
      <c r="I85" s="22">
        <f t="shared" ca="1" si="23"/>
        <v>53457661</v>
      </c>
      <c r="L85" s="8">
        <f t="shared" si="18"/>
        <v>306</v>
      </c>
    </row>
    <row r="86" spans="1:12">
      <c r="A86" s="8">
        <f t="shared" si="24"/>
        <v>307</v>
      </c>
      <c r="B86" t="s">
        <v>478</v>
      </c>
      <c r="C86" s="35">
        <f>'1-BaseTRR'!$G$1</f>
        <v>2022</v>
      </c>
      <c r="D86" s="22">
        <f t="shared" ca="1" si="25"/>
        <v>53457661</v>
      </c>
      <c r="E86" s="22">
        <f t="shared" si="19"/>
        <v>-11344507</v>
      </c>
      <c r="F86" s="22">
        <f t="shared" ca="1" si="20"/>
        <v>42113154</v>
      </c>
      <c r="G86" s="22">
        <f t="shared" ca="1" si="21"/>
        <v>129418.81</v>
      </c>
      <c r="H86" s="60">
        <f t="shared" si="22"/>
        <v>2.7083333333333334E-3</v>
      </c>
      <c r="I86" s="22">
        <f t="shared" ca="1" si="23"/>
        <v>42242572.810000002</v>
      </c>
      <c r="L86" s="8">
        <f t="shared" si="18"/>
        <v>307</v>
      </c>
    </row>
    <row r="87" spans="1:12">
      <c r="A87" s="8">
        <f t="shared" si="24"/>
        <v>308</v>
      </c>
      <c r="B87" t="s">
        <v>480</v>
      </c>
      <c r="C87" s="35">
        <f>'1-BaseTRR'!$G$1</f>
        <v>2022</v>
      </c>
      <c r="D87" s="22">
        <f t="shared" ca="1" si="25"/>
        <v>42242572.810000002</v>
      </c>
      <c r="E87" s="22">
        <f t="shared" si="19"/>
        <v>-11344507</v>
      </c>
      <c r="F87" s="22">
        <f t="shared" ca="1" si="20"/>
        <v>30898065.810000002</v>
      </c>
      <c r="G87" s="22">
        <f t="shared" ca="1" si="21"/>
        <v>99044.61</v>
      </c>
      <c r="H87" s="60">
        <f t="shared" si="22"/>
        <v>2.7083333333333334E-3</v>
      </c>
      <c r="I87" s="22">
        <f t="shared" ca="1" si="23"/>
        <v>30997110.420000002</v>
      </c>
      <c r="L87" s="8">
        <f t="shared" si="18"/>
        <v>308</v>
      </c>
    </row>
    <row r="88" spans="1:12">
      <c r="A88" s="8">
        <f t="shared" si="24"/>
        <v>309</v>
      </c>
      <c r="B88" t="s">
        <v>481</v>
      </c>
      <c r="C88" s="35">
        <f>'1-BaseTRR'!$G$1</f>
        <v>2022</v>
      </c>
      <c r="D88" s="22">
        <f t="shared" ca="1" si="25"/>
        <v>30997110.420000002</v>
      </c>
      <c r="E88" s="22">
        <f t="shared" si="19"/>
        <v>-11344507</v>
      </c>
      <c r="F88" s="22">
        <f t="shared" ca="1" si="20"/>
        <v>19652603.420000002</v>
      </c>
      <c r="G88" s="22">
        <f t="shared" ca="1" si="21"/>
        <v>68588.149999999994</v>
      </c>
      <c r="H88" s="60">
        <f t="shared" si="22"/>
        <v>2.7083333333333334E-3</v>
      </c>
      <c r="I88" s="22">
        <f t="shared" ca="1" si="23"/>
        <v>19721191.57</v>
      </c>
      <c r="L88" s="8">
        <f t="shared" si="18"/>
        <v>309</v>
      </c>
    </row>
    <row r="89" spans="1:12">
      <c r="A89" s="8">
        <f t="shared" si="24"/>
        <v>310</v>
      </c>
      <c r="B89" t="s">
        <v>482</v>
      </c>
      <c r="C89" s="35">
        <f>'1-BaseTRR'!$G$1</f>
        <v>2022</v>
      </c>
      <c r="D89" s="22">
        <f t="shared" ca="1" si="25"/>
        <v>19721191.57</v>
      </c>
      <c r="E89" s="22">
        <f t="shared" si="19"/>
        <v>-11344507</v>
      </c>
      <c r="F89" s="22">
        <f t="shared" ca="1" si="20"/>
        <v>8376684.5700000003</v>
      </c>
      <c r="G89" s="22">
        <f t="shared" ca="1" si="21"/>
        <v>38049.21</v>
      </c>
      <c r="H89" s="60">
        <f t="shared" si="22"/>
        <v>2.7083333333333334E-3</v>
      </c>
      <c r="I89" s="22">
        <f t="shared" ca="1" si="23"/>
        <v>8414733.7799999993</v>
      </c>
      <c r="L89" s="8">
        <f t="shared" si="18"/>
        <v>310</v>
      </c>
    </row>
    <row r="90" spans="1:12">
      <c r="A90" s="8">
        <f t="shared" si="24"/>
        <v>311</v>
      </c>
      <c r="B90" t="s">
        <v>470</v>
      </c>
      <c r="C90" s="35">
        <f>'1-BaseTRR'!$G$1</f>
        <v>2022</v>
      </c>
      <c r="D90" s="22">
        <f t="shared" ca="1" si="25"/>
        <v>8414733.7799999993</v>
      </c>
      <c r="E90" s="22">
        <f t="shared" si="19"/>
        <v>-11344507</v>
      </c>
      <c r="F90" s="22">
        <f t="shared" ca="1" si="20"/>
        <v>-2929773.2200000007</v>
      </c>
      <c r="G90" s="22">
        <f t="shared" ca="1" si="21"/>
        <v>7427.55</v>
      </c>
      <c r="H90" s="60">
        <f t="shared" si="22"/>
        <v>2.7083333333333334E-3</v>
      </c>
      <c r="I90" s="22">
        <f t="shared" ca="1" si="23"/>
        <v>-2922345.67</v>
      </c>
      <c r="L90" s="8">
        <f t="shared" si="18"/>
        <v>311</v>
      </c>
    </row>
    <row r="91" spans="1:12">
      <c r="A91" s="8">
        <f t="shared" si="24"/>
        <v>312</v>
      </c>
      <c r="D91" s="15" t="s">
        <v>495</v>
      </c>
      <c r="E91" s="714">
        <v>-136134084</v>
      </c>
      <c r="G91" s="33"/>
      <c r="H91" s="61"/>
      <c r="L91" s="8">
        <f t="shared" si="18"/>
        <v>312</v>
      </c>
    </row>
    <row r="93" spans="1:12">
      <c r="B93" s="52" t="s">
        <v>496</v>
      </c>
      <c r="C93" s="219"/>
      <c r="D93" s="219"/>
      <c r="E93" s="219"/>
      <c r="F93" s="219"/>
      <c r="G93" s="219"/>
      <c r="H93" s="219"/>
      <c r="I93" s="219"/>
      <c r="J93" s="219"/>
      <c r="K93" s="219"/>
    </row>
    <row r="94" spans="1:12">
      <c r="A94" s="13" t="s">
        <v>99</v>
      </c>
      <c r="B94" s="13" t="s">
        <v>497</v>
      </c>
      <c r="C94" s="13" t="s">
        <v>134</v>
      </c>
      <c r="L94" s="13" t="str">
        <f>A94</f>
        <v>Line</v>
      </c>
    </row>
    <row r="95" spans="1:12">
      <c r="A95" s="8">
        <v>400</v>
      </c>
      <c r="B95" s="22">
        <f>-E91</f>
        <v>136134084</v>
      </c>
      <c r="C95" t="str">
        <f>"Negative Line "&amp;A91&amp;", "&amp;E74&amp;""</f>
        <v>Negative Line 312, Col 3</v>
      </c>
      <c r="L95" s="8">
        <f t="shared" ref="L95" si="26">A95</f>
        <v>400</v>
      </c>
    </row>
    <row r="97" spans="1:12">
      <c r="A97" s="8"/>
      <c r="B97" s="52" t="s">
        <v>498</v>
      </c>
      <c r="C97" s="219"/>
      <c r="D97" s="53"/>
      <c r="E97" s="54"/>
      <c r="F97" s="219"/>
      <c r="G97" s="54"/>
      <c r="H97" s="219"/>
      <c r="I97" s="54"/>
      <c r="J97" s="54"/>
      <c r="K97" s="54"/>
    </row>
    <row r="98" spans="1:12">
      <c r="A98" s="8"/>
      <c r="B98" s="11" t="s">
        <v>485</v>
      </c>
      <c r="D98" s="37"/>
      <c r="E98" s="20"/>
      <c r="G98" s="20"/>
      <c r="I98" s="20"/>
      <c r="J98" s="20"/>
      <c r="K98" s="20"/>
    </row>
    <row r="99" spans="1:12">
      <c r="A99" s="8"/>
      <c r="B99" s="801" t="str">
        <f>"1) On Line "&amp;$A$102&amp;", Input 'No' for a Full Year True-up, otherwise Input 'Yes' for a Partial Year True-up"</f>
        <v>1) On Line 500, Input 'No' for a Full Year True-up, otherwise Input 'Yes' for a Partial Year True-up</v>
      </c>
      <c r="C99" s="801"/>
      <c r="D99" s="801"/>
      <c r="E99" s="801"/>
      <c r="F99" s="801"/>
      <c r="G99" s="801"/>
      <c r="H99" s="801"/>
      <c r="I99" s="801"/>
      <c r="J99" s="801"/>
      <c r="K99" s="801"/>
    </row>
    <row r="100" spans="1:12">
      <c r="A100" s="8"/>
      <c r="B100" s="801"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01"/>
      <c r="D100" s="801"/>
      <c r="E100" s="801"/>
      <c r="F100" s="801"/>
      <c r="G100" s="801"/>
      <c r="H100" s="801"/>
      <c r="I100" s="801"/>
      <c r="J100" s="801"/>
      <c r="K100" s="801"/>
    </row>
    <row r="101" spans="1:12">
      <c r="A101" s="13" t="s">
        <v>99</v>
      </c>
      <c r="D101" s="37"/>
      <c r="E101" s="20"/>
      <c r="G101" s="20"/>
      <c r="I101" s="20"/>
      <c r="J101" s="20"/>
      <c r="K101" s="20"/>
      <c r="L101" s="13" t="str">
        <f>A101</f>
        <v>Line</v>
      </c>
    </row>
    <row r="102" spans="1:12">
      <c r="A102" s="8">
        <v>500</v>
      </c>
      <c r="B102" s="14" t="s">
        <v>499</v>
      </c>
      <c r="D102" s="50" t="s">
        <v>500</v>
      </c>
      <c r="L102" s="8">
        <f>A102</f>
        <v>500</v>
      </c>
    </row>
    <row r="103" spans="1:12">
      <c r="A103" s="8"/>
      <c r="D103" s="37"/>
      <c r="E103" s="20"/>
      <c r="G103" s="20"/>
      <c r="I103" s="20"/>
      <c r="J103" s="20"/>
      <c r="K103" s="20"/>
    </row>
    <row r="104" spans="1:12">
      <c r="A104" s="8"/>
      <c r="C104" s="8" t="s">
        <v>413</v>
      </c>
      <c r="D104" s="8" t="s">
        <v>414</v>
      </c>
      <c r="E104" s="8" t="s">
        <v>415</v>
      </c>
      <c r="F104" s="8" t="s">
        <v>416</v>
      </c>
      <c r="I104" s="20"/>
      <c r="J104" s="20"/>
      <c r="K104" s="20"/>
    </row>
    <row r="105" spans="1:12">
      <c r="A105" s="8"/>
      <c r="C105" s="8"/>
      <c r="D105" s="35" t="s">
        <v>501</v>
      </c>
      <c r="E105" s="35" t="s">
        <v>502</v>
      </c>
      <c r="F105" s="35"/>
      <c r="I105" s="20"/>
      <c r="J105" s="20"/>
      <c r="K105" s="20"/>
    </row>
    <row r="106" spans="1:12">
      <c r="A106" s="8"/>
      <c r="B106" s="12"/>
      <c r="C106" s="8"/>
      <c r="D106" s="55" t="s">
        <v>463</v>
      </c>
      <c r="E106" s="8" t="s">
        <v>503</v>
      </c>
      <c r="F106" s="59" t="s">
        <v>504</v>
      </c>
      <c r="I106" s="20"/>
      <c r="J106" s="20"/>
      <c r="K106" s="20"/>
    </row>
    <row r="107" spans="1:12">
      <c r="B107" s="13" t="s">
        <v>426</v>
      </c>
      <c r="C107" s="13" t="s">
        <v>505</v>
      </c>
      <c r="D107" s="13" t="s">
        <v>506</v>
      </c>
      <c r="E107" s="309" t="s">
        <v>507</v>
      </c>
      <c r="F107" s="56" t="s">
        <v>508</v>
      </c>
      <c r="H107" s="20"/>
      <c r="J107" s="20"/>
      <c r="K107" s="20"/>
    </row>
    <row r="108" spans="1:12">
      <c r="A108" s="8">
        <f>A102+1</f>
        <v>501</v>
      </c>
      <c r="B108" t="s">
        <v>472</v>
      </c>
      <c r="C108" s="35">
        <f t="shared" ref="C108:C119" si="27">C45</f>
        <v>2020</v>
      </c>
      <c r="D108" s="548">
        <f t="shared" ref="D108:D119" si="28">E108/$E$120</f>
        <v>7.969005711233941E-2</v>
      </c>
      <c r="E108" s="747">
        <v>6707443.2715321099</v>
      </c>
      <c r="F108" s="57"/>
      <c r="H108" s="20"/>
      <c r="J108" s="20"/>
      <c r="K108" s="20"/>
      <c r="L108" s="8">
        <f t="shared" ref="L108:L120" si="29">A108</f>
        <v>501</v>
      </c>
    </row>
    <row r="109" spans="1:12">
      <c r="A109" s="8">
        <f>A108+1</f>
        <v>502</v>
      </c>
      <c r="B109" t="s">
        <v>473</v>
      </c>
      <c r="C109" s="35">
        <f t="shared" si="27"/>
        <v>2020</v>
      </c>
      <c r="D109" s="548">
        <f t="shared" si="28"/>
        <v>7.2174272583901328E-2</v>
      </c>
      <c r="E109" s="747">
        <v>6074846.1798461098</v>
      </c>
      <c r="F109" s="57"/>
      <c r="H109" s="20"/>
      <c r="J109" s="20"/>
      <c r="K109" s="20"/>
      <c r="L109" s="8">
        <f t="shared" si="29"/>
        <v>502</v>
      </c>
    </row>
    <row r="110" spans="1:12">
      <c r="A110" s="8">
        <f t="shared" ref="A110:A120" si="30">A109+1</f>
        <v>503</v>
      </c>
      <c r="B110" t="s">
        <v>474</v>
      </c>
      <c r="C110" s="35">
        <f t="shared" si="27"/>
        <v>2020</v>
      </c>
      <c r="D110" s="548">
        <f t="shared" si="28"/>
        <v>7.5085389488930343E-2</v>
      </c>
      <c r="E110" s="747">
        <v>6319872.37514365</v>
      </c>
      <c r="F110" s="57"/>
      <c r="H110" s="20"/>
      <c r="J110" s="20"/>
      <c r="K110" s="20"/>
      <c r="L110" s="8">
        <f t="shared" si="29"/>
        <v>503</v>
      </c>
    </row>
    <row r="111" spans="1:12">
      <c r="A111" s="8">
        <f t="shared" si="30"/>
        <v>504</v>
      </c>
      <c r="B111" t="s">
        <v>475</v>
      </c>
      <c r="C111" s="35">
        <f t="shared" si="27"/>
        <v>2020</v>
      </c>
      <c r="D111" s="548">
        <f t="shared" si="28"/>
        <v>6.9251718540874876E-2</v>
      </c>
      <c r="E111" s="747">
        <v>5828857.3305226304</v>
      </c>
      <c r="F111" s="57"/>
      <c r="H111" s="20"/>
      <c r="J111" s="20"/>
      <c r="K111" s="20"/>
      <c r="L111" s="8">
        <f t="shared" si="29"/>
        <v>504</v>
      </c>
    </row>
    <row r="112" spans="1:12">
      <c r="A112" s="8">
        <f t="shared" si="30"/>
        <v>505</v>
      </c>
      <c r="B112" t="s">
        <v>437</v>
      </c>
      <c r="C112" s="35">
        <f t="shared" si="27"/>
        <v>2020</v>
      </c>
      <c r="D112" s="548">
        <f t="shared" si="28"/>
        <v>7.9708218465465663E-2</v>
      </c>
      <c r="E112" s="747">
        <v>6708971.8969371198</v>
      </c>
      <c r="F112" s="57"/>
      <c r="H112" s="20"/>
      <c r="J112" s="20"/>
      <c r="K112" s="20"/>
      <c r="L112" s="8">
        <f t="shared" si="29"/>
        <v>505</v>
      </c>
    </row>
    <row r="113" spans="1:12">
      <c r="A113" s="8">
        <f t="shared" si="30"/>
        <v>506</v>
      </c>
      <c r="B113" t="s">
        <v>476</v>
      </c>
      <c r="C113" s="35">
        <f t="shared" si="27"/>
        <v>2020</v>
      </c>
      <c r="D113" s="548">
        <f t="shared" si="28"/>
        <v>8.8671992647657349E-2</v>
      </c>
      <c r="E113" s="747">
        <v>7463445.0270180497</v>
      </c>
      <c r="F113" s="57"/>
      <c r="H113" s="20"/>
      <c r="J113" s="20"/>
      <c r="K113" s="20"/>
      <c r="L113" s="8">
        <f t="shared" si="29"/>
        <v>506</v>
      </c>
    </row>
    <row r="114" spans="1:12">
      <c r="A114" s="8">
        <f t="shared" si="30"/>
        <v>507</v>
      </c>
      <c r="B114" t="s">
        <v>477</v>
      </c>
      <c r="C114" s="35">
        <f t="shared" si="27"/>
        <v>2020</v>
      </c>
      <c r="D114" s="548">
        <f t="shared" si="28"/>
        <v>9.7515781143725638E-2</v>
      </c>
      <c r="E114" s="747">
        <v>8207819.0655406201</v>
      </c>
      <c r="F114" s="57"/>
      <c r="H114" s="20"/>
      <c r="J114" s="20"/>
      <c r="K114" s="20"/>
      <c r="L114" s="8">
        <f t="shared" si="29"/>
        <v>507</v>
      </c>
    </row>
    <row r="115" spans="1:12">
      <c r="A115" s="8">
        <f t="shared" si="30"/>
        <v>508</v>
      </c>
      <c r="B115" t="s">
        <v>478</v>
      </c>
      <c r="C115" s="35">
        <f t="shared" si="27"/>
        <v>2020</v>
      </c>
      <c r="D115" s="548">
        <f t="shared" si="28"/>
        <v>0.1045975771486307</v>
      </c>
      <c r="E115" s="747">
        <v>8803887.7180765495</v>
      </c>
      <c r="F115" s="57"/>
      <c r="H115" s="20"/>
      <c r="J115" s="20"/>
      <c r="K115" s="20"/>
      <c r="L115" s="8">
        <f t="shared" si="29"/>
        <v>508</v>
      </c>
    </row>
    <row r="116" spans="1:12">
      <c r="A116" s="8">
        <f t="shared" si="30"/>
        <v>509</v>
      </c>
      <c r="B116" t="s">
        <v>480</v>
      </c>
      <c r="C116" s="35">
        <f t="shared" si="27"/>
        <v>2020</v>
      </c>
      <c r="D116" s="548">
        <f t="shared" si="28"/>
        <v>9.1426158775865934E-2</v>
      </c>
      <c r="E116" s="747">
        <v>7695260.8110034</v>
      </c>
      <c r="F116" s="57"/>
      <c r="H116" s="20"/>
      <c r="J116" s="20"/>
      <c r="K116" s="20"/>
      <c r="L116" s="8">
        <f t="shared" si="29"/>
        <v>509</v>
      </c>
    </row>
    <row r="117" spans="1:12">
      <c r="A117" s="8">
        <f t="shared" si="30"/>
        <v>510</v>
      </c>
      <c r="B117" t="s">
        <v>481</v>
      </c>
      <c r="C117" s="35">
        <f t="shared" si="27"/>
        <v>2020</v>
      </c>
      <c r="D117" s="548">
        <f t="shared" si="28"/>
        <v>8.475716614259951E-2</v>
      </c>
      <c r="E117" s="747">
        <v>7133937.4616821501</v>
      </c>
      <c r="F117" s="57"/>
      <c r="L117" s="8">
        <f t="shared" si="29"/>
        <v>510</v>
      </c>
    </row>
    <row r="118" spans="1:12">
      <c r="A118" s="8">
        <f t="shared" si="30"/>
        <v>511</v>
      </c>
      <c r="B118" t="s">
        <v>482</v>
      </c>
      <c r="C118" s="35">
        <f t="shared" si="27"/>
        <v>2020</v>
      </c>
      <c r="D118" s="548">
        <f t="shared" si="28"/>
        <v>7.5682409212694146E-2</v>
      </c>
      <c r="E118" s="747">
        <v>6370123.0095921401</v>
      </c>
      <c r="F118" s="57"/>
      <c r="L118" s="8">
        <f t="shared" si="29"/>
        <v>511</v>
      </c>
    </row>
    <row r="119" spans="1:12">
      <c r="A119" s="8">
        <f t="shared" si="30"/>
        <v>512</v>
      </c>
      <c r="B119" t="s">
        <v>470</v>
      </c>
      <c r="C119" s="35">
        <f t="shared" si="27"/>
        <v>2020</v>
      </c>
      <c r="D119" s="600">
        <f t="shared" si="28"/>
        <v>8.1439258737314987E-2</v>
      </c>
      <c r="E119" s="748">
        <v>6854672.0613603797</v>
      </c>
      <c r="F119" s="57"/>
      <c r="L119" s="8">
        <f t="shared" si="29"/>
        <v>512</v>
      </c>
    </row>
    <row r="120" spans="1:12">
      <c r="A120" s="8">
        <f t="shared" si="30"/>
        <v>513</v>
      </c>
      <c r="B120" s="15" t="s">
        <v>509</v>
      </c>
      <c r="D120" s="610">
        <f>SUM(D108:D119)</f>
        <v>0.99999999999999978</v>
      </c>
      <c r="E120" s="21">
        <f>SUM(E108:E119)</f>
        <v>84169136.208254918</v>
      </c>
      <c r="L120" s="8">
        <f t="shared" si="29"/>
        <v>513</v>
      </c>
    </row>
    <row r="122" spans="1:12">
      <c r="B122" s="52" t="s">
        <v>510</v>
      </c>
      <c r="C122" s="219"/>
      <c r="D122" s="219"/>
      <c r="E122" s="219"/>
      <c r="F122" s="219"/>
      <c r="G122" s="219"/>
      <c r="H122" s="219"/>
      <c r="I122" s="219"/>
      <c r="J122" s="219"/>
      <c r="K122" s="219"/>
    </row>
    <row r="123" spans="1:12">
      <c r="B123" s="11" t="s">
        <v>485</v>
      </c>
    </row>
    <row r="124" spans="1:12">
      <c r="B124" s="805" t="s">
        <v>511</v>
      </c>
      <c r="C124" s="805"/>
      <c r="D124" s="805"/>
      <c r="E124" s="805"/>
      <c r="F124" s="805"/>
      <c r="G124" s="805"/>
      <c r="H124" s="805"/>
      <c r="I124" s="805"/>
      <c r="J124" s="805"/>
      <c r="K124" s="805"/>
    </row>
    <row r="125" spans="1:12">
      <c r="B125" s="805"/>
      <c r="C125" s="805"/>
      <c r="D125" s="805"/>
      <c r="E125" s="805"/>
      <c r="F125" s="805"/>
      <c r="G125" s="805"/>
      <c r="H125" s="805"/>
      <c r="I125" s="805"/>
      <c r="J125" s="805"/>
      <c r="K125" s="805"/>
    </row>
    <row r="126" spans="1:12">
      <c r="B126" s="806" t="s">
        <v>512</v>
      </c>
      <c r="C126" s="806"/>
      <c r="D126" s="806"/>
      <c r="E126" s="806"/>
      <c r="F126" s="806"/>
      <c r="G126" s="806"/>
      <c r="H126" s="806"/>
      <c r="I126" s="806"/>
      <c r="J126" s="806"/>
      <c r="K126" s="806"/>
    </row>
    <row r="129" spans="2:11">
      <c r="B129" s="16" t="s">
        <v>304</v>
      </c>
    </row>
    <row r="130" spans="2:11">
      <c r="B130" s="800" t="s">
        <v>513</v>
      </c>
      <c r="C130" s="800"/>
      <c r="D130" s="800"/>
      <c r="E130" s="800"/>
      <c r="F130" s="800"/>
      <c r="G130" s="800"/>
      <c r="H130" s="800"/>
      <c r="I130" s="800"/>
      <c r="J130" s="800"/>
      <c r="K130" s="800"/>
    </row>
    <row r="131" spans="2:11">
      <c r="B131" s="800"/>
      <c r="C131" s="800"/>
      <c r="D131" s="800"/>
      <c r="E131" s="800"/>
      <c r="F131" s="800"/>
      <c r="G131" s="800"/>
      <c r="H131" s="800"/>
      <c r="I131" s="800"/>
      <c r="J131" s="800"/>
      <c r="K131" s="800"/>
    </row>
    <row r="132" spans="2:11">
      <c r="B132" s="800" t="s">
        <v>514</v>
      </c>
      <c r="C132" s="800"/>
      <c r="D132" s="800"/>
      <c r="E132" s="800"/>
      <c r="F132" s="800"/>
      <c r="G132" s="800"/>
      <c r="H132" s="800"/>
      <c r="I132" s="800"/>
      <c r="J132" s="800"/>
      <c r="K132" s="800"/>
    </row>
    <row r="133" spans="2:11">
      <c r="B133" s="800"/>
      <c r="C133" s="800"/>
      <c r="D133" s="800"/>
      <c r="E133" s="800"/>
      <c r="F133" s="800"/>
      <c r="G133" s="800"/>
      <c r="H133" s="800"/>
      <c r="I133" s="800"/>
      <c r="J133" s="800"/>
      <c r="K133" s="800"/>
    </row>
    <row r="134" spans="2:11" ht="15" customHeight="1">
      <c r="B134" s="800"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4" s="800"/>
      <c r="D134" s="800"/>
      <c r="E134" s="800"/>
      <c r="F134" s="800"/>
      <c r="G134" s="800"/>
      <c r="H134" s="800"/>
      <c r="I134" s="800"/>
      <c r="J134" s="800"/>
      <c r="K134" s="800"/>
    </row>
    <row r="135" spans="2:11" ht="15" customHeight="1">
      <c r="B135" s="800"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5" s="800"/>
      <c r="D135" s="800"/>
      <c r="E135" s="800"/>
      <c r="F135" s="800"/>
      <c r="G135" s="800"/>
      <c r="H135" s="800"/>
      <c r="I135" s="800"/>
      <c r="J135" s="800"/>
      <c r="K135" s="800"/>
    </row>
    <row r="136" spans="2:11">
      <c r="B136" s="800"/>
      <c r="C136" s="800"/>
      <c r="D136" s="800"/>
      <c r="E136" s="800"/>
      <c r="F136" s="800"/>
      <c r="G136" s="800"/>
      <c r="H136" s="800"/>
      <c r="I136" s="800"/>
      <c r="J136" s="800"/>
      <c r="K136" s="800"/>
    </row>
    <row r="137" spans="2:11">
      <c r="B137" s="801" t="s">
        <v>515</v>
      </c>
      <c r="C137" s="801"/>
      <c r="D137" s="801"/>
      <c r="E137" s="801"/>
      <c r="F137" s="801"/>
      <c r="G137" s="801"/>
      <c r="H137" s="801"/>
      <c r="I137" s="801"/>
      <c r="J137" s="801"/>
      <c r="K137" s="801"/>
    </row>
    <row r="138" spans="2:11">
      <c r="B138" s="801" t="s">
        <v>516</v>
      </c>
      <c r="C138" s="801"/>
      <c r="D138" s="801"/>
      <c r="E138" s="801"/>
      <c r="F138" s="801"/>
      <c r="G138" s="801"/>
      <c r="H138" s="801"/>
      <c r="I138" s="801"/>
      <c r="J138" s="801"/>
      <c r="K138" s="801"/>
    </row>
    <row r="139" spans="2:11">
      <c r="B139" s="800" t="s">
        <v>517</v>
      </c>
      <c r="C139" s="800"/>
      <c r="D139" s="800"/>
      <c r="E139" s="800"/>
      <c r="F139" s="800"/>
      <c r="G139" s="800"/>
      <c r="H139" s="800"/>
      <c r="I139" s="800"/>
      <c r="J139" s="800"/>
      <c r="K139" s="800"/>
    </row>
    <row r="140" spans="2:11">
      <c r="B140" s="800"/>
      <c r="C140" s="800"/>
      <c r="D140" s="800"/>
      <c r="E140" s="800"/>
      <c r="F140" s="800"/>
      <c r="G140" s="800"/>
      <c r="H140" s="800"/>
      <c r="I140" s="800"/>
      <c r="J140" s="800"/>
      <c r="K140" s="800"/>
    </row>
    <row r="141" spans="2:11">
      <c r="B141" s="801" t="s">
        <v>518</v>
      </c>
      <c r="C141" s="801"/>
      <c r="D141" s="801"/>
      <c r="E141" s="801"/>
      <c r="F141" s="801"/>
      <c r="G141" s="801"/>
      <c r="H141" s="801"/>
      <c r="I141" s="801"/>
      <c r="J141" s="801"/>
      <c r="K141" s="801"/>
    </row>
    <row r="142" spans="2:11">
      <c r="B142" s="801"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2" s="801"/>
      <c r="D142" s="801"/>
      <c r="E142" s="801"/>
      <c r="F142" s="801"/>
      <c r="G142" s="801"/>
      <c r="H142" s="801"/>
      <c r="I142" s="801"/>
      <c r="J142" s="801"/>
      <c r="K142" s="801"/>
    </row>
    <row r="143" spans="2:11">
      <c r="B143" s="800"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3" s="800"/>
      <c r="D143" s="800"/>
      <c r="E143" s="800"/>
      <c r="F143" s="800"/>
      <c r="G143" s="800"/>
      <c r="H143" s="800"/>
      <c r="I143" s="800"/>
      <c r="J143" s="800"/>
      <c r="K143" s="800"/>
    </row>
    <row r="144" spans="2:11">
      <c r="B144" s="800"/>
      <c r="C144" s="800"/>
      <c r="D144" s="800"/>
      <c r="E144" s="800"/>
      <c r="F144" s="800"/>
      <c r="G144" s="800"/>
      <c r="H144" s="800"/>
      <c r="I144" s="800"/>
      <c r="J144" s="800"/>
      <c r="K144" s="800"/>
    </row>
    <row r="145" spans="2:11">
      <c r="B145" s="801" t="str">
        <f>"11) The 'Monthly Interest Rate' is the last known FERC interest rate from Line "&amp;A68&amp;", "&amp;H38&amp;"."</f>
        <v>11) The 'Monthly Interest Rate' is the last known FERC interest rate from Line 225, Col 6.</v>
      </c>
      <c r="C145" s="801"/>
      <c r="D145" s="801"/>
      <c r="E145" s="801"/>
      <c r="F145" s="801"/>
      <c r="G145" s="801"/>
      <c r="H145" s="801"/>
      <c r="I145" s="801"/>
      <c r="J145" s="801"/>
      <c r="K145" s="801"/>
    </row>
    <row r="146" spans="2:11" ht="15" customHeight="1">
      <c r="B146" s="805" t="s">
        <v>519</v>
      </c>
      <c r="C146" s="805"/>
      <c r="D146" s="805"/>
      <c r="E146" s="805"/>
      <c r="F146" s="805"/>
      <c r="G146" s="805"/>
      <c r="H146" s="805"/>
      <c r="I146" s="805"/>
      <c r="J146" s="805"/>
      <c r="K146" s="805"/>
    </row>
    <row r="147" spans="2:11">
      <c r="B147" s="800" t="s">
        <v>520</v>
      </c>
      <c r="C147" s="800"/>
      <c r="D147" s="800"/>
      <c r="E147" s="800"/>
      <c r="F147" s="800"/>
      <c r="G147" s="800"/>
      <c r="H147" s="800"/>
      <c r="I147" s="800"/>
      <c r="J147" s="800"/>
      <c r="K147" s="800"/>
    </row>
    <row r="151" spans="2:11">
      <c r="B151" s="12" t="s">
        <v>2131</v>
      </c>
    </row>
    <row r="152" spans="2:11">
      <c r="B152" t="s">
        <v>2126</v>
      </c>
      <c r="C152" t="s">
        <v>159</v>
      </c>
      <c r="D152" s="791">
        <f ca="1">G68</f>
        <v>124969948.22143203</v>
      </c>
      <c r="E152" s="791">
        <f ca="1">J68</f>
        <v>6149716.2100000009</v>
      </c>
    </row>
    <row r="153" spans="2:11">
      <c r="B153" t="s">
        <v>2127</v>
      </c>
      <c r="C153" t="s">
        <v>162</v>
      </c>
      <c r="D153" s="791">
        <f>'4-ATA Corrected V1'!G68</f>
        <v>127225955.54821381</v>
      </c>
      <c r="E153" s="791">
        <f>'4-ATA Corrected V1'!J68</f>
        <v>6266242.5800000001</v>
      </c>
    </row>
    <row r="154" spans="2:11" ht="15" thickBot="1">
      <c r="C154" t="s">
        <v>2128</v>
      </c>
      <c r="D154" s="794">
        <f ca="1">D152-D153</f>
        <v>-2256007.3267817795</v>
      </c>
      <c r="E154" s="794">
        <f ca="1">E152-E153</f>
        <v>-116526.36999999918</v>
      </c>
    </row>
    <row r="155" spans="2:11" ht="15" thickTop="1">
      <c r="C155" t="s">
        <v>2129</v>
      </c>
      <c r="D155" s="30">
        <f ca="1">G68-'4-ATA Corrected V1'!G68</f>
        <v>-2256007.3267817795</v>
      </c>
      <c r="E155" s="30">
        <f ca="1">J68-'4-ATA Corrected V1'!J68</f>
        <v>-116526.36999999918</v>
      </c>
      <c r="F155" s="34"/>
    </row>
    <row r="156" spans="2:11">
      <c r="B156" s="12" t="s">
        <v>2133</v>
      </c>
    </row>
    <row r="157" spans="2:11">
      <c r="B157" t="s">
        <v>2118</v>
      </c>
      <c r="D157" s="32">
        <v>-5063.5691055953503</v>
      </c>
      <c r="E157" s="32">
        <v>-261.54000000003725</v>
      </c>
    </row>
    <row r="158" spans="2:11">
      <c r="B158" t="s">
        <v>2123</v>
      </c>
      <c r="D158" s="32">
        <f>D159-D157</f>
        <v>-2250943.7576761846</v>
      </c>
      <c r="E158" s="32">
        <f>E159-E157</f>
        <v>-116264.82999999897</v>
      </c>
    </row>
    <row r="159" spans="2:11" ht="15" thickBot="1">
      <c r="D159" s="789">
        <v>-2256007.32678178</v>
      </c>
      <c r="E159" s="789">
        <v>-116526.36999999901</v>
      </c>
      <c r="F159" t="s">
        <v>2124</v>
      </c>
    </row>
    <row r="160" spans="2:11" ht="15" thickTop="1"/>
    <row r="161" spans="2:2">
      <c r="B161" t="s">
        <v>2130</v>
      </c>
    </row>
    <row r="162" spans="2:2">
      <c r="B162" t="s">
        <v>2132</v>
      </c>
    </row>
  </sheetData>
  <mergeCells count="22">
    <mergeCell ref="B147:K147"/>
    <mergeCell ref="B72:K73"/>
    <mergeCell ref="B142:K142"/>
    <mergeCell ref="B143:K144"/>
    <mergeCell ref="B145:K145"/>
    <mergeCell ref="B146:K146"/>
    <mergeCell ref="B141:K141"/>
    <mergeCell ref="B99:K99"/>
    <mergeCell ref="B100:K100"/>
    <mergeCell ref="B124:K125"/>
    <mergeCell ref="B126:K126"/>
    <mergeCell ref="B130:K131"/>
    <mergeCell ref="B132:K133"/>
    <mergeCell ref="B134:K134"/>
    <mergeCell ref="B135:K136"/>
    <mergeCell ref="B137:K137"/>
    <mergeCell ref="B138:K138"/>
    <mergeCell ref="B139:K140"/>
    <mergeCell ref="B6:K6"/>
    <mergeCell ref="B7:K7"/>
    <mergeCell ref="B31:K32"/>
    <mergeCell ref="B33:K33"/>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ER19-13-000, et al- Annual Update RY2024
&amp;F
</oddHeader>
  </headerFooter>
  <rowBreaks count="1" manualBreakCount="1">
    <brk id="95"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06c99b3-cd83-43e5-b4c1-d62f316c1e37" ContentTypeId="0x0101" PreviousValue="false" LastSyncTimeStamp="2020-01-27T23:41:31.003Z"/>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SharedWithUsers xmlns="000ca74d-c1c7-4d8f-83c5-7262d4568d2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6484B1948D3DF418AE6D26693B16E3C" ma:contentTypeVersion="6" ma:contentTypeDescription="Create a new document." ma:contentTypeScope="" ma:versionID="fb625b1568ad56010b75bd1ad5e0c544">
  <xsd:schema xmlns:xsd="http://www.w3.org/2001/XMLSchema" xmlns:xs="http://www.w3.org/2001/XMLSchema" xmlns:p="http://schemas.microsoft.com/office/2006/metadata/properties" xmlns:ns2="97e57212-3e02-407f-8b2d-05f7d7f19b15" xmlns:ns3="e0c7f853-b085-466f-a3cc-a09637d61b9a" xmlns:ns4="000ca74d-c1c7-4d8f-83c5-7262d4568d2b" targetNamespace="http://schemas.microsoft.com/office/2006/metadata/properties" ma:root="true" ma:fieldsID="5a90fdd73bceb1764baaffcb7a3c64fa" ns2:_="" ns3:_="" ns4:_="">
    <xsd:import namespace="97e57212-3e02-407f-8b2d-05f7d7f19b15"/>
    <xsd:import namespace="e0c7f853-b085-466f-a3cc-a09637d61b9a"/>
    <xsd:import namespace="000ca74d-c1c7-4d8f-83c5-7262d4568d2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e4169e0-c5cd-4b95-9d9a-d0e3977c2104}" ma:internalName="TaxCatchAll" ma:showField="CatchAllData"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e4169e0-c5cd-4b95-9d9a-d0e3977c2104}" ma:internalName="TaxCatchAllLabel" ma:readOnly="true" ma:showField="CatchAllDataLabel"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c7f853-b085-466f-a3cc-a09637d61b9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0ca74d-c1c7-4d8f-83c5-7262d4568d2b"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509683-81B9-42FC-BB02-2FA4DFEEEB9E}">
  <ds:schemaRefs>
    <ds:schemaRef ds:uri="Microsoft.SharePoint.Taxonomy.ContentTypeSync"/>
  </ds:schemaRefs>
</ds:datastoreItem>
</file>

<file path=customXml/itemProps2.xml><?xml version="1.0" encoding="utf-8"?>
<ds:datastoreItem xmlns:ds="http://schemas.openxmlformats.org/officeDocument/2006/customXml" ds:itemID="{BE8CDF2E-51A9-4EE3-9FB5-853DE92D28AB}">
  <ds:schemaRefs>
    <ds:schemaRef ds:uri="http://purl.org/dc/terms/"/>
    <ds:schemaRef ds:uri="http://schemas.microsoft.com/office/2006/documentManagement/types"/>
    <ds:schemaRef ds:uri="http://schemas.openxmlformats.org/package/2006/metadata/core-properties"/>
    <ds:schemaRef ds:uri="http://purl.org/dc/dcmitype/"/>
    <ds:schemaRef ds:uri="000ca74d-c1c7-4d8f-83c5-7262d4568d2b"/>
    <ds:schemaRef ds:uri="http://purl.org/dc/elements/1.1/"/>
    <ds:schemaRef ds:uri="http://schemas.microsoft.com/office/2006/metadata/properties"/>
    <ds:schemaRef ds:uri="e0c7f853-b085-466f-a3cc-a09637d61b9a"/>
    <ds:schemaRef ds:uri="97e57212-3e02-407f-8b2d-05f7d7f19b15"/>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4.xml><?xml version="1.0" encoding="utf-8"?>
<ds:datastoreItem xmlns:ds="http://schemas.openxmlformats.org/officeDocument/2006/customXml" ds:itemID="{7EE2F584-3A08-4FBE-842C-6F67AF0C53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0c7f853-b085-466f-a3cc-a09637d61b9a"/>
    <ds:schemaRef ds:uri="000ca74d-c1c7-4d8f-83c5-7262d4568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44</vt:i4>
      </vt:variant>
      <vt:variant>
        <vt:lpstr>Named Ranges</vt:lpstr>
      </vt:variant>
      <vt:variant>
        <vt:i4>46</vt:i4>
      </vt:variant>
    </vt:vector>
  </HeadingPairs>
  <TitlesOfParts>
    <vt:vector size="90" baseType="lpstr">
      <vt:lpstr>Cover Page</vt:lpstr>
      <vt:lpstr>ToC</vt:lpstr>
      <vt:lpstr>Formatting and References</vt:lpstr>
      <vt:lpstr>1-BaseTRR</vt:lpstr>
      <vt:lpstr>2-ITRR</vt:lpstr>
      <vt:lpstr>3-True-upTRR Corrected V2</vt:lpstr>
      <vt:lpstr>3-True-upTRR Corrected V1</vt:lpstr>
      <vt:lpstr>3-True-upTRR Orig</vt:lpstr>
      <vt:lpstr>4-ATA Corrected V2</vt:lpstr>
      <vt:lpstr>4-ATA Corrected V1</vt:lpstr>
      <vt:lpstr>4-ATA Orig</vt:lpstr>
      <vt:lpstr>5-CostofCap-1</vt:lpstr>
      <vt:lpstr>5-CostofCap-2</vt:lpstr>
      <vt:lpstr>5-CostofCap-3</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 CorrectedV1</vt:lpstr>
      <vt:lpstr>16-UnfundedReserves Original</vt:lpstr>
      <vt:lpstr>17-RegAssets-1</vt:lpstr>
      <vt:lpstr>17-RegAssets-2</vt:lpstr>
      <vt:lpstr>18-OandM</vt:lpstr>
      <vt:lpstr>19-AandG Corrected V1</vt:lpstr>
      <vt:lpstr>19-AandG Original</vt:lpstr>
      <vt:lpstr>20-RevenueCredits</vt:lpstr>
      <vt:lpstr>21-NPandS Corrected V1</vt:lpstr>
      <vt:lpstr>21-NPandS Orig</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 Corrected V1'!Print_Area</vt:lpstr>
      <vt:lpstr>'19-AandG Original'!Print_Area</vt:lpstr>
      <vt:lpstr>'20-RevenueCredits'!Print_Area</vt:lpstr>
      <vt:lpstr>'21-NPandS Corrected V1'!Print_Area</vt:lpstr>
      <vt:lpstr>'21-NPandS Orig'!Print_Area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 Corrected V1'!Print_Area</vt:lpstr>
      <vt:lpstr>'3-True-upTRR Corrected V2'!Print_Area</vt:lpstr>
      <vt:lpstr>'3-True-upTRR Orig'!Print_Area</vt:lpstr>
      <vt:lpstr>'4-ATA Corrected V1'!Print_Area</vt:lpstr>
      <vt:lpstr>'4-ATA Corrected V2'!Print_Area</vt:lpstr>
      <vt:lpstr>'4-ATA Orig'!Print_Area</vt:lpstr>
      <vt:lpstr>'5-CostofCap-1'!Print_Area</vt:lpstr>
      <vt:lpstr>'5-CostofCap-2'!Print_Area</vt:lpstr>
      <vt:lpstr>'5-CostofCap-3'!Print_Area</vt:lpstr>
      <vt:lpstr>'5-CostofCap-4'!Print_Area</vt:lpstr>
      <vt:lpstr>'6-PlantJurisdiction'!Print_Area</vt:lpstr>
      <vt:lpstr>'7-PlantInService'!Print_Area</vt:lpstr>
      <vt:lpstr>'8-AbandonedPlant'!Print_Area</vt:lpstr>
      <vt:lpstr>'9-PlantAdditions'!Print_Area</vt:lpstr>
      <vt:lpstr>'Cover Page'!Print_Area</vt:lpstr>
      <vt:lpstr>'10-AccDep'!Print_Titles</vt:lpstr>
      <vt:lpstr>'11-Depreciation'!Print_Titles</vt:lpstr>
      <vt:lpstr>'13-WorkCap'!Print_Titles</vt:lpstr>
      <vt:lpstr>'14-ADIT'!Print_Titles</vt:lpstr>
      <vt:lpstr>'1-BaseTRR'!Print_Titles</vt:lpstr>
      <vt:lpstr>'3-True-upTRR Corrected V1'!Print_Titles</vt:lpstr>
      <vt:lpstr>'3-True-upTRR Corrected V2'!Print_Titles</vt:lpstr>
      <vt:lpstr>'3-True-upTRR Orig'!Print_Titles</vt:lpstr>
      <vt:lpstr>'4-ATA Corrected V1'!Print_Titles</vt:lpstr>
      <vt:lpstr>'4-ATA Corrected V2'!Print_Titles</vt:lpstr>
      <vt:lpstr>'4-ATA Orig'!Print_Titles</vt:lpstr>
      <vt:lpstr>'7-PlantInService'!Print_Titles</vt:lpstr>
      <vt:lpstr>'9-PlantAdditions'!Print_Titles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modified xsi:type="dcterms:W3CDTF">2023-11-30T22:34:38Z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geRecordCategory">
    <vt:lpwstr/>
  </property>
  <property fmtid="{D5CDD505-2E9C-101B-9397-08002B2CF9AE}" pid="3" name="ContentTypeId">
    <vt:lpwstr>0x01010006484B1948D3DF418AE6D26693B16E3C</vt:lpwstr>
  </property>
</Properties>
</file>