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24226"/>
  <xr:revisionPtr revIDLastSave="0" documentId="13_ncr:1_{3A326181-6BA1-412B-9942-F3F371586659}" xr6:coauthVersionLast="47" xr6:coauthVersionMax="47" xr10:uidLastSave="{00000000-0000-0000-0000-000000000000}"/>
  <bookViews>
    <workbookView xWindow="-27068" yWindow="-4628" windowWidth="22890" windowHeight="14790" tabRatio="858" firstSheet="2" activeTab="36" xr2:uid="{00000000-000D-0000-FFFF-FFFF00000000}"/>
  </bookViews>
  <sheets>
    <sheet name="Cover Page" sheetId="67" r:id="rId1"/>
    <sheet name="ToC" sheetId="100" r:id="rId2"/>
    <sheet name="Formatting and References" sheetId="101" r:id="rId3"/>
    <sheet name="1-BaseTRR" sheetId="1" r:id="rId4"/>
    <sheet name="2-ITRR" sheetId="2" r:id="rId5"/>
    <sheet name="3-True-upTRR" sheetId="47" r:id="rId6"/>
    <sheet name="4-ATA" sheetId="5" r:id="rId7"/>
    <sheet name="5-CostofCap-1" sheetId="68" r:id="rId8"/>
    <sheet name="5-CostofCap-2" sheetId="69" r:id="rId9"/>
    <sheet name="5-CostofCap-3" sheetId="70" r:id="rId10"/>
    <sheet name="5-CostofCap-4" sheetId="71" r:id="rId11"/>
    <sheet name="6-PlantJurisdiction" sheetId="72" r:id="rId12"/>
    <sheet name="7-PlantInService" sheetId="73" r:id="rId13"/>
    <sheet name="8-AbandonedPlant" sheetId="102" r:id="rId14"/>
    <sheet name="9-PlantAdditions" sheetId="75" r:id="rId15"/>
    <sheet name="10-AccDep" sheetId="76" r:id="rId16"/>
    <sheet name="11-Depreciation" sheetId="77" r:id="rId17"/>
    <sheet name="12-DepRates" sheetId="78" r:id="rId18"/>
    <sheet name="13-WorkCap" sheetId="79" r:id="rId19"/>
    <sheet name="14-ADIT" sheetId="80" r:id="rId20"/>
    <sheet name="15-NUC" sheetId="81" r:id="rId21"/>
    <sheet name="16-UnfundedReserves" sheetId="82" r:id="rId22"/>
    <sheet name="17-RegAssets-1" sheetId="83" r:id="rId23"/>
    <sheet name="17-RegAssets-2" sheetId="103" r:id="rId24"/>
    <sheet name="17-RegAssets-3" sheetId="104" r:id="rId25"/>
    <sheet name="18-OandM" sheetId="84" r:id="rId26"/>
    <sheet name="19-AandG" sheetId="85" r:id="rId27"/>
    <sheet name="20-RevenueCredits" sheetId="86" r:id="rId28"/>
    <sheet name="21-NPandS" sheetId="87" r:id="rId29"/>
    <sheet name="22-TaxRates" sheetId="88" r:id="rId30"/>
    <sheet name="23-RetailSGTax" sheetId="89" r:id="rId31"/>
    <sheet name="24-Allocators" sheetId="90" r:id="rId32"/>
    <sheet name="25-RFandUFactors" sheetId="91" r:id="rId33"/>
    <sheet name="26-WholesaleTRRs" sheetId="92" r:id="rId34"/>
    <sheet name="27-WholesaleRates" sheetId="93" r:id="rId35"/>
    <sheet name="28-GrossLoad" sheetId="94" r:id="rId36"/>
    <sheet name="29-RetailRates-1" sheetId="105" r:id="rId37"/>
    <sheet name="29-RetailRates-2" sheetId="106" r:id="rId38"/>
  </sheets>
  <definedNames>
    <definedName name="\a" localSheetId="24">#REF!</definedName>
    <definedName name="\a">#REF!</definedName>
    <definedName name="\b" localSheetId="24">#REF!</definedName>
    <definedName name="\b">#REF!</definedName>
    <definedName name="\x" localSheetId="24">#REF!</definedName>
    <definedName name="\x">#REF!</definedName>
    <definedName name="___huh2" localSheetId="24" hidden="1">{#N/A,#N/A,FALSE,"Dist Rev at PR ";#N/A,#N/A,FALSE,"Spec";#N/A,#N/A,FALSE,"Res";#N/A,#N/A,FALSE,"Small L&amp;P";#N/A,#N/A,FALSE,"Medium L&amp;P";#N/A,#N/A,FALSE,"E-19";#N/A,#N/A,FALSE,"E-20";#N/A,#N/A,FALSE,"Strtlts &amp; Standby";#N/A,#N/A,FALSE,"A-RTP";#N/A,#N/A,FALSE,"2003mixeduse"}</definedName>
    <definedName name="___huh2" localSheetId="13"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123Graph_A" localSheetId="9" hidden="1">#REF!</definedName>
    <definedName name="__123Graph_AGRAPH" localSheetId="9" hidden="1">#REF!</definedName>
    <definedName name="__123Graph_AGRS" localSheetId="9" hidden="1">#REF!</definedName>
    <definedName name="__123Graph_B" localSheetId="9" hidden="1">#REF!</definedName>
    <definedName name="__123Graph_BGRAPH" localSheetId="9" hidden="1">#REF!</definedName>
    <definedName name="__123Graph_BGRS" localSheetId="9" hidden="1">#REF!</definedName>
    <definedName name="__123Graph_C" localSheetId="9" hidden="1">#REF!</definedName>
    <definedName name="__123Graph_CGRAPH" localSheetId="9" hidden="1">#REF!</definedName>
    <definedName name="__123Graph_CGRS" localSheetId="9" hidden="1">#REF!</definedName>
    <definedName name="__123Graph_DGRAPH" localSheetId="9" hidden="1">#REF!</definedName>
    <definedName name="__123Graph_DGRS" localSheetId="9" hidden="1">#REF!</definedName>
    <definedName name="__123Graph_LBL_A" localSheetId="9" hidden="1">#REF!</definedName>
    <definedName name="__123Graph_LBL_EGRAPH" localSheetId="9" hidden="1">#REF!</definedName>
    <definedName name="__123Graph_LBL_EGRS" localSheetId="9" hidden="1">#REF!</definedName>
    <definedName name="__123Graph_X" localSheetId="9" hidden="1">#REF!</definedName>
    <definedName name="__foo1"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24"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foo4" localSheetId="24" hidden="1">{"Summary","1",FALSE,"Summary"}</definedName>
    <definedName name="__foo4" hidden="1">{"Summary","1",FALSE,"Summary"}</definedName>
    <definedName name="__FPMExcelClient_CellBasedFunctionStatus" localSheetId="26">"2_1_2_2_2_2"</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8" hidden="1">#REF!</definedName>
    <definedName name="_bdm.DA90C587C9374C5A8F37C549C9BCDD3D.edm" localSheetId="19" hidden="1">#REF!</definedName>
    <definedName name="_bdm.DA90C587C9374C5A8F37C549C9BCDD3D.edm" localSheetId="20" hidden="1">#REF!</definedName>
    <definedName name="_bdm.DA90C587C9374C5A8F37C549C9BCDD3D.edm" localSheetId="21" hidden="1">#REF!</definedName>
    <definedName name="_bdm.DA90C587C9374C5A8F37C549C9BCDD3D.edm" localSheetId="22" hidden="1">#REF!</definedName>
    <definedName name="_bdm.DA90C587C9374C5A8F37C549C9BCDD3D.edm" localSheetId="25" hidden="1">#REF!</definedName>
    <definedName name="_bdm.DA90C587C9374C5A8F37C549C9BCDD3D.edm" localSheetId="27" hidden="1">#REF!</definedName>
    <definedName name="_bdm.DA90C587C9374C5A8F37C549C9BCDD3D.edm" localSheetId="28" hidden="1">#REF!</definedName>
    <definedName name="_bdm.DA90C587C9374C5A8F37C549C9BCDD3D.edm" localSheetId="29" hidden="1">#REF!</definedName>
    <definedName name="_bdm.DA90C587C9374C5A8F37C549C9BCDD3D.edm" localSheetId="30" hidden="1">#REF!</definedName>
    <definedName name="_bdm.DA90C587C9374C5A8F37C549C9BCDD3D.edm" localSheetId="31" hidden="1">#REF!</definedName>
    <definedName name="_bdm.DA90C587C9374C5A8F37C549C9BCDD3D.edm" localSheetId="32" hidden="1">#REF!</definedName>
    <definedName name="_bdm.DA90C587C9374C5A8F37C549C9BCDD3D.edm" localSheetId="33" hidden="1">#REF!</definedName>
    <definedName name="_bdm.DA90C587C9374C5A8F37C549C9BCDD3D.edm" localSheetId="34" hidden="1">#REF!</definedName>
    <definedName name="_bdm.DA90C587C9374C5A8F37C549C9BCDD3D.edm" localSheetId="35" hidden="1">#REF!</definedName>
    <definedName name="_bdm.DA90C587C9374C5A8F37C549C9BCDD3D.edm" localSheetId="5" hidden="1">#REF!</definedName>
    <definedName name="_bdm.DA90C587C9374C5A8F37C549C9BCDD3D.edm" localSheetId="7" hidden="1">#REF!</definedName>
    <definedName name="_bdm.DA90C587C9374C5A8F37C549C9BCDD3D.edm" localSheetId="8" hidden="1">#REF!</definedName>
    <definedName name="_bdm.DA90C587C9374C5A8F37C549C9BCDD3D.edm" localSheetId="9" hidden="1">#REF!</definedName>
    <definedName name="_bdm.DA90C587C9374C5A8F37C549C9BCDD3D.edm" localSheetId="11" hidden="1">#REF!</definedName>
    <definedName name="_bdm.DA90C587C9374C5A8F37C549C9BCDD3D.edm" localSheetId="12" hidden="1">#REF!</definedName>
    <definedName name="_bdm.DA90C587C9374C5A8F37C549C9BCDD3D.edm" localSheetId="13" hidden="1">#REF!</definedName>
    <definedName name="_bdm.DA90C587C9374C5A8F37C549C9BCDD3D.edm" localSheetId="14" hidden="1">#REF!</definedName>
    <definedName name="_bdm.DA90C587C9374C5A8F37C549C9BCDD3D.edm" hidden="1">#REF!</definedName>
    <definedName name="_Fill" hidden="1">#REF!</definedName>
    <definedName name="_foo1"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24"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24" hidden="1">{"Summary","1",FALSE,"Summary"}</definedName>
    <definedName name="_foo4" hidden="1">{"Summary","1",FALSE,"Summary"}</definedName>
    <definedName name="_huh2" localSheetId="24" hidden="1">{#N/A,#N/A,FALSE,"Dist Rev at PR ";#N/A,#N/A,FALSE,"Spec";#N/A,#N/A,FALSE,"Res";#N/A,#N/A,FALSE,"Small L&amp;P";#N/A,#N/A,FALSE,"Medium L&amp;P";#N/A,#N/A,FALSE,"E-19";#N/A,#N/A,FALSE,"E-20";#N/A,#N/A,FALSE,"Strtlts &amp; Standby";#N/A,#N/A,FALSE,"A-RTP";#N/A,#N/A,FALSE,"2003mixeduse"}</definedName>
    <definedName name="_huh2" localSheetId="13"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25"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localSheetId="32" hidden="1">#REF!</definedName>
    <definedName name="_Key1" localSheetId="33" hidden="1">#REF!</definedName>
    <definedName name="_Key1" localSheetId="34" hidden="1">#REF!</definedName>
    <definedName name="_Key1" localSheetId="35" hidden="1">#REF!</definedName>
    <definedName name="_Key1" localSheetId="5" hidden="1">#REF!</definedName>
    <definedName name="_Key1" localSheetId="7" hidden="1">#REF!</definedName>
    <definedName name="_Key1" localSheetId="8" hidden="1">#REF!</definedName>
    <definedName name="_Key1" localSheetId="9" hidden="1">#REF!</definedName>
    <definedName name="_Key1" localSheetId="11" hidden="1">#REF!</definedName>
    <definedName name="_Key1" localSheetId="12" hidden="1">#REF!</definedName>
    <definedName name="_Key1" localSheetId="13" hidden="1">#REF!</definedName>
    <definedName name="_Key1" localSheetId="14" hidden="1">#REF!</definedName>
    <definedName name="_Key1"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3" hidden="1">#REF!</definedName>
    <definedName name="_Key2" localSheetId="25"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localSheetId="32" hidden="1">#REF!</definedName>
    <definedName name="_Key2" localSheetId="33" hidden="1">#REF!</definedName>
    <definedName name="_Key2" localSheetId="34" hidden="1">#REF!</definedName>
    <definedName name="_Key2" localSheetId="35" hidden="1">#REF!</definedName>
    <definedName name="_Key2" localSheetId="5" hidden="1">#REF!</definedName>
    <definedName name="_Key2" localSheetId="7" hidden="1">#REF!</definedName>
    <definedName name="_Key2" localSheetId="8" hidden="1">#REF!</definedName>
    <definedName name="_Key2" localSheetId="9" hidden="1">#REF!</definedName>
    <definedName name="_Key2" localSheetId="11" hidden="1">#REF!</definedName>
    <definedName name="_Key2" localSheetId="12" hidden="1">#REF!</definedName>
    <definedName name="_Key2" localSheetId="13" hidden="1">#REF!</definedName>
    <definedName name="_Key2" localSheetId="14" hidden="1">#REF!</definedName>
    <definedName name="_Key2" hidden="1">#REF!</definedName>
    <definedName name="_L2" localSheetId="24" hidden="1">{"PI_Data",#N/A,TRUE,"P&amp;I Data"}</definedName>
    <definedName name="_L2" hidden="1">{"PI_Data",#N/A,TRUE,"P&amp;I Data"}</definedName>
    <definedName name="_m2" localSheetId="24" hidden="1">{"PI_Data",#N/A,TRUE,"P&amp;I Data"}</definedName>
    <definedName name="_m2" hidden="1">{"PI_Data",#N/A,TRUE,"P&amp;I Data"}</definedName>
    <definedName name="_Order1">255</definedName>
    <definedName name="_Order2">255</definedName>
    <definedName name="_p2" localSheetId="24" hidden="1">{"PI_Data",#N/A,TRUE,"P&amp;I Data"}</definedName>
    <definedName name="_p2" hidden="1">{"PI_Data",#N/A,TRUE,"P&amp;I Data"}</definedName>
    <definedName name="_Regression_Int">1</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25"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localSheetId="32" hidden="1">#REF!</definedName>
    <definedName name="_Sort" localSheetId="33" hidden="1">#REF!</definedName>
    <definedName name="_Sort" localSheetId="34" hidden="1">#REF!</definedName>
    <definedName name="_Sort" localSheetId="35" hidden="1">#REF!</definedName>
    <definedName name="_Sort" localSheetId="5" hidden="1">#REF!</definedName>
    <definedName name="_Sort" localSheetId="7" hidden="1">#REF!</definedName>
    <definedName name="_Sort" localSheetId="8" hidden="1">#REF!</definedName>
    <definedName name="_Sort" localSheetId="9" hidden="1">#REF!</definedName>
    <definedName name="_Sort" localSheetId="11" hidden="1">#REF!</definedName>
    <definedName name="_Sort" localSheetId="12" hidden="1">#REF!</definedName>
    <definedName name="_Sort" localSheetId="13" hidden="1">#REF!</definedName>
    <definedName name="_Sort" localSheetId="14" hidden="1">#REF!</definedName>
    <definedName name="_Sort" hidden="1">#REF!</definedName>
    <definedName name="_t2" localSheetId="24" hidden="1">{"PI_Data",#N/A,TRUE,"P&amp;I Data"}</definedName>
    <definedName name="_t2" hidden="1">{"PI_Data",#N/A,TRUE,"P&amp;I Data"}</definedName>
    <definedName name="a" localSheetId="24" hidden="1">{#N/A,#N/A,FALSE,"CTC Summary - EOY";#N/A,#N/A,FALSE,"CTC Summary - Wtavg"}</definedName>
    <definedName name="a" hidden="1">{#N/A,#N/A,FALSE,"CTC Summary - EOY";#N/A,#N/A,FALSE,"CTC Summary - Wtavg"}</definedName>
    <definedName name="ACCELERATED2" localSheetId="24" hidden="1">{#N/A,#N/A,FALSE,"CTC Summary - EOY";#N/A,#N/A,FALSE,"CTC Summary - Wtavg"}</definedName>
    <definedName name="ACCELERATED2" hidden="1">{#N/A,#N/A,FALSE,"CTC Summary - EOY";#N/A,#N/A,FALSE,"CTC Summary - Wtavg"}</definedName>
    <definedName name="ACCELLERATED1X" localSheetId="24" hidden="1">{#N/A,#N/A,FALSE,"CTC Summary - EOY";#N/A,#N/A,FALSE,"CTC Summary - Wtavg"}</definedName>
    <definedName name="ACCELLERATED1X" hidden="1">{#N/A,#N/A,FALSE,"CTC Summary - EOY";#N/A,#N/A,FALSE,"CTC Summary - Wtavg"}</definedName>
    <definedName name="again" localSheetId="24" hidden="1">{#N/A,#N/A,FALSE,"ND Rev at Pres Rates";#N/A,#N/A,FALSE,"Res - Unadj sales";#N/A,#N/A,FALSE,"Small L&amp;P";#N/A,#N/A,FALSE,"Medium L&amp;P";#N/A,#N/A,FALSE,"E-19";#N/A,#N/A,FALSE,"E-20";#N/A,#N/A,FALSE,"Strtlts &amp; Standby";#N/A,#N/A,FALSE,"AG";#N/A,#N/A,FALSE,"A-RTP";#N/A,#N/A,FALSE,"Spec"}</definedName>
    <definedName name="again" localSheetId="13"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pril" localSheetId="24" hidden="1">{#N/A,#N/A,FALSE,"CTC Summary - EOY";#N/A,#N/A,FALSE,"CTC Summary - Wtavg"}</definedName>
    <definedName name="April" hidden="1">{#N/A,#N/A,FALSE,"CTC Summary - EOY";#N/A,#N/A,FALSE,"CTC Summary - Wtavg"}</definedName>
    <definedName name="AS2DocOpenMode">"AS2DocumentEdit"</definedName>
    <definedName name="August" localSheetId="24" hidden="1">{#N/A,#N/A,FALSE,"CTC Summary - EOY";#N/A,#N/A,FALSE,"CTC Summary - Wtavg"}</definedName>
    <definedName name="August" hidden="1">{#N/A,#N/A,FALSE,"CTC Summary - EOY";#N/A,#N/A,FALSE,"CTC Summary - Wtavg"}</definedName>
    <definedName name="b" localSheetId="24" hidden="1">{#N/A,#N/A,FALSE,"CTC Summary - EOY";#N/A,#N/A,FALSE,"CTC Summary - Wtavg"}</definedName>
    <definedName name="b" hidden="1">{#N/A,#N/A,FALSE,"CTC Summary - EOY";#N/A,#N/A,FALSE,"CTC Summary - Wtavg"}</definedName>
    <definedName name="CIQWBGuid" hidden="1">"5c45d50c-fbb0-4040-9a33-7ec34da71b69"</definedName>
    <definedName name="copy" localSheetId="24" hidden="1">{#N/A,#N/A,FALSE,"Dist Rev at PR ";#N/A,#N/A,FALSE,"Spec";#N/A,#N/A,FALSE,"Res";#N/A,#N/A,FALSE,"Small L&amp;P";#N/A,#N/A,FALSE,"Medium L&amp;P";#N/A,#N/A,FALSE,"E-19";#N/A,#N/A,FALSE,"E-20";#N/A,#N/A,FALSE,"Strtlts &amp; Standby";#N/A,#N/A,FALSE,"A-RTP";#N/A,#N/A,FALSE,"2003mixeduse"}</definedName>
    <definedName name="copy" localSheetId="13"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24" hidden="1">{#N/A,#N/A,FALSE,"Workpaper Tables 4-1 &amp; 4-2";#N/A,#N/A,FALSE,"Revenue Allocation Results";#N/A,#N/A,FALSE,"FERC Rev @ PR";#N/A,#N/A,FALSE,"Distribution Revenue Allocation";#N/A,#N/A,FALSE,"Nonallocated Revenues ";#N/A,#N/A,FALSE,"2000mixuse";#N/A,#N/A,FALSE,"MC Revenues- 00 sales, 96 MC's"}</definedName>
    <definedName name="copyprint" localSheetId="13"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24" hidden="1">{#N/A,#N/A,FALSE,"RRQ inputs ";#N/A,#N/A,FALSE,"FERC Rev @ PR";#N/A,#N/A,FALSE,"Distribution Revenue Allocation";#N/A,#N/A,FALSE,"Nonallocated Revenues";#N/A,#N/A,FALSE,"MC Revenues-03 sales, 96 MC's";#N/A,#N/A,FALSE,"FTA"}</definedName>
    <definedName name="copyrevalloc" localSheetId="13"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24" hidden="1">{#N/A,#N/A,FALSE,"ND Rev at Pres Rates";#N/A,#N/A,FALSE,"Res - Unadj";#N/A,#N/A,FALSE,"Small L&amp;P";#N/A,#N/A,FALSE,"Medium L&amp;P";#N/A,#N/A,FALSE,"E-19";#N/A,#N/A,FALSE,"E-20";#N/A,#N/A,FALSE,"A-RTP";#N/A,#N/A,FALSE,"Strtlts &amp; Standby";#N/A,#N/A,FALSE,"AG";#N/A,#N/A,FALSE,"2001mixeduse"}</definedName>
    <definedName name="copyschudel" localSheetId="13"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TIT" localSheetId="24" hidden="1">{"PI_Data",#N/A,TRUE,"P&amp;I Data"}</definedName>
    <definedName name="CTIT" hidden="1">{"PI_Data",#N/A,TRUE,"P&amp;I Data"}</definedName>
    <definedName name="d" localSheetId="24" hidden="1">{#N/A,#N/A,FALSE,"CTC Summary - EOY";#N/A,#N/A,FALSE,"CTC Summary - Wtavg"}</definedName>
    <definedName name="d" hidden="1">{#N/A,#N/A,FALSE,"CTC Summary - EOY";#N/A,#N/A,FALSE,"CTC Summary - Wtavg"}</definedName>
    <definedName name="DeleteMe" localSheetId="24" hidden="1">{#N/A,#N/A,FALSE,"Dist Rev at PR ";#N/A,#N/A,FALSE,"Spec";#N/A,#N/A,FALSE,"Res";#N/A,#N/A,FALSE,"Small L&amp;P";#N/A,#N/A,FALSE,"Medium L&amp;P";#N/A,#N/A,FALSE,"E-19";#N/A,#N/A,FALSE,"E-20";#N/A,#N/A,FALSE,"Strtlts &amp; Standby";#N/A,#N/A,FALSE,"A-RTP";#N/A,#N/A,FALSE,"2003mixeduse"}</definedName>
    <definedName name="DeleteMe" hidden="1">{#N/A,#N/A,FALSE,"Dist Rev at PR ";#N/A,#N/A,FALSE,"Spec";#N/A,#N/A,FALSE,"Res";#N/A,#N/A,FALSE,"Small L&amp;P";#N/A,#N/A,FALSE,"Medium L&amp;P";#N/A,#N/A,FALSE,"E-19";#N/A,#N/A,FALSE,"E-20";#N/A,#N/A,FALSE,"Strtlts &amp; Standby";#N/A,#N/A,FALSE,"A-RTP";#N/A,#N/A,FALSE,"2003mixeduse"}</definedName>
    <definedName name="e" localSheetId="24" hidden="1">{#N/A,#N/A,FALSE,"CTC Summary - EOY";#N/A,#N/A,FALSE,"CTC Summary - Wtavg"}</definedName>
    <definedName name="e" hidden="1">{#N/A,#N/A,FALSE,"CTC Summary - EOY";#N/A,#N/A,FALSE,"CTC Summary - Wtavg"}</definedName>
    <definedName name="ED">"3W3Y8WU9D4KB8I8XZYLB5WWMT"</definedName>
    <definedName name="ee" localSheetId="15" hidden="1">{"PI_Data",#N/A,TRUE,"P&amp;I Data"}</definedName>
    <definedName name="ee" localSheetId="16" hidden="1">{"PI_Data",#N/A,TRUE,"P&amp;I Data"}</definedName>
    <definedName name="ee" localSheetId="17" hidden="1">{"PI_Data",#N/A,TRUE,"P&amp;I Data"}</definedName>
    <definedName name="ee" localSheetId="18" hidden="1">{"PI_Data",#N/A,TRUE,"P&amp;I Data"}</definedName>
    <definedName name="ee" localSheetId="19"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4" hidden="1">{"PI_Data",#N/A,TRUE,"P&amp;I Data"}</definedName>
    <definedName name="ee" localSheetId="25" hidden="1">{"PI_Data",#N/A,TRUE,"P&amp;I Data"}</definedName>
    <definedName name="ee" localSheetId="27" hidden="1">{"PI_Data",#N/A,TRUE,"P&amp;I Data"}</definedName>
    <definedName name="ee" localSheetId="28" hidden="1">{"PI_Data",#N/A,TRUE,"P&amp;I Data"}</definedName>
    <definedName name="ee" localSheetId="29" hidden="1">{"PI_Data",#N/A,TRUE,"P&amp;I Data"}</definedName>
    <definedName name="ee" localSheetId="30" hidden="1">{"PI_Data",#N/A,TRUE,"P&amp;I Data"}</definedName>
    <definedName name="ee" localSheetId="31" hidden="1">{"PI_Data",#N/A,TRUE,"P&amp;I Data"}</definedName>
    <definedName name="ee" localSheetId="32" hidden="1">{"PI_Data",#N/A,TRUE,"P&amp;I Data"}</definedName>
    <definedName name="ee" localSheetId="33" hidden="1">{"PI_Data",#N/A,TRUE,"P&amp;I Data"}</definedName>
    <definedName name="ee" localSheetId="34" hidden="1">{"PI_Data",#N/A,TRUE,"P&amp;I Data"}</definedName>
    <definedName name="ee" localSheetId="35" hidden="1">{"PI_Data",#N/A,TRUE,"P&amp;I Data"}</definedName>
    <definedName name="ee" localSheetId="9" hidden="1">{"PI_Data",#N/A,TRUE,"P&amp;I Data"}</definedName>
    <definedName name="ee" localSheetId="11" hidden="1">{"PI_Data",#N/A,TRUE,"P&amp;I Data"}</definedName>
    <definedName name="ee" localSheetId="12" hidden="1">{"PI_Data",#N/A,TRUE,"P&amp;I Data"}</definedName>
    <definedName name="ee" localSheetId="13" hidden="1">{"PI_Data",#N/A,TRUE,"P&amp;I Data"}</definedName>
    <definedName name="ee" localSheetId="14" hidden="1">{"PI_Data",#N/A,TRUE,"P&amp;I Data"}</definedName>
    <definedName name="ee"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8" hidden="1">{"PI_Data",#N/A,TRUE,"P&amp;I Data"}</definedName>
    <definedName name="ef" localSheetId="19"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4" hidden="1">{"PI_Data",#N/A,TRUE,"P&amp;I Data"}</definedName>
    <definedName name="ef" localSheetId="25" hidden="1">{"PI_Data",#N/A,TRUE,"P&amp;I Data"}</definedName>
    <definedName name="ef" localSheetId="27" hidden="1">{"PI_Data",#N/A,TRUE,"P&amp;I Data"}</definedName>
    <definedName name="ef" localSheetId="28" hidden="1">{"PI_Data",#N/A,TRUE,"P&amp;I Data"}</definedName>
    <definedName name="ef" localSheetId="29" hidden="1">{"PI_Data",#N/A,TRUE,"P&amp;I Data"}</definedName>
    <definedName name="ef" localSheetId="30" hidden="1">{"PI_Data",#N/A,TRUE,"P&amp;I Data"}</definedName>
    <definedName name="ef" localSheetId="31" hidden="1">{"PI_Data",#N/A,TRUE,"P&amp;I Data"}</definedName>
    <definedName name="ef" localSheetId="32" hidden="1">{"PI_Data",#N/A,TRUE,"P&amp;I Data"}</definedName>
    <definedName name="ef" localSheetId="33" hidden="1">{"PI_Data",#N/A,TRUE,"P&amp;I Data"}</definedName>
    <definedName name="ef" localSheetId="34" hidden="1">{"PI_Data",#N/A,TRUE,"P&amp;I Data"}</definedName>
    <definedName name="ef" localSheetId="35" hidden="1">{"PI_Data",#N/A,TRUE,"P&amp;I Data"}</definedName>
    <definedName name="ef" localSheetId="9" hidden="1">{"PI_Data",#N/A,TRUE,"P&amp;I Data"}</definedName>
    <definedName name="ef" localSheetId="11" hidden="1">{"PI_Data",#N/A,TRUE,"P&amp;I Data"}</definedName>
    <definedName name="ef" localSheetId="12" hidden="1">{"PI_Data",#N/A,TRUE,"P&amp;I Data"}</definedName>
    <definedName name="ef" localSheetId="13" hidden="1">{"PI_Data",#N/A,TRUE,"P&amp;I Data"}</definedName>
    <definedName name="ef" localSheetId="14" hidden="1">{"PI_Data",#N/A,TRUE,"P&amp;I Data"}</definedName>
    <definedName name="ef" hidden="1">{"PI_Data",#N/A,TRUE,"P&amp;I Data"}</definedName>
    <definedName name="EV__EVCOM_OPTIONS__" hidden="1">8</definedName>
    <definedName name="EV__EXPOPTIONS__" hidden="1">1</definedName>
    <definedName name="EV__LASTREFTIME__" localSheetId="23"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FERC" localSheetId="24" hidden="1">{#N/A,#N/A,FALSE,"CTC Summary - EOY";#N/A,#N/A,FALSE,"CTC Summary - Wtavg"}</definedName>
    <definedName name="FERC" hidden="1">{#N/A,#N/A,FALSE,"CTC Summary - EOY";#N/A,#N/A,FALSE,"CTC Summary - Wtavg"}</definedName>
    <definedName name="foo"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gggg"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huh" localSheetId="24" hidden="1">{#N/A,#N/A,FALSE,"Dist Rev at PR ";#N/A,#N/A,FALSE,"Spec";#N/A,#N/A,FALSE,"Res";#N/A,#N/A,FALSE,"Small L&amp;P";#N/A,#N/A,FALSE,"Medium L&amp;P";#N/A,#N/A,FALSE,"E-19";#N/A,#N/A,FALSE,"E-20";#N/A,#N/A,FALSE,"Strtlts &amp; Standby";#N/A,#N/A,FALSE,"A-RTP";#N/A,#N/A,FALSE,"2003mixeduse"}</definedName>
    <definedName name="huh" localSheetId="13"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24" hidden="1">{#N/A,#N/A,FALSE,"ND Rev at Pres Rates";#N/A,#N/A,FALSE,"Res - Unadj sales";#N/A,#N/A,FALSE,"Small L&amp;P";#N/A,#N/A,FALSE,"Medium L&amp;P";#N/A,#N/A,FALSE,"E-19";#N/A,#N/A,FALSE,"E-20";#N/A,#N/A,FALSE,"Strtlts &amp; Standby";#N/A,#N/A,FALSE,"AG";#N/A,#N/A,FALSE,"A-RTP";#N/A,#N/A,FALSE,"Spec"}</definedName>
    <definedName name="huhnd" localSheetId="13"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24" hidden="1">{#N/A,#N/A,FALSE,"ND Rev at Pres Rates";#N/A,#N/A,FALSE,"Res - Unadj sales";#N/A,#N/A,FALSE,"Small L&amp;P";#N/A,#N/A,FALSE,"Medium L&amp;P";#N/A,#N/A,FALSE,"E-19";#N/A,#N/A,FALSE,"E-20";#N/A,#N/A,FALSE,"Strtlts &amp; Standby";#N/A,#N/A,FALSE,"AG";#N/A,#N/A,FALSE,"A-RTP";#N/A,#N/A,FALSE,"Spec"}</definedName>
    <definedName name="huhnd2" localSheetId="13"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24" hidden="1">{#N/A,#N/A,FALSE,"Workpaper Tables 4-1 &amp; 4-2";#N/A,#N/A,FALSE,"Revenue Allocation Results";#N/A,#N/A,FALSE,"FERC Rev @ PR";#N/A,#N/A,FALSE,"Distribution Revenue Allocation";#N/A,#N/A,FALSE,"Nonallocated Revenues ";#N/A,#N/A,FALSE,"2000mixuse";#N/A,#N/A,FALSE,"MC Revenues- 00 sales, 96 MC's"}</definedName>
    <definedName name="huhprint" localSheetId="13"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24" hidden="1">{#N/A,#N/A,FALSE,"RRQ inputs ";#N/A,#N/A,FALSE,"FERC Rev @ PR";#N/A,#N/A,FALSE,"Distribution Revenue Allocation";#N/A,#N/A,FALSE,"Nonallocated Revenues";#N/A,#N/A,FALSE,"MC Revenues-03 sales, 96 MC's";#N/A,#N/A,FALSE,"FTA"}</definedName>
    <definedName name="huhrevalloc" localSheetId="13"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24" hidden="1">{#N/A,#N/A,FALSE,"ND Rev at Pres Rates";#N/A,#N/A,FALSE,"Res - Unadj";#N/A,#N/A,FALSE,"Small L&amp;P";#N/A,#N/A,FALSE,"Medium L&amp;P";#N/A,#N/A,FALSE,"E-19";#N/A,#N/A,FALSE,"E-20";#N/A,#N/A,FALSE,"A-RTP";#N/A,#N/A,FALSE,"Strtlts &amp; Standby";#N/A,#N/A,FALSE,"AG";#N/A,#N/A,FALSE,"2001mixeduse"}</definedName>
    <definedName name="huhschudel" localSheetId="13"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ly" localSheetId="24" hidden="1">{#N/A,#N/A,FALSE,"CTC Summary - EOY";#N/A,#N/A,FALSE,"CTC Summary - Wtavg"}</definedName>
    <definedName name="July" hidden="1">{#N/A,#N/A,FALSE,"CTC Summary - EOY";#N/A,#N/A,FALSE,"CTC Summary - Wtavg"}</definedName>
    <definedName name="June" localSheetId="24"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5" hidden="1">{"PI_Data",#N/A,TRUE,"P&amp;I Data"}</definedName>
    <definedName name="L" localSheetId="16" hidden="1">{"PI_Data",#N/A,TRUE,"P&amp;I Data"}</definedName>
    <definedName name="L" localSheetId="17" hidden="1">{"PI_Data",#N/A,TRUE,"P&amp;I Data"}</definedName>
    <definedName name="L" localSheetId="18" hidden="1">{"PI_Data",#N/A,TRUE,"P&amp;I Data"}</definedName>
    <definedName name="L" localSheetId="19"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4" hidden="1">{"PI_Data",#N/A,TRUE,"P&amp;I Data"}</definedName>
    <definedName name="L" localSheetId="25" hidden="1">{"PI_Data",#N/A,TRUE,"P&amp;I Data"}</definedName>
    <definedName name="L" localSheetId="27" hidden="1">{"PI_Data",#N/A,TRUE,"P&amp;I Data"}</definedName>
    <definedName name="L" localSheetId="28" hidden="1">{"PI_Data",#N/A,TRUE,"P&amp;I Data"}</definedName>
    <definedName name="L" localSheetId="29" hidden="1">{"PI_Data",#N/A,TRUE,"P&amp;I Data"}</definedName>
    <definedName name="L" localSheetId="30" hidden="1">{"PI_Data",#N/A,TRUE,"P&amp;I Data"}</definedName>
    <definedName name="L" localSheetId="31" hidden="1">{"PI_Data",#N/A,TRUE,"P&amp;I Data"}</definedName>
    <definedName name="L" localSheetId="32" hidden="1">{"PI_Data",#N/A,TRUE,"P&amp;I Data"}</definedName>
    <definedName name="L" localSheetId="33" hidden="1">{"PI_Data",#N/A,TRUE,"P&amp;I Data"}</definedName>
    <definedName name="L" localSheetId="34" hidden="1">{"PI_Data",#N/A,TRUE,"P&amp;I Data"}</definedName>
    <definedName name="L" localSheetId="35" hidden="1">{"PI_Data",#N/A,TRUE,"P&amp;I Data"}</definedName>
    <definedName name="L" localSheetId="9" hidden="1">{"PI_Data",#N/A,TRUE,"P&amp;I Data"}</definedName>
    <definedName name="L" localSheetId="11" hidden="1">{"PI_Data",#N/A,TRUE,"P&amp;I Data"}</definedName>
    <definedName name="L" localSheetId="12" hidden="1">{"PI_Data",#N/A,TRUE,"P&amp;I Data"}</definedName>
    <definedName name="L" localSheetId="13" hidden="1">{"PI_Data",#N/A,TRUE,"P&amp;I Data"}</definedName>
    <definedName name="L" localSheetId="14" hidden="1">{"PI_Data",#N/A,TRUE,"P&amp;I Data"}</definedName>
    <definedName name="L" hidden="1">{"PI_Data",#N/A,TRUE,"P&amp;I Data"}</definedName>
    <definedName name="L2X" localSheetId="24" hidden="1">{"PI_Data",#N/A,TRUE,"P&amp;I Data"}</definedName>
    <definedName name="L2X" hidden="1">{"PI_Data",#N/A,TRUE,"P&amp;I Data"}</definedName>
    <definedName name="left">#REF!</definedName>
    <definedName name="LL" localSheetId="24" hidden="1">{"PI_Data",#N/A,TRUE,"P&amp;I Data"}</definedName>
    <definedName name="LL"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8" hidden="1">{"PI_Data",#N/A,TRUE,"P&amp;I Data"}</definedName>
    <definedName name="m" localSheetId="19"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4" hidden="1">{"PI_Data",#N/A,TRUE,"P&amp;I Data"}</definedName>
    <definedName name="m" localSheetId="25" hidden="1">{"PI_Data",#N/A,TRUE,"P&amp;I Data"}</definedName>
    <definedName name="m" localSheetId="27" hidden="1">{"PI_Data",#N/A,TRUE,"P&amp;I Data"}</definedName>
    <definedName name="m" localSheetId="28" hidden="1">{"PI_Data",#N/A,TRUE,"P&amp;I Data"}</definedName>
    <definedName name="m" localSheetId="29" hidden="1">{"PI_Data",#N/A,TRUE,"P&amp;I Data"}</definedName>
    <definedName name="m" localSheetId="30" hidden="1">{"PI_Data",#N/A,TRUE,"P&amp;I Data"}</definedName>
    <definedName name="m" localSheetId="31" hidden="1">{"PI_Data",#N/A,TRUE,"P&amp;I Data"}</definedName>
    <definedName name="m" localSheetId="32" hidden="1">{"PI_Data",#N/A,TRUE,"P&amp;I Data"}</definedName>
    <definedName name="m" localSheetId="33" hidden="1">{"PI_Data",#N/A,TRUE,"P&amp;I Data"}</definedName>
    <definedName name="m" localSheetId="34" hidden="1">{"PI_Data",#N/A,TRUE,"P&amp;I Data"}</definedName>
    <definedName name="m" localSheetId="35" hidden="1">{"PI_Data",#N/A,TRUE,"P&amp;I Data"}</definedName>
    <definedName name="m" localSheetId="9" hidden="1">{"PI_Data",#N/A,TRUE,"P&amp;I Data"}</definedName>
    <definedName name="m" localSheetId="11" hidden="1">{"PI_Data",#N/A,TRUE,"P&amp;I Data"}</definedName>
    <definedName name="m" localSheetId="12" hidden="1">{"PI_Data",#N/A,TRUE,"P&amp;I Data"}</definedName>
    <definedName name="m" localSheetId="13" hidden="1">{"PI_Data",#N/A,TRUE,"P&amp;I Data"}</definedName>
    <definedName name="m" localSheetId="14" hidden="1">{"PI_Data",#N/A,TRUE,"P&amp;I Data"}</definedName>
    <definedName name="m" hidden="1">{"PI_Data",#N/A,TRUE,"P&amp;I Data"}</definedName>
    <definedName name="M2X" localSheetId="24" hidden="1">{"PI_Data",#N/A,TRUE,"P&amp;I Data"}</definedName>
    <definedName name="M2X" hidden="1">{"PI_Data",#N/A,TRUE,"P&amp;I Data"}</definedName>
    <definedName name="May" localSheetId="24" hidden="1">{#N/A,#N/A,FALSE,"CTC Summary - EOY";#N/A,#N/A,FALSE,"CTC Summary - Wtavg"}</definedName>
    <definedName name="May" hidden="1">{#N/A,#N/A,FALSE,"CTC Summary - EOY";#N/A,#N/A,FALSE,"CTC Summary - Wtavg"}</definedName>
    <definedName name="MEWarning" hidden="1">1</definedName>
    <definedName name="MM" localSheetId="24" hidden="1">{"PI_Data",#N/A,TRUE,"P&amp;I Data"}</definedName>
    <definedName name="MM" hidden="1">{"PI_Data",#N/A,TRUE,"P&amp;I Data"}</definedName>
    <definedName name="n" localSheetId="24" hidden="1">{#N/A,#N/A,FALSE,"CTC Summary - EOY";#N/A,#N/A,FALSE,"CTC Summary - Wtavg"}</definedName>
    <definedName name="n" hidden="1">{#N/A,#N/A,FALSE,"CTC Summary - EOY";#N/A,#N/A,FALSE,"CTC Summary - Wtavg"}</definedName>
    <definedName name="New" localSheetId="24" hidden="1">{#N/A,#N/A,FALSE,"CTC Summary - EOY";#N/A,#N/A,FALSE,"CTC Summary - Wtavg"}</definedName>
    <definedName name="New" hidden="1">{#N/A,#N/A,FALSE,"CTC Summary - EOY";#N/A,#N/A,FALSE,"CTC Summary - Wtavg"}</definedName>
    <definedName name="p" localSheetId="15" hidden="1">{"PI_Data",#N/A,TRUE,"P&amp;I Data"}</definedName>
    <definedName name="p" localSheetId="16" hidden="1">{"PI_Data",#N/A,TRUE,"P&amp;I Data"}</definedName>
    <definedName name="p" localSheetId="17" hidden="1">{"PI_Data",#N/A,TRUE,"P&amp;I Data"}</definedName>
    <definedName name="p" localSheetId="18" hidden="1">{"PI_Data",#N/A,TRUE,"P&amp;I Data"}</definedName>
    <definedName name="p" localSheetId="19"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4" hidden="1">{"PI_Data",#N/A,TRUE,"P&amp;I Data"}</definedName>
    <definedName name="p" localSheetId="25" hidden="1">{"PI_Data",#N/A,TRUE,"P&amp;I Data"}</definedName>
    <definedName name="p" localSheetId="27" hidden="1">{"PI_Data",#N/A,TRUE,"P&amp;I Data"}</definedName>
    <definedName name="p" localSheetId="28" hidden="1">{"PI_Data",#N/A,TRUE,"P&amp;I Data"}</definedName>
    <definedName name="p" localSheetId="29" hidden="1">{"PI_Data",#N/A,TRUE,"P&amp;I Data"}</definedName>
    <definedName name="p" localSheetId="30" hidden="1">{"PI_Data",#N/A,TRUE,"P&amp;I Data"}</definedName>
    <definedName name="p" localSheetId="31" hidden="1">{"PI_Data",#N/A,TRUE,"P&amp;I Data"}</definedName>
    <definedName name="p" localSheetId="32" hidden="1">{"PI_Data",#N/A,TRUE,"P&amp;I Data"}</definedName>
    <definedName name="p" localSheetId="33" hidden="1">{"PI_Data",#N/A,TRUE,"P&amp;I Data"}</definedName>
    <definedName name="p" localSheetId="34" hidden="1">{"PI_Data",#N/A,TRUE,"P&amp;I Data"}</definedName>
    <definedName name="p" localSheetId="35" hidden="1">{"PI_Data",#N/A,TRUE,"P&amp;I Data"}</definedName>
    <definedName name="p" localSheetId="9" hidden="1">{"PI_Data",#N/A,TRUE,"P&amp;I Data"}</definedName>
    <definedName name="p" localSheetId="11" hidden="1">{"PI_Data",#N/A,TRUE,"P&amp;I Data"}</definedName>
    <definedName name="p" localSheetId="12" hidden="1">{"PI_Data",#N/A,TRUE,"P&amp;I Data"}</definedName>
    <definedName name="p" localSheetId="13" hidden="1">{"PI_Data",#N/A,TRUE,"P&amp;I Data"}</definedName>
    <definedName name="p" localSheetId="14" hidden="1">{"PI_Data",#N/A,TRUE,"P&amp;I Data"}</definedName>
    <definedName name="p" hidden="1">{"PI_Data",#N/A,TRUE,"P&amp;I Data"}</definedName>
    <definedName name="P2X" localSheetId="24" hidden="1">{"PI_Data",#N/A,TRUE,"P&amp;I Data"}</definedName>
    <definedName name="P2X" hidden="1">{"PI_Data",#N/A,TRUE,"P&amp;I Data"}</definedName>
    <definedName name="PIX" localSheetId="24" hidden="1">{"PI_Data",#N/A,TRUE,"P&amp;I Data"}</definedName>
    <definedName name="PIX" hidden="1">{"PI_Data",#N/A,TRUE,"P&amp;I Data"}</definedName>
    <definedName name="PP" localSheetId="24" hidden="1">{"PI_Data",#N/A,TRUE,"P&amp;I Data"}</definedName>
    <definedName name="PP" hidden="1">{"PI_Data",#N/A,TRUE,"P&amp;I Data"}</definedName>
    <definedName name="ppppppppppppppppppppppppppppppp" localSheetId="24" hidden="1">{"PI_Data",#N/A,TRUE,"P&amp;I Data"}</definedName>
    <definedName name="ppppppppppppppppppppppppppppppp" hidden="1">{"PI_Data",#N/A,TRUE,"P&amp;I Data"}</definedName>
    <definedName name="_xlnm.Print_Area" localSheetId="15">'10-AccDep'!$A$1:$R$136</definedName>
    <definedName name="_xlnm.Print_Area" localSheetId="18">'13-WorkCap'!$A$1:$J$69</definedName>
    <definedName name="_xlnm.Print_Area" localSheetId="19">'14-ADIT'!$A$1:$N$189</definedName>
    <definedName name="_xlnm.Print_Area" localSheetId="20">'15-NUC'!$A$1:$G$20</definedName>
    <definedName name="_xlnm.Print_Area" localSheetId="22">'17-RegAssets-1'!$A$1:$K$73</definedName>
    <definedName name="_xlnm.Print_Area" localSheetId="25">'18-OandM'!$A$1:$Q$47</definedName>
    <definedName name="_xlnm.Print_Area" localSheetId="26">'19-AandG'!$A$1:$N$78</definedName>
    <definedName name="_xlnm.Print_Area" localSheetId="27">'20-RevenueCredits'!$A$1:$K$70</definedName>
    <definedName name="_xlnm.Print_Area" localSheetId="28">'21-NPandS'!$A$1:$G$44</definedName>
    <definedName name="_xlnm.Print_Area" localSheetId="29">'22-TaxRates'!$A$1:$F$16</definedName>
    <definedName name="_xlnm.Print_Area" localSheetId="30">'23-RetailSGTax'!$A$1:$K$68</definedName>
    <definedName name="_xlnm.Print_Area" localSheetId="31">'24-Allocators'!$A$1:$F$64</definedName>
    <definedName name="_xlnm.Print_Area" localSheetId="32">'25-RFandUFactors'!$A$1:$G$25</definedName>
    <definedName name="_xlnm.Print_Area" localSheetId="33">'26-WholesaleTRRs'!$A$1:$I$59</definedName>
    <definedName name="_xlnm.Print_Area" localSheetId="35">'28-GrossLoad'!$A$1:$F$13</definedName>
    <definedName name="_xlnm.Print_Area" localSheetId="4">'2-ITRR'!$A$1:$G$35</definedName>
    <definedName name="_xlnm.Print_Area" localSheetId="5">'3-True-upTRR'!$A$1:$I$111</definedName>
    <definedName name="_xlnm.Print_Area" localSheetId="6">'4-ATA'!$A$1:$L$148</definedName>
    <definedName name="_xlnm.Print_Area" localSheetId="7">'5-CostofCap-1'!$A$1:$G$30</definedName>
    <definedName name="_xlnm.Print_Area" localSheetId="8">'5-CostofCap-2'!$A$1:$Q$57</definedName>
    <definedName name="_xlnm.Print_Area" localSheetId="9">'5-CostofCap-3'!$A$1:$H$25</definedName>
    <definedName name="_xlnm.Print_Area" localSheetId="10">'5-CostofCap-4'!$A$1:$K$47</definedName>
    <definedName name="_xlnm.Print_Area" localSheetId="11">'6-PlantJurisdiction'!$A$1:$J$29</definedName>
    <definedName name="_xlnm.Print_Area" localSheetId="12">'7-PlantInService'!$A$1:$R$136</definedName>
    <definedName name="_xlnm.Print_Area" localSheetId="13">'8-AbandonedPlant'!$A$1:$Q$22</definedName>
    <definedName name="_xlnm.Print_Area" localSheetId="0">'Cover Page'!$A$1:$F$23</definedName>
    <definedName name="Print_Area_MI" localSheetId="24">#REF!</definedName>
    <definedName name="Print_Area_MI">#REF!</definedName>
    <definedName name="_xlnm.Print_Titles" localSheetId="15">'10-AccDep'!$1:$2</definedName>
    <definedName name="_xlnm.Print_Titles" localSheetId="16">'11-Depreciation'!$1:$2</definedName>
    <definedName name="_xlnm.Print_Titles" localSheetId="18">'13-WorkCap'!$1:$2</definedName>
    <definedName name="_xlnm.Print_Titles" localSheetId="19">'14-ADIT'!$1:$2</definedName>
    <definedName name="_xlnm.Print_Titles" localSheetId="3">'1-BaseTRR'!$1:$2</definedName>
    <definedName name="_xlnm.Print_Titles" localSheetId="5">'3-True-upTRR'!$1:$2</definedName>
    <definedName name="_xlnm.Print_Titles" localSheetId="6">'4-ATA'!$1:$2</definedName>
    <definedName name="_xlnm.Print_Titles" localSheetId="12">'7-PlantInService'!$1:$2</definedName>
    <definedName name="_xlnm.Print_Titles" localSheetId="14">'9-PlantAdditions'!$1:$5</definedName>
    <definedName name="q" localSheetId="24" hidden="1">#REF!</definedName>
    <definedName name="q" hidden="1">#REF!</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8" hidden="1">{"PI_Data",#N/A,TRUE,"P&amp;I Data"}</definedName>
    <definedName name="qwer" localSheetId="19"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4" hidden="1">{"PI_Data",#N/A,TRUE,"P&amp;I Data"}</definedName>
    <definedName name="qwer" localSheetId="25" hidden="1">{"PI_Data",#N/A,TRUE,"P&amp;I Data"}</definedName>
    <definedName name="qwer" localSheetId="27" hidden="1">{"PI_Data",#N/A,TRUE,"P&amp;I Data"}</definedName>
    <definedName name="qwer" localSheetId="28" hidden="1">{"PI_Data",#N/A,TRUE,"P&amp;I Data"}</definedName>
    <definedName name="qwer" localSheetId="29" hidden="1">{"PI_Data",#N/A,TRUE,"P&amp;I Data"}</definedName>
    <definedName name="qwer" localSheetId="30" hidden="1">{"PI_Data",#N/A,TRUE,"P&amp;I Data"}</definedName>
    <definedName name="qwer" localSheetId="31" hidden="1">{"PI_Data",#N/A,TRUE,"P&amp;I Data"}</definedName>
    <definedName name="qwer" localSheetId="32" hidden="1">{"PI_Data",#N/A,TRUE,"P&amp;I Data"}</definedName>
    <definedName name="qwer" localSheetId="33" hidden="1">{"PI_Data",#N/A,TRUE,"P&amp;I Data"}</definedName>
    <definedName name="qwer" localSheetId="34" hidden="1">{"PI_Data",#N/A,TRUE,"P&amp;I Data"}</definedName>
    <definedName name="qwer" localSheetId="35" hidden="1">{"PI_Data",#N/A,TRUE,"P&amp;I Data"}</definedName>
    <definedName name="qwer" localSheetId="9" hidden="1">{"PI_Data",#N/A,TRUE,"P&amp;I Data"}</definedName>
    <definedName name="qwer" localSheetId="11" hidden="1">{"PI_Data",#N/A,TRUE,"P&amp;I Data"}</definedName>
    <definedName name="qwer" localSheetId="12" hidden="1">{"PI_Data",#N/A,TRUE,"P&amp;I Data"}</definedName>
    <definedName name="qwer" localSheetId="13" hidden="1">{"PI_Data",#N/A,TRUE,"P&amp;I Data"}</definedName>
    <definedName name="qwer" localSheetId="14" hidden="1">{"PI_Data",#N/A,TRUE,"P&amp;I Data"}</definedName>
    <definedName name="qwer" hidden="1">{"PI_Data",#N/A,TRUE,"P&amp;I Data"}</definedName>
    <definedName name="QWER1" localSheetId="24" hidden="1">{"PI_Data",#N/A,TRUE,"P&amp;I Data"}</definedName>
    <definedName name="QWER1" hidden="1">{"PI_Data",#N/A,TRUE,"P&amp;I Data"}</definedName>
    <definedName name="qwer2" localSheetId="24" hidden="1">{"PI_Data",#N/A,TRUE,"P&amp;I Data"}</definedName>
    <definedName name="qwer2" hidden="1">{"PI_Data",#N/A,TRUE,"P&amp;I Data"}</definedName>
    <definedName name="QWERX" localSheetId="24" hidden="1">{"PI_Data",#N/A,TRUE,"P&amp;I Data"}</definedName>
    <definedName name="QWERX" hidden="1">{"PI_Data",#N/A,TRUE,"P&amp;I Data"}</definedName>
    <definedName name="right">#REF!</definedName>
    <definedName name="SAPBEXdnldView">"49BGT7GXT9EX51LLJXMJKZ8Y6"</definedName>
    <definedName name="SAPBEXhrIndnt">1</definedName>
    <definedName name="SAPBEXrevision" localSheetId="23" hidden="1">23</definedName>
    <definedName name="SAPBEXrevision">9</definedName>
    <definedName name="SAPBEXsysID">"BPR"</definedName>
    <definedName name="SAPBEXwbID" localSheetId="23" hidden="1">"4HQ4VKTSPDVV7Z9R01RIJVVW7"</definedName>
    <definedName name="SAPBEXwbID">"3XY8MM4SHGBHT4B7F8XEIC63B"</definedName>
    <definedName name="SAPBEXwbID2" localSheetId="23" hidden="1">"43PJT8J5QINLSBNFYJLE3ZU45"</definedName>
    <definedName name="SAPBEXwbID2">"3W3Y8WU9D4KB8I8XZYLB5WWMT"</definedName>
    <definedName name="SAPCrosstab1">#REF!</definedName>
    <definedName name="SAPEXwbID1">"471C2VSNPC28U9XYPMV2AOH11"</definedName>
    <definedName name="sds" localSheetId="24" hidden="1">{"Summary","1",FALSE,"Summary"}</definedName>
    <definedName name="sds" hidden="1">{"Summary","1",FALSE,"Summary"}</definedName>
    <definedName name="sdsb" localSheetId="24" hidden="1">{"Summary","1",FALSE,"Summary"}</definedName>
    <definedName name="sdsb" hidden="1">{"Summary","1",FALSE,"Summary"}</definedName>
    <definedName name="sencount">1</definedName>
    <definedName name="solver_lin" hidden="1">0</definedName>
    <definedName name="solver_num" hidden="1">0</definedName>
    <definedName name="solver_opt" localSheetId="15" hidden="1">#REF!</definedName>
    <definedName name="solver_opt" localSheetId="16" hidden="1">#REF!</definedName>
    <definedName name="solver_opt" localSheetId="17" hidden="1">#REF!</definedName>
    <definedName name="solver_opt" localSheetId="18" hidden="1">#REF!</definedName>
    <definedName name="solver_opt" localSheetId="19" hidden="1">#REF!</definedName>
    <definedName name="solver_opt" localSheetId="20" hidden="1">#REF!</definedName>
    <definedName name="solver_opt" localSheetId="21" hidden="1">#REF!</definedName>
    <definedName name="solver_opt" localSheetId="22" hidden="1">#REF!</definedName>
    <definedName name="solver_opt" localSheetId="25" hidden="1">#REF!</definedName>
    <definedName name="solver_opt" localSheetId="27" hidden="1">#REF!</definedName>
    <definedName name="solver_opt" localSheetId="28" hidden="1">#REF!</definedName>
    <definedName name="solver_opt" localSheetId="29" hidden="1">#REF!</definedName>
    <definedName name="solver_opt" localSheetId="30" hidden="1">#REF!</definedName>
    <definedName name="solver_opt" localSheetId="31" hidden="1">#REF!</definedName>
    <definedName name="solver_opt" localSheetId="32" hidden="1">#REF!</definedName>
    <definedName name="solver_opt" localSheetId="33" hidden="1">#REF!</definedName>
    <definedName name="solver_opt" localSheetId="34" hidden="1">#REF!</definedName>
    <definedName name="solver_opt" localSheetId="35" hidden="1">#REF!</definedName>
    <definedName name="solver_opt" localSheetId="5" hidden="1">#REF!</definedName>
    <definedName name="solver_opt" localSheetId="7" hidden="1">#REF!</definedName>
    <definedName name="solver_opt" localSheetId="8" hidden="1">#REF!</definedName>
    <definedName name="solver_opt" localSheetId="9" hidden="1">#REF!</definedName>
    <definedName name="solver_opt" localSheetId="11" hidden="1">#REF!</definedName>
    <definedName name="solver_opt" localSheetId="12" hidden="1">#REF!</definedName>
    <definedName name="solver_opt" localSheetId="13" hidden="1">#REF!</definedName>
    <definedName name="solver_opt" localSheetId="14" hidden="1">#REF!</definedName>
    <definedName name="solver_opt" hidden="1">#REF!</definedName>
    <definedName name="solver_typ" hidden="1">1</definedName>
    <definedName name="solver_val" hidden="1">0</definedName>
    <definedName name="ssd"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tep2" localSheetId="24" hidden="1">{#N/A,#N/A,FALSE,"CTC Summary - EOY";#N/A,#N/A,FALSE,"CTC Summary - Wtavg"}</definedName>
    <definedName name="Step2" hidden="1">{#N/A,#N/A,FALSE,"CTC Summary - EOY";#N/A,#N/A,FALSE,"CTC Summary - Wtavg"}</definedName>
    <definedName name="T" localSheetId="15" hidden="1">{"PI_Data",#N/A,TRUE,"P&amp;I Data"}</definedName>
    <definedName name="T" localSheetId="16" hidden="1">{"PI_Data",#N/A,TRUE,"P&amp;I Data"}</definedName>
    <definedName name="T" localSheetId="17" hidden="1">{"PI_Data",#N/A,TRUE,"P&amp;I Data"}</definedName>
    <definedName name="T" localSheetId="18" hidden="1">{"PI_Data",#N/A,TRUE,"P&amp;I Data"}</definedName>
    <definedName name="T" localSheetId="19"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4" hidden="1">{"PI_Data",#N/A,TRUE,"P&amp;I Data"}</definedName>
    <definedName name="T" localSheetId="25" hidden="1">{"PI_Data",#N/A,TRUE,"P&amp;I Data"}</definedName>
    <definedName name="T" localSheetId="27" hidden="1">{"PI_Data",#N/A,TRUE,"P&amp;I Data"}</definedName>
    <definedName name="T" localSheetId="28" hidden="1">{"PI_Data",#N/A,TRUE,"P&amp;I Data"}</definedName>
    <definedName name="T" localSheetId="29" hidden="1">{"PI_Data",#N/A,TRUE,"P&amp;I Data"}</definedName>
    <definedName name="T" localSheetId="30" hidden="1">{"PI_Data",#N/A,TRUE,"P&amp;I Data"}</definedName>
    <definedName name="T" localSheetId="31" hidden="1">{"PI_Data",#N/A,TRUE,"P&amp;I Data"}</definedName>
    <definedName name="T" localSheetId="32" hidden="1">{"PI_Data",#N/A,TRUE,"P&amp;I Data"}</definedName>
    <definedName name="T" localSheetId="33" hidden="1">{"PI_Data",#N/A,TRUE,"P&amp;I Data"}</definedName>
    <definedName name="T" localSheetId="34" hidden="1">{"PI_Data",#N/A,TRUE,"P&amp;I Data"}</definedName>
    <definedName name="T" localSheetId="35" hidden="1">{"PI_Data",#N/A,TRUE,"P&amp;I Data"}</definedName>
    <definedName name="T" localSheetId="9" hidden="1">{"PI_Data",#N/A,TRUE,"P&amp;I Data"}</definedName>
    <definedName name="T" localSheetId="11" hidden="1">{"PI_Data",#N/A,TRUE,"P&amp;I Data"}</definedName>
    <definedName name="T" localSheetId="12" hidden="1">{"PI_Data",#N/A,TRUE,"P&amp;I Data"}</definedName>
    <definedName name="T" localSheetId="13" hidden="1">{"PI_Data",#N/A,TRUE,"P&amp;I Data"}</definedName>
    <definedName name="T" localSheetId="14" hidden="1">{"PI_Data",#N/A,TRUE,"P&amp;I Data"}</definedName>
    <definedName name="T" hidden="1">{"PI_Data",#N/A,TRUE,"P&amp;I Data"}</definedName>
    <definedName name="T2X" localSheetId="24" hidden="1">{"PI_Data",#N/A,TRUE,"P&amp;I Data"}</definedName>
    <definedName name="T2X"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8" hidden="1">{"PI_Data",#N/A,TRUE,"P&amp;I Data"}</definedName>
    <definedName name="test" localSheetId="19"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4" hidden="1">{"PI_Data",#N/A,TRUE,"P&amp;I Data"}</definedName>
    <definedName name="test" localSheetId="25" hidden="1">{"PI_Data",#N/A,TRUE,"P&amp;I Data"}</definedName>
    <definedName name="test" localSheetId="27" hidden="1">{"PI_Data",#N/A,TRUE,"P&amp;I Data"}</definedName>
    <definedName name="test" localSheetId="28" hidden="1">{"PI_Data",#N/A,TRUE,"P&amp;I Data"}</definedName>
    <definedName name="test" localSheetId="29" hidden="1">{"PI_Data",#N/A,TRUE,"P&amp;I Data"}</definedName>
    <definedName name="test" localSheetId="30" hidden="1">{"PI_Data",#N/A,TRUE,"P&amp;I Data"}</definedName>
    <definedName name="test" localSheetId="31" hidden="1">{"PI_Data",#N/A,TRUE,"P&amp;I Data"}</definedName>
    <definedName name="test" localSheetId="32" hidden="1">{"PI_Data",#N/A,TRUE,"P&amp;I Data"}</definedName>
    <definedName name="test" localSheetId="33" hidden="1">{"PI_Data",#N/A,TRUE,"P&amp;I Data"}</definedName>
    <definedName name="test" localSheetId="34" hidden="1">{"PI_Data",#N/A,TRUE,"P&amp;I Data"}</definedName>
    <definedName name="test" localSheetId="35" hidden="1">{"PI_Data",#N/A,TRUE,"P&amp;I Data"}</definedName>
    <definedName name="test" localSheetId="9" hidden="1">{"PI_Data",#N/A,TRUE,"P&amp;I Data"}</definedName>
    <definedName name="test" localSheetId="11" hidden="1">{"PI_Data",#N/A,TRUE,"P&amp;I Data"}</definedName>
    <definedName name="test" localSheetId="12" hidden="1">{"PI_Data",#N/A,TRUE,"P&amp;I Data"}</definedName>
    <definedName name="test" localSheetId="13" hidden="1">{"PI_Data",#N/A,TRUE,"P&amp;I Data"}</definedName>
    <definedName name="test" localSheetId="14" hidden="1">{"PI_Data",#N/A,TRUE,"P&amp;I Data"}</definedName>
    <definedName name="test" hidden="1">{"PI_Data",#N/A,TRUE,"P&amp;I Data"}</definedName>
    <definedName name="text">"($ in '000s)"</definedName>
    <definedName name="TP_Footer_Path" hidden="1">"S:\23150\05RET\exec calcs\Chinn\"</definedName>
    <definedName name="TP_Footer_User" hidden="1">"CORBINP"</definedName>
    <definedName name="TP_Footer_Version" hidden="1">"v3.00"</definedName>
    <definedName name="TT" localSheetId="24" hidden="1">{"PI_Data",#N/A,TRUE,"P&amp;I Data"}</definedName>
    <definedName name="TT" hidden="1">{"PI_Data",#N/A,TRUE,"P&amp;I Data"}</definedName>
    <definedName name="ttttttttttttttttttttttaaaaaaaaaaaa" localSheetId="24" hidden="1">{"PI_Data",#N/A,TRUE,"P&amp;I Data"}</definedName>
    <definedName name="ttttttttttttttttttttttaaaaaaaaaaaa" hidden="1">{"PI_Data",#N/A,TRUE,"P&amp;I Data"}</definedName>
    <definedName name="UCC_500" localSheetId="24" hidden="1">#REF!</definedName>
    <definedName name="UCC_500" hidden="1">#REF!</definedName>
    <definedName name="UCC_510" localSheetId="24" hidden="1">#REF!</definedName>
    <definedName name="UCC_510" hidden="1">#REF!</definedName>
    <definedName name="UCC_800" localSheetId="24" hidden="1">#REF!</definedName>
    <definedName name="UCC_800" hidden="1">#REF!</definedName>
    <definedName name="UCC_801" localSheetId="24" hidden="1">#REF!</definedName>
    <definedName name="UCC_801" hidden="1">#REF!</definedName>
    <definedName name="UCC_802" localSheetId="24" hidden="1">#REF!</definedName>
    <definedName name="UCC_802" hidden="1">#REF!</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8" hidden="1">{#N/A,#N/A,FALSE,"CTC Summary - EOY";#N/A,#N/A,FALSE,"CTC Summary - Wtavg"}</definedName>
    <definedName name="wrn.Accelerated." localSheetId="19"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4" hidden="1">{#N/A,#N/A,FALSE,"CTC Summary - EOY";#N/A,#N/A,FALSE,"CTC Summary - Wtavg"}</definedName>
    <definedName name="wrn.Accelerated." localSheetId="25" hidden="1">{#N/A,#N/A,FALSE,"CTC Summary - EOY";#N/A,#N/A,FALSE,"CTC Summary - Wtavg"}</definedName>
    <definedName name="wrn.Accelerated." localSheetId="27" hidden="1">{#N/A,#N/A,FALSE,"CTC Summary - EOY";#N/A,#N/A,FALSE,"CTC Summary - Wtavg"}</definedName>
    <definedName name="wrn.Accelerated." localSheetId="28" hidden="1">{#N/A,#N/A,FALSE,"CTC Summary - EOY";#N/A,#N/A,FALSE,"CTC Summary - Wtavg"}</definedName>
    <definedName name="wrn.Accelerated." localSheetId="29" hidden="1">{#N/A,#N/A,FALSE,"CTC Summary - EOY";#N/A,#N/A,FALSE,"CTC Summary - Wtavg"}</definedName>
    <definedName name="wrn.Accelerated." localSheetId="30" hidden="1">{#N/A,#N/A,FALSE,"CTC Summary - EOY";#N/A,#N/A,FALSE,"CTC Summary - Wtavg"}</definedName>
    <definedName name="wrn.Accelerated." localSheetId="31" hidden="1">{#N/A,#N/A,FALSE,"CTC Summary - EOY";#N/A,#N/A,FALSE,"CTC Summary - Wtavg"}</definedName>
    <definedName name="wrn.Accelerated." localSheetId="32" hidden="1">{#N/A,#N/A,FALSE,"CTC Summary - EOY";#N/A,#N/A,FALSE,"CTC Summary - Wtavg"}</definedName>
    <definedName name="wrn.Accelerated." localSheetId="33" hidden="1">{#N/A,#N/A,FALSE,"CTC Summary - EOY";#N/A,#N/A,FALSE,"CTC Summary - Wtavg"}</definedName>
    <definedName name="wrn.Accelerated." localSheetId="34" hidden="1">{#N/A,#N/A,FALSE,"CTC Summary - EOY";#N/A,#N/A,FALSE,"CTC Summary - Wtavg"}</definedName>
    <definedName name="wrn.Accelerated." localSheetId="35" hidden="1">{#N/A,#N/A,FALSE,"CTC Summary - EOY";#N/A,#N/A,FALSE,"CTC Summary - Wtavg"}</definedName>
    <definedName name="wrn.Accelerated." localSheetId="9" hidden="1">{#N/A,#N/A,FALSE,"CTC Summary - EOY";#N/A,#N/A,FALSE,"CTC Summary - Wtavg"}</definedName>
    <definedName name="wrn.Accelerated." localSheetId="11" hidden="1">{#N/A,#N/A,FALSE,"CTC Summary - EOY";#N/A,#N/A,FALSE,"CTC Summary - Wtavg"}</definedName>
    <definedName name="wrn.Accelerated." localSheetId="12" hidden="1">{#N/A,#N/A,FALSE,"CTC Summary - EOY";#N/A,#N/A,FALSE,"CTC Summary - Wtavg"}</definedName>
    <definedName name="wrn.Accelerated." localSheetId="13" hidden="1">{#N/A,#N/A,FALSE,"CTC Summary - EOY";#N/A,#N/A,FALSE,"CTC Summary - Wtavg"}</definedName>
    <definedName name="wrn.Accelerated." localSheetId="14" hidden="1">{#N/A,#N/A,FALSE,"CTC Summary - EOY";#N/A,#N/A,FALSE,"CTC Summary - Wtavg"}</definedName>
    <definedName name="wrn.Accelerated."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8" hidden="1">{#N/A,#N/A,FALSE,"CTC Summary - EOY";#N/A,#N/A,FALSE,"CTC Summary - Wtavg"}</definedName>
    <definedName name="wrn.accellerated1" localSheetId="19"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4" hidden="1">{#N/A,#N/A,FALSE,"CTC Summary - EOY";#N/A,#N/A,FALSE,"CTC Summary - Wtavg"}</definedName>
    <definedName name="wrn.accellerated1" localSheetId="25" hidden="1">{#N/A,#N/A,FALSE,"CTC Summary - EOY";#N/A,#N/A,FALSE,"CTC Summary - Wtavg"}</definedName>
    <definedName name="wrn.accellerated1" localSheetId="27" hidden="1">{#N/A,#N/A,FALSE,"CTC Summary - EOY";#N/A,#N/A,FALSE,"CTC Summary - Wtavg"}</definedName>
    <definedName name="wrn.accellerated1" localSheetId="28" hidden="1">{#N/A,#N/A,FALSE,"CTC Summary - EOY";#N/A,#N/A,FALSE,"CTC Summary - Wtavg"}</definedName>
    <definedName name="wrn.accellerated1" localSheetId="29" hidden="1">{#N/A,#N/A,FALSE,"CTC Summary - EOY";#N/A,#N/A,FALSE,"CTC Summary - Wtavg"}</definedName>
    <definedName name="wrn.accellerated1" localSheetId="30" hidden="1">{#N/A,#N/A,FALSE,"CTC Summary - EOY";#N/A,#N/A,FALSE,"CTC Summary - Wtavg"}</definedName>
    <definedName name="wrn.accellerated1" localSheetId="31" hidden="1">{#N/A,#N/A,FALSE,"CTC Summary - EOY";#N/A,#N/A,FALSE,"CTC Summary - Wtavg"}</definedName>
    <definedName name="wrn.accellerated1" localSheetId="32" hidden="1">{#N/A,#N/A,FALSE,"CTC Summary - EOY";#N/A,#N/A,FALSE,"CTC Summary - Wtavg"}</definedName>
    <definedName name="wrn.accellerated1" localSheetId="33" hidden="1">{#N/A,#N/A,FALSE,"CTC Summary - EOY";#N/A,#N/A,FALSE,"CTC Summary - Wtavg"}</definedName>
    <definedName name="wrn.accellerated1" localSheetId="34" hidden="1">{#N/A,#N/A,FALSE,"CTC Summary - EOY";#N/A,#N/A,FALSE,"CTC Summary - Wtavg"}</definedName>
    <definedName name="wrn.accellerated1" localSheetId="35" hidden="1">{#N/A,#N/A,FALSE,"CTC Summary - EOY";#N/A,#N/A,FALSE,"CTC Summary - Wtavg"}</definedName>
    <definedName name="wrn.accellerated1" localSheetId="9" hidden="1">{#N/A,#N/A,FALSE,"CTC Summary - EOY";#N/A,#N/A,FALSE,"CTC Summary - Wtavg"}</definedName>
    <definedName name="wrn.accellerated1" localSheetId="11" hidden="1">{#N/A,#N/A,FALSE,"CTC Summary - EOY";#N/A,#N/A,FALSE,"CTC Summary - Wtavg"}</definedName>
    <definedName name="wrn.accellerated1" localSheetId="12" hidden="1">{#N/A,#N/A,FALSE,"CTC Summary - EOY";#N/A,#N/A,FALSE,"CTC Summary - Wtavg"}</definedName>
    <definedName name="wrn.accellerated1" localSheetId="13" hidden="1">{#N/A,#N/A,FALSE,"CTC Summary - EOY";#N/A,#N/A,FALSE,"CTC Summary - Wtavg"}</definedName>
    <definedName name="wrn.accellerated1" localSheetId="14" hidden="1">{#N/A,#N/A,FALSE,"CTC Summary - EOY";#N/A,#N/A,FALSE,"CTC Summary - Wtavg"}</definedName>
    <definedName name="wrn.accellerated1" hidden="1">{#N/A,#N/A,FALSE,"CTC Summary - EOY";#N/A,#N/A,FALSE,"CTC Summary - Wtavg"}</definedName>
    <definedName name="wrn.AG." localSheetId="24" hidden="1">{#N/A,#N/A,FALSE,"AG-1";#N/A,#N/A,FALSE,"AG-R";#N/A,#N/A,FALSE,"AG-V";#N/A,#N/A,FALSE,"AG-4";#N/A,#N/A,FALSE,"AG-5";#N/A,#N/A,FALSE,"AG-6";#N/A,#N/A,FALSE,"AG-7"}</definedName>
    <definedName name="wrn.AG." localSheetId="13" hidden="1">{#N/A,#N/A,FALSE,"AG-1";#N/A,#N/A,FALSE,"AG-R";#N/A,#N/A,FALSE,"AG-V";#N/A,#N/A,FALSE,"AG-4";#N/A,#N/A,FALSE,"AG-5";#N/A,#N/A,FALSE,"AG-6";#N/A,#N/A,FALSE,"AG-7"}</definedName>
    <definedName name="wrn.AG." hidden="1">{#N/A,#N/A,FALSE,"AG-1";#N/A,#N/A,FALSE,"AG-R";#N/A,#N/A,FALSE,"AG-V";#N/A,#N/A,FALSE,"AG-4";#N/A,#N/A,FALSE,"AG-5";#N/A,#N/A,FALSE,"AG-6";#N/A,#N/A,FALSE,"AG-7"}</definedName>
    <definedName name="wrn.AGa." localSheetId="24" hidden="1">{#N/A,#N/A,FALSE,"UN-AGRA";#N/A,#N/A,FALSE,"UN-AG1A";#N/A,#N/A,FALSE,"UN-AGVA";#N/A,#N/A,FALSE,"UN-AG4A ";#N/A,#N/A,FALSE,"UN-AG5A";#N/A,#N/A,FALSE,"UN-AG6A";#N/A,#N/A,FALSE,"Dist Calcs";#N/A,#N/A,FALSE,"7A-Avg.";#N/A,#N/A,FALSE,"7A Tier1-avg";#N/A,#N/A,FALSE,"7A Tier2-avg";#N/A,#N/A,FALSE,"Ag-7A Dist Calc"}</definedName>
    <definedName name="wrn.AGa." localSheetId="13"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24"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13"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ll._.Sheets._.Engrs._.PMs."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comind." localSheetId="24" hidden="1">{#N/A,#N/A,FALSE,"A-1, A-6, A-10, A-15";#N/A,#N/A,FALSE,"E-19 Firm";#N/A,#N/A,FALSE,"E-19 Nonfirm";#N/A,#N/A,FALSE,"E-20 Firm ";#N/A,#N/A,FALSE,"E-20 Nonfirm ";#N/A,#N/A,FALSE,"E-25";#N/A,#N/A,FALSE,"E-36, E-37";#N/A,#N/A,FALSE,"LS-1,-2,-3, TC-1, OL-1";#N/A,#N/A,FALSE,"Standby"}</definedName>
    <definedName name="wrn.comind." localSheetId="13"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Distr." localSheetId="23" hidden="1">{#N/A,#N/A,FALSE,"Dist Rev at PR ";#N/A,#N/A,FALSE,"Spec";#N/A,#N/A,FALSE,"Res";#N/A,#N/A,FALSE,"Small L&amp;P";#N/A,#N/A,FALSE,"Medium L&amp;P";#N/A,#N/A,FALSE,"E-19";#N/A,#N/A,FALSE,"E-20";#N/A,#N/A,FALSE,"Strtlts &amp; Standby";#N/A,#N/A,FALSE,"A-RTP";#N/A,#N/A,FALSE,"2003mixeduse"}</definedName>
    <definedName name="wrn.Distr." localSheetId="24" hidden="1">{#N/A,#N/A,FALSE,"Dist Rev at PR ";#N/A,#N/A,FALSE,"Spec";#N/A,#N/A,FALSE,"Res";#N/A,#N/A,FALSE,"Small L&amp;P";#N/A,#N/A,FALSE,"Medium L&amp;P";#N/A,#N/A,FALSE,"E-19";#N/A,#N/A,FALSE,"E-20";#N/A,#N/A,FALSE,"Strtlts &amp; Standby";#N/A,#N/A,FALSE,"A-RTP";#N/A,#N/A,FALSE,"2003mixeduse"}</definedName>
    <definedName name="wrn.Distr." localSheetId="13"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GS._.Estimators." localSheetId="24"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24"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JE9DOLLARS." localSheetId="24" hidden="1">{"JE9DOLLARS",#N/A,FALSE,"JE9"}</definedName>
    <definedName name="wrn.JE9DOLLARS." hidden="1">{"JE9DOLLARS",#N/A,FALSE,"JE9"}</definedName>
    <definedName name="wrn.JE9DTHS." localSheetId="24" hidden="1">{"JE9DTHS",#N/A,FALSE,"JE9"}</definedName>
    <definedName name="wrn.JE9DTHS." hidden="1">{"JE9DTHS",#N/A,FALSE,"JE9"}</definedName>
    <definedName name="wrn.JE9MCF." localSheetId="24" hidden="1">{"JE9MCF",#N/A,FALSE,"JE9"}</definedName>
    <definedName name="wrn.JE9MCF." hidden="1">{"JE9MCF",#N/A,FALSE,"JE9"}</definedName>
    <definedName name="wrn.ND." localSheetId="23" hidden="1">{#N/A,#N/A,FALSE,"ND Rev at Pres Rates";#N/A,#N/A,FALSE,"Res - Unadj sales";#N/A,#N/A,FALSE,"Small L&amp;P";#N/A,#N/A,FALSE,"Medium L&amp;P";#N/A,#N/A,FALSE,"E-19";#N/A,#N/A,FALSE,"E-20";#N/A,#N/A,FALSE,"Strtlts &amp; Standby";#N/A,#N/A,FALSE,"AG";#N/A,#N/A,FALSE,"A-RTP";#N/A,#N/A,FALSE,"Spec"}</definedName>
    <definedName name="wrn.ND." localSheetId="24" hidden="1">{#N/A,#N/A,FALSE,"ND Rev at Pres Rates";#N/A,#N/A,FALSE,"Res - Unadj sales";#N/A,#N/A,FALSE,"Small L&amp;P";#N/A,#N/A,FALSE,"Medium L&amp;P";#N/A,#N/A,FALSE,"E-19";#N/A,#N/A,FALSE,"E-20";#N/A,#N/A,FALSE,"Strtlts &amp; Standby";#N/A,#N/A,FALSE,"AG";#N/A,#N/A,FALSE,"A-RTP";#N/A,#N/A,FALSE,"Spec"}</definedName>
    <definedName name="wrn.ND." localSheetId="13"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8" hidden="1">{"PI_Data",#N/A,TRUE,"P&amp;I Data"}</definedName>
    <definedName name="wrn.PI_Report." localSheetId="19"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4" hidden="1">{"PI_Data",#N/A,TRUE,"P&amp;I Data"}</definedName>
    <definedName name="wrn.PI_Report." localSheetId="25" hidden="1">{"PI_Data",#N/A,TRUE,"P&amp;I Data"}</definedName>
    <definedName name="wrn.PI_Report." localSheetId="27" hidden="1">{"PI_Data",#N/A,TRUE,"P&amp;I Data"}</definedName>
    <definedName name="wrn.PI_Report." localSheetId="28" hidden="1">{"PI_Data",#N/A,TRUE,"P&amp;I Data"}</definedName>
    <definedName name="wrn.PI_Report." localSheetId="29" hidden="1">{"PI_Data",#N/A,TRUE,"P&amp;I Data"}</definedName>
    <definedName name="wrn.PI_Report." localSheetId="30" hidden="1">{"PI_Data",#N/A,TRUE,"P&amp;I Data"}</definedName>
    <definedName name="wrn.PI_Report." localSheetId="31" hidden="1">{"PI_Data",#N/A,TRUE,"P&amp;I Data"}</definedName>
    <definedName name="wrn.PI_Report." localSheetId="32" hidden="1">{"PI_Data",#N/A,TRUE,"P&amp;I Data"}</definedName>
    <definedName name="wrn.PI_Report." localSheetId="33" hidden="1">{"PI_Data",#N/A,TRUE,"P&amp;I Data"}</definedName>
    <definedName name="wrn.PI_Report." localSheetId="34" hidden="1">{"PI_Data",#N/A,TRUE,"P&amp;I Data"}</definedName>
    <definedName name="wrn.PI_Report." localSheetId="35" hidden="1">{"PI_Data",#N/A,TRUE,"P&amp;I Data"}</definedName>
    <definedName name="wrn.PI_Report." localSheetId="9" hidden="1">{"PI_Data",#N/A,TRUE,"P&amp;I Data"}</definedName>
    <definedName name="wrn.PI_Report." localSheetId="11" hidden="1">{"PI_Data",#N/A,TRUE,"P&amp;I Data"}</definedName>
    <definedName name="wrn.PI_Report." localSheetId="12" hidden="1">{"PI_Data",#N/A,TRUE,"P&amp;I Data"}</definedName>
    <definedName name="wrn.PI_Report." localSheetId="13" hidden="1">{"PI_Data",#N/A,TRUE,"P&amp;I Data"}</definedName>
    <definedName name="wrn.PI_Report." localSheetId="14" hidden="1">{"PI_Data",#N/A,TRUE,"P&amp;I Data"}</definedName>
    <definedName name="wrn.PI_Report." hidden="1">{"PI_Data",#N/A,TRUE,"P&amp;I Data"}</definedName>
    <definedName name="wrn.Print._.1_8."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2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8" hidden="1">{#N/A,#N/A,FALSE,"Transmission Revenue Allocation";"Marginal Cost Revenues",#N/A,FALSE,"MC Revenues- 01 sales, 96 MC's";#N/A,#N/A,FALSE,"1996 marginal costs -ECAC Adopt"}</definedName>
    <definedName name="wrn.printout." localSheetId="19"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4" hidden="1">{#N/A,#N/A,FALSE,"Transmission Revenue Allocation";"Marginal Cost Revenues",#N/A,FALSE,"MC Revenues- 01 sales, 96 MC's";#N/A,#N/A,FALSE,"1996 marginal costs -ECAC Adopt"}</definedName>
    <definedName name="wrn.printout." localSheetId="25" hidden="1">{#N/A,#N/A,FALSE,"Transmission Revenue Allocation";"Marginal Cost Revenues",#N/A,FALSE,"MC Revenues- 01 sales, 96 MC's";#N/A,#N/A,FALSE,"1996 marginal costs -ECAC Adopt"}</definedName>
    <definedName name="wrn.printout." localSheetId="27" hidden="1">{#N/A,#N/A,FALSE,"Transmission Revenue Allocation";"Marginal Cost Revenues",#N/A,FALSE,"MC Revenues- 01 sales, 96 MC's";#N/A,#N/A,FALSE,"1996 marginal costs -ECAC Adopt"}</definedName>
    <definedName name="wrn.printout." localSheetId="28" hidden="1">{#N/A,#N/A,FALSE,"Transmission Revenue Allocation";"Marginal Cost Revenues",#N/A,FALSE,"MC Revenues- 01 sales, 96 MC's";#N/A,#N/A,FALSE,"1996 marginal costs -ECAC Adopt"}</definedName>
    <definedName name="wrn.printout." localSheetId="29" hidden="1">{#N/A,#N/A,FALSE,"Transmission Revenue Allocation";"Marginal Cost Revenues",#N/A,FALSE,"MC Revenues- 01 sales, 96 MC's";#N/A,#N/A,FALSE,"1996 marginal costs -ECAC Adopt"}</definedName>
    <definedName name="wrn.printout." localSheetId="30" hidden="1">{#N/A,#N/A,FALSE,"Transmission Revenue Allocation";"Marginal Cost Revenues",#N/A,FALSE,"MC Revenues- 01 sales, 96 MC's";#N/A,#N/A,FALSE,"1996 marginal costs -ECAC Adopt"}</definedName>
    <definedName name="wrn.printout." localSheetId="31" hidden="1">{#N/A,#N/A,FALSE,"Transmission Revenue Allocation";"Marginal Cost Revenues",#N/A,FALSE,"MC Revenues- 01 sales, 96 MC's";#N/A,#N/A,FALSE,"1996 marginal costs -ECAC Adopt"}</definedName>
    <definedName name="wrn.printout." localSheetId="32" hidden="1">{#N/A,#N/A,FALSE,"Transmission Revenue Allocation";"Marginal Cost Revenues",#N/A,FALSE,"MC Revenues- 01 sales, 96 MC's";#N/A,#N/A,FALSE,"1996 marginal costs -ECAC Adopt"}</definedName>
    <definedName name="wrn.printout." localSheetId="33" hidden="1">{#N/A,#N/A,FALSE,"Transmission Revenue Allocation";"Marginal Cost Revenues",#N/A,FALSE,"MC Revenues- 01 sales, 96 MC's";#N/A,#N/A,FALSE,"1996 marginal costs -ECAC Adopt"}</definedName>
    <definedName name="wrn.printout." localSheetId="34" hidden="1">{#N/A,#N/A,FALSE,"Transmission Revenue Allocation";"Marginal Cost Revenues",#N/A,FALSE,"MC Revenues- 01 sales, 96 MC's";#N/A,#N/A,FALSE,"1996 marginal costs -ECAC Adopt"}</definedName>
    <definedName name="wrn.printout." localSheetId="35" hidden="1">{#N/A,#N/A,FALSE,"Transmission Revenue Allocation";"Marginal Cost Revenues",#N/A,FALSE,"MC Revenues- 01 sales, 96 MC's";#N/A,#N/A,FALSE,"1996 marginal costs -ECAC Adopt"}</definedName>
    <definedName name="wrn.printout." localSheetId="11" hidden="1">{#N/A,#N/A,FALSE,"Transmission Revenue Allocation";"Marginal Cost Revenues",#N/A,FALSE,"MC Revenues- 01 sales, 96 MC's";#N/A,#N/A,FALSE,"1996 marginal costs -ECAC Adopt"}</definedName>
    <definedName name="wrn.printout." localSheetId="12" hidden="1">{#N/A,#N/A,FALSE,"Transmission Revenue Allocation";"Marginal Cost Revenues",#N/A,FALSE,"MC Revenues- 01 sales, 96 MC's";#N/A,#N/A,FALSE,"1996 marginal costs -ECAC Adopt"}</definedName>
    <definedName name="wrn.printout." localSheetId="13" hidden="1">{#N/A,#N/A,FALSE,"Transmission Revenue Allocation";"Marginal Cost Revenues",#N/A,FALSE,"MC Revenues- 01 sales, 96 MC's";#N/A,#N/A,FALSE,"1996 marginal costs -ECAC Adopt"}</definedName>
    <definedName name="wrn.printout." localSheetId="14"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 localSheetId="24" hidden="1">{#N/A,#N/A,FALSE,"E-1, EM, ES";#N/A,#N/A,FALSE,"ESR, ET";#N/A,#N/A,FALSE,"E-7, E-A7";#N/A,#N/A,FALSE,"E-8";#N/A,#N/A,FALSE,"E-9 A, B, C, D";#N/A,#N/A,FALSE,"EL-1, EML";#N/A,#N/A,FALSE,"ESL, ESRL";#N/A,#N/A,FALSE,"ETL, EL-7";#N/A,#N/A,FALSE,"EL-A7, EL-8"}</definedName>
    <definedName name="wrn.Res." localSheetId="13"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23" hidden="1">{#N/A,#N/A,FALSE,"RRQ inputs ";#N/A,#N/A,FALSE,"FERC Rev @ PR";#N/A,#N/A,FALSE,"Distribution Revenue Allocation";#N/A,#N/A,FALSE,"Nonallocated Revenues";#N/A,#N/A,FALSE,"MC Revenues-03 sales, 96 MC's";#N/A,#N/A,FALSE,"FTA"}</definedName>
    <definedName name="wrn.Rev._.Alloc." localSheetId="24"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schedules." localSheetId="23" hidden="1">{#N/A,#N/A,FALSE,"ND Rev at Pres Rates";#N/A,#N/A,FALSE,"Res - Unadj";#N/A,#N/A,FALSE,"Small L&amp;P";#N/A,#N/A,FALSE,"Medium L&amp;P";#N/A,#N/A,FALSE,"E-19";#N/A,#N/A,FALSE,"E-20";#N/A,#N/A,FALSE,"A-RTP";#N/A,#N/A,FALSE,"Strtlts &amp; Standby";#N/A,#N/A,FALSE,"AG";#N/A,#N/A,FALSE,"2001mixeduse"}</definedName>
    <definedName name="wrn.schedules." localSheetId="24" hidden="1">{#N/A,#N/A,FALSE,"Res - Unadj";#N/A,#N/A,FALSE,"Small L&amp;P";#N/A,#N/A,FALSE,"Medium L&amp;P";#N/A,#N/A,FALSE,"E-19";#N/A,#N/A,FALSE,"E-20";#N/A,#N/A,FALSE,"A-RTP";#N/A,#N/A,FALSE,"Strtlts &amp; Standby";#N/A,#N/A,FALSE,"AG";#N/A,#N/A,FALSE,"2001mixeduse"}</definedName>
    <definedName name="wrn.schedules." localSheetId="13"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24" hidden="1">{"Summary","1",FALSE,"Summary"}</definedName>
    <definedName name="wrn.sum1." hidden="1">{"Summary","1",FALSE,"Summary"}</definedName>
    <definedName name="x" localSheetId="24" hidden="1">{#N/A,#N/A,FALSE,"CTC Summary - EOY";#N/A,#N/A,FALSE,"CTC Summary - Wtavg"}</definedName>
    <definedName name="x" hidden="1">{#N/A,#N/A,FALSE,"CTC Summary - EOY";#N/A,#N/A,FALSE,"CTC Summary - Wtavg"}</definedName>
    <definedName name="xb"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d"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24"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24"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24"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24" hidden="1">{"Summary","1",FALSE,"Summary"}</definedName>
    <definedName name="xl" hidden="1">{"Summary","1",FALSE,"Summary"}</definedName>
    <definedName name="xm"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zzzzzzzzzzzzzzzzzzzzzzzzzzzzz" localSheetId="24" hidden="1">{"PI_Data",#N/A,TRUE,"P&amp;I Data"}</definedName>
    <definedName name="zzzzzzzzzzzzzzzzzzzzzzzzzzzzz" hidden="1">{"PI_Data",#N/A,TRUE,"P&amp;I Data"}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1" i="106" l="1"/>
  <c r="E51" i="106"/>
  <c r="D51" i="106"/>
  <c r="H49" i="106"/>
  <c r="I49" i="106" s="1"/>
  <c r="G49" i="106"/>
  <c r="H47" i="106"/>
  <c r="G47" i="106"/>
  <c r="H45" i="106"/>
  <c r="I45" i="106" s="1"/>
  <c r="G45" i="106"/>
  <c r="L42" i="106"/>
  <c r="F40" i="106"/>
  <c r="E40" i="106"/>
  <c r="D40" i="106"/>
  <c r="H38" i="106"/>
  <c r="I38" i="106" s="1"/>
  <c r="G38" i="106"/>
  <c r="H36" i="106"/>
  <c r="I36" i="106" s="1"/>
  <c r="G36" i="106"/>
  <c r="H34" i="106"/>
  <c r="G34" i="106"/>
  <c r="G40" i="106" s="1"/>
  <c r="F32" i="106"/>
  <c r="E32" i="106"/>
  <c r="D32" i="106"/>
  <c r="H30" i="106"/>
  <c r="G30" i="106"/>
  <c r="I28" i="106"/>
  <c r="H28" i="106"/>
  <c r="G28" i="106"/>
  <c r="H26" i="106"/>
  <c r="I26" i="106" s="1"/>
  <c r="G26" i="106"/>
  <c r="F24" i="106"/>
  <c r="E24" i="106"/>
  <c r="D24" i="106"/>
  <c r="H22" i="106"/>
  <c r="G22" i="106"/>
  <c r="G20" i="106"/>
  <c r="I20" i="106" s="1"/>
  <c r="I18" i="106"/>
  <c r="G18" i="106"/>
  <c r="H16" i="106"/>
  <c r="I16" i="106" s="1"/>
  <c r="G16" i="106"/>
  <c r="H14" i="106"/>
  <c r="I14" i="106" s="1"/>
  <c r="G14" i="106"/>
  <c r="A14" i="106"/>
  <c r="A16" i="106" s="1"/>
  <c r="N12" i="106"/>
  <c r="G12" i="106"/>
  <c r="I12" i="106" s="1"/>
  <c r="N10" i="106"/>
  <c r="G9" i="106"/>
  <c r="F9" i="106"/>
  <c r="H47" i="105"/>
  <c r="L45" i="105"/>
  <c r="L43" i="105"/>
  <c r="L41" i="105"/>
  <c r="H39" i="105"/>
  <c r="L37" i="105"/>
  <c r="L35" i="105"/>
  <c r="L33" i="105"/>
  <c r="L29" i="105"/>
  <c r="H29" i="105"/>
  <c r="L27" i="105"/>
  <c r="H27" i="105"/>
  <c r="L25" i="105"/>
  <c r="H25" i="105"/>
  <c r="H23" i="105"/>
  <c r="L21" i="105"/>
  <c r="L19" i="105"/>
  <c r="L17" i="105"/>
  <c r="L15" i="105"/>
  <c r="N13" i="105"/>
  <c r="L13" i="105"/>
  <c r="H13" i="105"/>
  <c r="A13" i="105"/>
  <c r="A15" i="105" s="1"/>
  <c r="N11" i="105"/>
  <c r="L11" i="105"/>
  <c r="H11" i="105"/>
  <c r="N9" i="105"/>
  <c r="C12" i="94"/>
  <c r="C6" i="93" s="1"/>
  <c r="C10" i="94"/>
  <c r="A9" i="94"/>
  <c r="D10" i="94" s="1"/>
  <c r="F8" i="94"/>
  <c r="E1" i="94"/>
  <c r="C11" i="93"/>
  <c r="A11" i="93"/>
  <c r="D12" i="93" s="1"/>
  <c r="F10" i="93"/>
  <c r="A7" i="93"/>
  <c r="F7" i="93" s="1"/>
  <c r="F6" i="93"/>
  <c r="A6" i="93"/>
  <c r="D7" i="93" s="1"/>
  <c r="F5" i="93"/>
  <c r="F3" i="93"/>
  <c r="E1" i="93"/>
  <c r="F56" i="92"/>
  <c r="A37" i="92"/>
  <c r="A38" i="92" s="1"/>
  <c r="I36" i="92"/>
  <c r="A14" i="92"/>
  <c r="A17" i="92" s="1"/>
  <c r="A13" i="92"/>
  <c r="I13" i="92" s="1"/>
  <c r="I12" i="92"/>
  <c r="A12" i="92"/>
  <c r="I11" i="92"/>
  <c r="I6" i="92"/>
  <c r="I5" i="92"/>
  <c r="H1" i="92"/>
  <c r="E23" i="91"/>
  <c r="A23" i="91"/>
  <c r="G23" i="91" s="1"/>
  <c r="G22" i="91"/>
  <c r="E22" i="91"/>
  <c r="A22" i="91"/>
  <c r="G21" i="91"/>
  <c r="E21" i="91"/>
  <c r="A18" i="91"/>
  <c r="G18" i="91" s="1"/>
  <c r="G17" i="91"/>
  <c r="G13" i="91"/>
  <c r="A13" i="91"/>
  <c r="G12" i="91"/>
  <c r="A8" i="91"/>
  <c r="G8" i="91" s="1"/>
  <c r="G7" i="91"/>
  <c r="G4" i="91"/>
  <c r="C63" i="90"/>
  <c r="D13" i="90"/>
  <c r="C13" i="90"/>
  <c r="C15" i="90" s="1"/>
  <c r="C10" i="90"/>
  <c r="A9" i="90"/>
  <c r="A7" i="90"/>
  <c r="A8" i="90" s="1"/>
  <c r="F8" i="90" s="1"/>
  <c r="F6" i="90"/>
  <c r="F4" i="90"/>
  <c r="E59" i="89"/>
  <c r="D58" i="89"/>
  <c r="D57" i="89"/>
  <c r="D56" i="89"/>
  <c r="D55" i="89"/>
  <c r="D54" i="89"/>
  <c r="D53" i="89"/>
  <c r="D52" i="89"/>
  <c r="D51" i="89"/>
  <c r="D50" i="89"/>
  <c r="D49" i="89"/>
  <c r="G48" i="89"/>
  <c r="D48" i="89"/>
  <c r="A48" i="89"/>
  <c r="H47" i="89"/>
  <c r="G47" i="89"/>
  <c r="D47" i="89"/>
  <c r="A47" i="89"/>
  <c r="K47" i="89" s="1"/>
  <c r="K46" i="89"/>
  <c r="H46" i="89"/>
  <c r="E46" i="89"/>
  <c r="J46" i="89" s="1"/>
  <c r="K45" i="89"/>
  <c r="K33" i="89"/>
  <c r="A33" i="89"/>
  <c r="A32" i="89"/>
  <c r="K32" i="89" s="1"/>
  <c r="K31" i="89"/>
  <c r="K29" i="89"/>
  <c r="F23" i="89"/>
  <c r="D22" i="89"/>
  <c r="E14" i="89"/>
  <c r="D14" i="89"/>
  <c r="A14" i="89"/>
  <c r="K13" i="89"/>
  <c r="E13" i="89"/>
  <c r="E15" i="89" s="1"/>
  <c r="D13" i="89"/>
  <c r="D15" i="89" s="1"/>
  <c r="K12" i="89"/>
  <c r="A9" i="89"/>
  <c r="A8" i="89"/>
  <c r="K8" i="89" s="1"/>
  <c r="K7" i="89"/>
  <c r="K6" i="89"/>
  <c r="A16" i="88"/>
  <c r="F16" i="88" s="1"/>
  <c r="C15" i="88"/>
  <c r="C16" i="88" s="1"/>
  <c r="A15" i="88"/>
  <c r="F15" i="88" s="1"/>
  <c r="F14" i="88"/>
  <c r="A14" i="88"/>
  <c r="F13" i="88"/>
  <c r="F12" i="88"/>
  <c r="C9" i="88"/>
  <c r="C8" i="88"/>
  <c r="A7" i="88"/>
  <c r="F7" i="88" s="1"/>
  <c r="F6" i="88"/>
  <c r="F5" i="88"/>
  <c r="D38" i="87"/>
  <c r="A38" i="87"/>
  <c r="A37" i="87"/>
  <c r="G37" i="87" s="1"/>
  <c r="G36" i="87"/>
  <c r="G35" i="87"/>
  <c r="A29" i="87"/>
  <c r="G29" i="87" s="1"/>
  <c r="G28" i="87"/>
  <c r="D28" i="87"/>
  <c r="G27" i="87"/>
  <c r="F23" i="87"/>
  <c r="E23" i="87"/>
  <c r="F22" i="87"/>
  <c r="E22" i="87"/>
  <c r="F21" i="87"/>
  <c r="E21" i="87"/>
  <c r="F20" i="87"/>
  <c r="E20" i="87"/>
  <c r="F19" i="87"/>
  <c r="E19" i="87"/>
  <c r="A19" i="87"/>
  <c r="F18" i="87"/>
  <c r="F17" i="87" s="1"/>
  <c r="C28" i="87" s="1"/>
  <c r="E18" i="87"/>
  <c r="A18" i="87"/>
  <c r="G18" i="87" s="1"/>
  <c r="G17" i="87"/>
  <c r="E17" i="87"/>
  <c r="D17" i="87"/>
  <c r="C17" i="87"/>
  <c r="G10" i="87"/>
  <c r="C10" i="87"/>
  <c r="A10" i="87"/>
  <c r="G9" i="87"/>
  <c r="A9" i="87"/>
  <c r="G8" i="87"/>
  <c r="A8" i="87"/>
  <c r="D10" i="87" s="1"/>
  <c r="G6" i="87"/>
  <c r="G5" i="87"/>
  <c r="H61" i="86"/>
  <c r="H60" i="86"/>
  <c r="H59" i="86"/>
  <c r="H58" i="86"/>
  <c r="H57" i="86"/>
  <c r="H56" i="86"/>
  <c r="H55" i="86"/>
  <c r="H54" i="86"/>
  <c r="H53" i="86"/>
  <c r="H52" i="86"/>
  <c r="H51" i="86"/>
  <c r="H50" i="86"/>
  <c r="H49" i="86"/>
  <c r="H48" i="86"/>
  <c r="H47" i="86"/>
  <c r="A47" i="86"/>
  <c r="H46" i="86"/>
  <c r="K45" i="86"/>
  <c r="H45" i="86"/>
  <c r="A45" i="86"/>
  <c r="A46" i="86" s="1"/>
  <c r="K46" i="86" s="1"/>
  <c r="K44" i="86"/>
  <c r="I44" i="86"/>
  <c r="G44" i="86"/>
  <c r="H44" i="86" s="1"/>
  <c r="F44" i="86"/>
  <c r="E44" i="86"/>
  <c r="A44" i="86"/>
  <c r="K43" i="86"/>
  <c r="H41" i="86"/>
  <c r="H40" i="86"/>
  <c r="H39" i="86"/>
  <c r="H38" i="86"/>
  <c r="H37" i="86"/>
  <c r="I36" i="86"/>
  <c r="G36" i="86"/>
  <c r="F36" i="86"/>
  <c r="H36" i="86" s="1"/>
  <c r="E36" i="86"/>
  <c r="A36" i="86"/>
  <c r="K35" i="86"/>
  <c r="H33" i="86"/>
  <c r="H32" i="86"/>
  <c r="K31" i="86"/>
  <c r="H31" i="86"/>
  <c r="A31" i="86"/>
  <c r="A32" i="86" s="1"/>
  <c r="K32" i="86" s="1"/>
  <c r="K30" i="86"/>
  <c r="I30" i="86"/>
  <c r="I10" i="86" s="1"/>
  <c r="C6" i="87" s="1"/>
  <c r="G30" i="86"/>
  <c r="H30" i="86" s="1"/>
  <c r="F30" i="86"/>
  <c r="E30" i="86"/>
  <c r="A30" i="86"/>
  <c r="K29" i="86"/>
  <c r="H27" i="86"/>
  <c r="H26" i="86"/>
  <c r="H25" i="86"/>
  <c r="H24" i="86"/>
  <c r="H23" i="86"/>
  <c r="H22" i="86"/>
  <c r="H21" i="86"/>
  <c r="I20" i="86"/>
  <c r="G20" i="86"/>
  <c r="F20" i="86"/>
  <c r="E20" i="86"/>
  <c r="A20" i="86"/>
  <c r="K19" i="86"/>
  <c r="H17" i="86"/>
  <c r="H16" i="86"/>
  <c r="H15" i="86"/>
  <c r="A15" i="86"/>
  <c r="I14" i="86"/>
  <c r="G14" i="86"/>
  <c r="F14" i="86"/>
  <c r="E14" i="86"/>
  <c r="A14" i="86"/>
  <c r="K14" i="86" s="1"/>
  <c r="K13" i="86"/>
  <c r="K10" i="86"/>
  <c r="E10" i="86"/>
  <c r="K9" i="86"/>
  <c r="M65" i="85"/>
  <c r="L65" i="85"/>
  <c r="K65" i="85"/>
  <c r="J65" i="85"/>
  <c r="I65" i="85"/>
  <c r="H65" i="85"/>
  <c r="G65" i="85"/>
  <c r="F65" i="85"/>
  <c r="E64" i="85"/>
  <c r="E63" i="85"/>
  <c r="E62" i="85"/>
  <c r="E61" i="85"/>
  <c r="E60" i="85"/>
  <c r="E59" i="85"/>
  <c r="E58" i="85"/>
  <c r="E57" i="85"/>
  <c r="E56" i="85"/>
  <c r="E55" i="85"/>
  <c r="E54" i="85"/>
  <c r="E53" i="85"/>
  <c r="E52" i="85"/>
  <c r="E51" i="85"/>
  <c r="A49" i="85"/>
  <c r="A50" i="85" s="1"/>
  <c r="A51" i="85" s="1"/>
  <c r="A52" i="85" s="1"/>
  <c r="A53" i="85" s="1"/>
  <c r="N53" i="85" s="1"/>
  <c r="N48" i="85"/>
  <c r="F40" i="85"/>
  <c r="A26" i="85"/>
  <c r="N25" i="85"/>
  <c r="J23" i="85"/>
  <c r="G23" i="85"/>
  <c r="E23" i="85"/>
  <c r="I22" i="85"/>
  <c r="K22" i="85" s="1"/>
  <c r="I21" i="85"/>
  <c r="K21" i="85" s="1"/>
  <c r="I20" i="85"/>
  <c r="K20" i="85" s="1"/>
  <c r="I19" i="85"/>
  <c r="K19" i="85" s="1"/>
  <c r="I18" i="85"/>
  <c r="K18" i="85" s="1"/>
  <c r="I17" i="85"/>
  <c r="K17" i="85" s="1"/>
  <c r="I16" i="85"/>
  <c r="K16" i="85" s="1"/>
  <c r="I15" i="85"/>
  <c r="K15" i="85" s="1"/>
  <c r="I14" i="85"/>
  <c r="K14" i="85" s="1"/>
  <c r="I13" i="85"/>
  <c r="K13" i="85" s="1"/>
  <c r="F28" i="85" s="1"/>
  <c r="F37" i="85" s="1"/>
  <c r="I12" i="85"/>
  <c r="K12" i="85" s="1"/>
  <c r="I11" i="85"/>
  <c r="K11" i="85" s="1"/>
  <c r="I10" i="85"/>
  <c r="K10" i="85" s="1"/>
  <c r="I9" i="85"/>
  <c r="A6" i="85"/>
  <c r="N6" i="85" s="1"/>
  <c r="N5" i="85"/>
  <c r="K37" i="84"/>
  <c r="J37" i="84"/>
  <c r="I37" i="84"/>
  <c r="F37" i="84"/>
  <c r="L36" i="84"/>
  <c r="K36" i="84"/>
  <c r="J36" i="84"/>
  <c r="I36" i="84"/>
  <c r="F36" i="84"/>
  <c r="K35" i="84"/>
  <c r="J35" i="84"/>
  <c r="I35" i="84"/>
  <c r="F35" i="84"/>
  <c r="K34" i="84"/>
  <c r="J34" i="84"/>
  <c r="I34" i="84"/>
  <c r="F34" i="84"/>
  <c r="B34" i="84"/>
  <c r="K33" i="84"/>
  <c r="J33" i="84"/>
  <c r="I33" i="84"/>
  <c r="F33" i="84"/>
  <c r="K32" i="84"/>
  <c r="J32" i="84"/>
  <c r="I32" i="84"/>
  <c r="F32" i="84"/>
  <c r="L31" i="84"/>
  <c r="K31" i="84"/>
  <c r="J31" i="84"/>
  <c r="I31" i="84"/>
  <c r="F31" i="84"/>
  <c r="K30" i="84"/>
  <c r="J30" i="84"/>
  <c r="I30" i="84"/>
  <c r="F30" i="84"/>
  <c r="K29" i="84"/>
  <c r="L29" i="84" s="1"/>
  <c r="J29" i="84"/>
  <c r="I29" i="84"/>
  <c r="F29" i="84"/>
  <c r="B30" i="84"/>
  <c r="B31" i="84" s="1"/>
  <c r="B32" i="84" s="1"/>
  <c r="K28" i="84"/>
  <c r="J28" i="84"/>
  <c r="I28" i="84"/>
  <c r="F28" i="84"/>
  <c r="K27" i="84"/>
  <c r="J27" i="84"/>
  <c r="L27" i="84" s="1"/>
  <c r="I27" i="84"/>
  <c r="F27" i="84"/>
  <c r="K26" i="84"/>
  <c r="L26" i="84" s="1"/>
  <c r="J26" i="84"/>
  <c r="I26" i="84"/>
  <c r="F26" i="84"/>
  <c r="L25" i="84"/>
  <c r="K25" i="84"/>
  <c r="J25" i="84"/>
  <c r="I25" i="84"/>
  <c r="F25" i="84"/>
  <c r="K24" i="84"/>
  <c r="O24" i="84" s="1"/>
  <c r="J24" i="84"/>
  <c r="N24" i="84" s="1"/>
  <c r="P24" i="84" s="1"/>
  <c r="I24" i="84"/>
  <c r="F24" i="84"/>
  <c r="K23" i="84"/>
  <c r="J23" i="84"/>
  <c r="I23" i="84"/>
  <c r="F23" i="84"/>
  <c r="L22" i="84"/>
  <c r="K22" i="84"/>
  <c r="J22" i="84"/>
  <c r="I22" i="84"/>
  <c r="F22" i="84"/>
  <c r="K21" i="84"/>
  <c r="L21" i="84" s="1"/>
  <c r="J21" i="84"/>
  <c r="I21" i="84"/>
  <c r="F21" i="84"/>
  <c r="L20" i="84"/>
  <c r="K20" i="84"/>
  <c r="J20" i="84"/>
  <c r="I20" i="84"/>
  <c r="F20" i="84"/>
  <c r="K19" i="84"/>
  <c r="J19" i="84"/>
  <c r="I19" i="84"/>
  <c r="F19" i="84"/>
  <c r="L18" i="84"/>
  <c r="K18" i="84"/>
  <c r="J18" i="84"/>
  <c r="I18" i="84"/>
  <c r="F18" i="84"/>
  <c r="K17" i="84"/>
  <c r="J17" i="84"/>
  <c r="I17" i="84"/>
  <c r="F17" i="84"/>
  <c r="L16" i="84"/>
  <c r="K16" i="84"/>
  <c r="J16" i="84"/>
  <c r="I16" i="84"/>
  <c r="F16" i="84"/>
  <c r="K15" i="84"/>
  <c r="J15" i="84"/>
  <c r="I15" i="84"/>
  <c r="F15" i="84"/>
  <c r="L14" i="84"/>
  <c r="K14" i="84"/>
  <c r="J14" i="84"/>
  <c r="I14" i="84"/>
  <c r="F14" i="84"/>
  <c r="K13" i="84"/>
  <c r="J13" i="84"/>
  <c r="L13" i="84" s="1"/>
  <c r="I13" i="84"/>
  <c r="F13" i="84"/>
  <c r="A13" i="84"/>
  <c r="Q13" i="84" s="1"/>
  <c r="K12" i="84"/>
  <c r="J12" i="84"/>
  <c r="I12" i="84"/>
  <c r="F12" i="84"/>
  <c r="A12" i="84"/>
  <c r="Q12" i="84" s="1"/>
  <c r="Q11" i="84"/>
  <c r="K11" i="84"/>
  <c r="J11" i="84"/>
  <c r="L11" i="84" s="1"/>
  <c r="I11" i="84"/>
  <c r="F11" i="84"/>
  <c r="A11" i="84"/>
  <c r="Q10" i="84"/>
  <c r="H10" i="84"/>
  <c r="G10" i="84"/>
  <c r="E10" i="84"/>
  <c r="D10" i="84"/>
  <c r="BB128" i="104"/>
  <c r="AZ128" i="104"/>
  <c r="BF128" i="104" s="1"/>
  <c r="AP128" i="104"/>
  <c r="BD128" i="104" s="1"/>
  <c r="AN128" i="104"/>
  <c r="AL128" i="104"/>
  <c r="Z128" i="104"/>
  <c r="BD127" i="104"/>
  <c r="AZ127" i="104"/>
  <c r="AR127" i="104"/>
  <c r="AP127" i="104"/>
  <c r="AN127" i="104"/>
  <c r="BB127" i="104" s="1"/>
  <c r="AL127" i="104"/>
  <c r="Z127" i="104"/>
  <c r="BB126" i="104"/>
  <c r="AP126" i="104"/>
  <c r="BD126" i="104" s="1"/>
  <c r="AN126" i="104"/>
  <c r="AL126" i="104"/>
  <c r="Z126" i="104"/>
  <c r="BD125" i="104"/>
  <c r="AP125" i="104"/>
  <c r="AN125" i="104"/>
  <c r="BB125" i="104" s="1"/>
  <c r="AL125" i="104"/>
  <c r="AR125" i="104" s="1"/>
  <c r="Z125" i="104"/>
  <c r="A125" i="104"/>
  <c r="BB124" i="104"/>
  <c r="AR124" i="104"/>
  <c r="AP124" i="104"/>
  <c r="AP123" i="104" s="1"/>
  <c r="AN124" i="104"/>
  <c r="AL124" i="104"/>
  <c r="Z124" i="104"/>
  <c r="A124" i="104"/>
  <c r="BJ124" i="104" s="1"/>
  <c r="BJ123" i="104"/>
  <c r="AX123" i="104"/>
  <c r="AV123" i="104"/>
  <c r="AT123" i="104"/>
  <c r="AN123" i="104"/>
  <c r="AH123" i="104"/>
  <c r="AF123" i="104"/>
  <c r="AD123" i="104"/>
  <c r="X123" i="104"/>
  <c r="V123" i="104"/>
  <c r="T123" i="104"/>
  <c r="N123" i="104"/>
  <c r="L123" i="104"/>
  <c r="J123" i="104"/>
  <c r="H123" i="104"/>
  <c r="BB121" i="104"/>
  <c r="AP121" i="104"/>
  <c r="BD121" i="104" s="1"/>
  <c r="AN121" i="104"/>
  <c r="AL121" i="104"/>
  <c r="AZ121" i="104" s="1"/>
  <c r="BF120" i="104"/>
  <c r="BD120" i="104"/>
  <c r="BB120" i="104"/>
  <c r="AR120" i="104"/>
  <c r="AP120" i="104"/>
  <c r="AN120" i="104"/>
  <c r="Z120" i="104"/>
  <c r="T120" i="104"/>
  <c r="AL120" i="104" s="1"/>
  <c r="AZ120" i="104" s="1"/>
  <c r="AP119" i="104"/>
  <c r="BD119" i="104" s="1"/>
  <c r="AN119" i="104"/>
  <c r="BB119" i="104" s="1"/>
  <c r="T119" i="104"/>
  <c r="Z119" i="104" s="1"/>
  <c r="AZ118" i="104"/>
  <c r="AR118" i="104"/>
  <c r="AP118" i="104"/>
  <c r="BD118" i="104" s="1"/>
  <c r="AN118" i="104"/>
  <c r="BB118" i="104" s="1"/>
  <c r="AL118" i="104"/>
  <c r="Z118" i="104"/>
  <c r="T118" i="104"/>
  <c r="BD117" i="104"/>
  <c r="BB117" i="104"/>
  <c r="AP117" i="104"/>
  <c r="AN117" i="104"/>
  <c r="AL117" i="104"/>
  <c r="AR117" i="104" s="1"/>
  <c r="T117" i="104"/>
  <c r="Z117" i="104" s="1"/>
  <c r="AP116" i="104"/>
  <c r="AP115" i="104" s="1"/>
  <c r="AN116" i="104"/>
  <c r="Z116" i="104"/>
  <c r="T116" i="104"/>
  <c r="AL116" i="104" s="1"/>
  <c r="A116" i="104"/>
  <c r="A117" i="104" s="1"/>
  <c r="BJ115" i="104"/>
  <c r="AX115" i="104"/>
  <c r="AV115" i="104"/>
  <c r="AT115" i="104"/>
  <c r="AH115" i="104"/>
  <c r="AF115" i="104"/>
  <c r="AD115" i="104"/>
  <c r="X115" i="104"/>
  <c r="V115" i="104"/>
  <c r="N115" i="104"/>
  <c r="L115" i="104"/>
  <c r="J115" i="104"/>
  <c r="H115" i="104"/>
  <c r="BB112" i="104"/>
  <c r="AZ112" i="104"/>
  <c r="AN112" i="104"/>
  <c r="AL112" i="104"/>
  <c r="Z112" i="104"/>
  <c r="X112" i="104"/>
  <c r="AP112" i="104" s="1"/>
  <c r="BD112" i="104" s="1"/>
  <c r="BB111" i="104"/>
  <c r="AR111" i="104"/>
  <c r="AP111" i="104"/>
  <c r="BD111" i="104" s="1"/>
  <c r="AN111" i="104"/>
  <c r="AL111" i="104"/>
  <c r="AZ111" i="104" s="1"/>
  <c r="Z111" i="104"/>
  <c r="X111" i="104"/>
  <c r="BB110" i="104"/>
  <c r="AN110" i="104"/>
  <c r="AL110" i="104"/>
  <c r="AZ110" i="104" s="1"/>
  <c r="X110" i="104"/>
  <c r="AP110" i="104" s="1"/>
  <c r="BD110" i="104" s="1"/>
  <c r="AP109" i="104"/>
  <c r="BD109" i="104" s="1"/>
  <c r="AN109" i="104"/>
  <c r="BB109" i="104" s="1"/>
  <c r="AL109" i="104"/>
  <c r="AZ109" i="104" s="1"/>
  <c r="BF109" i="104" s="1"/>
  <c r="Z109" i="104"/>
  <c r="X109" i="104"/>
  <c r="BB108" i="104"/>
  <c r="AZ108" i="104"/>
  <c r="AN108" i="104"/>
  <c r="AL108" i="104"/>
  <c r="X108" i="104"/>
  <c r="AP108" i="104" s="1"/>
  <c r="BD108" i="104" s="1"/>
  <c r="AZ107" i="104"/>
  <c r="BF107" i="104" s="1"/>
  <c r="AR107" i="104"/>
  <c r="AP107" i="104"/>
  <c r="BD107" i="104" s="1"/>
  <c r="AN107" i="104"/>
  <c r="BB107" i="104" s="1"/>
  <c r="AL107" i="104"/>
  <c r="Z107" i="104"/>
  <c r="X107" i="104"/>
  <c r="AN106" i="104"/>
  <c r="BB106" i="104" s="1"/>
  <c r="AL106" i="104"/>
  <c r="AZ106" i="104" s="1"/>
  <c r="BF106" i="104" s="1"/>
  <c r="X106" i="104"/>
  <c r="AP106" i="104" s="1"/>
  <c r="BD106" i="104" s="1"/>
  <c r="AZ105" i="104"/>
  <c r="BF105" i="104" s="1"/>
  <c r="AN105" i="104"/>
  <c r="BB105" i="104" s="1"/>
  <c r="AL105" i="104"/>
  <c r="Z105" i="104"/>
  <c r="X105" i="104"/>
  <c r="AP105" i="104" s="1"/>
  <c r="BD105" i="104" s="1"/>
  <c r="BB104" i="104"/>
  <c r="AZ104" i="104"/>
  <c r="AN104" i="104"/>
  <c r="AL104" i="104"/>
  <c r="X104" i="104"/>
  <c r="Z104" i="104" s="1"/>
  <c r="BJ103" i="104"/>
  <c r="AP103" i="104"/>
  <c r="BD103" i="104" s="1"/>
  <c r="AN103" i="104"/>
  <c r="BB103" i="104" s="1"/>
  <c r="AL103" i="104"/>
  <c r="X103" i="104"/>
  <c r="A103" i="104"/>
  <c r="A104" i="104" s="1"/>
  <c r="BJ102" i="104"/>
  <c r="BB102" i="104"/>
  <c r="AX102" i="104"/>
  <c r="AV102" i="104"/>
  <c r="AT102" i="104"/>
  <c r="AL102" i="104"/>
  <c r="AH102" i="104"/>
  <c r="AF102" i="104"/>
  <c r="AD102" i="104"/>
  <c r="V102" i="104"/>
  <c r="T102" i="104"/>
  <c r="N102" i="104"/>
  <c r="L102" i="104"/>
  <c r="J102" i="104"/>
  <c r="H102" i="104"/>
  <c r="BB99" i="104"/>
  <c r="AZ99" i="104"/>
  <c r="BF99" i="104" s="1"/>
  <c r="AR99" i="104"/>
  <c r="AP99" i="104"/>
  <c r="BD99" i="104" s="1"/>
  <c r="AL99" i="104"/>
  <c r="Z99" i="104"/>
  <c r="V99" i="104"/>
  <c r="AN99" i="104" s="1"/>
  <c r="BD98" i="104"/>
  <c r="AP98" i="104"/>
  <c r="AN98" i="104"/>
  <c r="BB98" i="104" s="1"/>
  <c r="AL98" i="104"/>
  <c r="V98" i="104"/>
  <c r="Z98" i="104" s="1"/>
  <c r="BB97" i="104"/>
  <c r="AZ97" i="104"/>
  <c r="AP97" i="104"/>
  <c r="BD97" i="104" s="1"/>
  <c r="AN97" i="104"/>
  <c r="AR97" i="104" s="1"/>
  <c r="AL97" i="104"/>
  <c r="V97" i="104"/>
  <c r="Z97" i="104" s="1"/>
  <c r="AP96" i="104"/>
  <c r="BD96" i="104" s="1"/>
  <c r="AL96" i="104"/>
  <c r="AZ96" i="104" s="1"/>
  <c r="Z96" i="104"/>
  <c r="V96" i="104"/>
  <c r="AN96" i="104" s="1"/>
  <c r="BD95" i="104"/>
  <c r="BB95" i="104"/>
  <c r="AP95" i="104"/>
  <c r="AL95" i="104"/>
  <c r="AR95" i="104" s="1"/>
  <c r="Z95" i="104"/>
  <c r="V95" i="104"/>
  <c r="AN95" i="104" s="1"/>
  <c r="AZ94" i="104"/>
  <c r="AR94" i="104"/>
  <c r="AP94" i="104"/>
  <c r="BD94" i="104" s="1"/>
  <c r="AN94" i="104"/>
  <c r="BB94" i="104" s="1"/>
  <c r="AL94" i="104"/>
  <c r="V94" i="104"/>
  <c r="Z94" i="104" s="1"/>
  <c r="AP93" i="104"/>
  <c r="BD93" i="104" s="1"/>
  <c r="AL93" i="104"/>
  <c r="V93" i="104"/>
  <c r="Z93" i="104" s="1"/>
  <c r="BD92" i="104"/>
  <c r="BB92" i="104"/>
  <c r="AZ92" i="104"/>
  <c r="BF92" i="104" s="1"/>
  <c r="AR92" i="104"/>
  <c r="AP92" i="104"/>
  <c r="AL92" i="104"/>
  <c r="Z92" i="104"/>
  <c r="V92" i="104"/>
  <c r="AN92" i="104" s="1"/>
  <c r="AP91" i="104"/>
  <c r="BD91" i="104" s="1"/>
  <c r="AN91" i="104"/>
  <c r="BB91" i="104" s="1"/>
  <c r="AL91" i="104"/>
  <c r="AZ91" i="104" s="1"/>
  <c r="BF91" i="104" s="1"/>
  <c r="Z91" i="104"/>
  <c r="V91" i="104"/>
  <c r="BD90" i="104"/>
  <c r="AP90" i="104"/>
  <c r="AL90" i="104"/>
  <c r="V90" i="104"/>
  <c r="Z90" i="104" s="1"/>
  <c r="BD89" i="104"/>
  <c r="AZ89" i="104"/>
  <c r="AP89" i="104"/>
  <c r="AN89" i="104"/>
  <c r="BB89" i="104" s="1"/>
  <c r="AL89" i="104"/>
  <c r="V89" i="104"/>
  <c r="Z89" i="104" s="1"/>
  <c r="AP88" i="104"/>
  <c r="BD88" i="104" s="1"/>
  <c r="AL88" i="104"/>
  <c r="AZ88" i="104" s="1"/>
  <c r="Z88" i="104"/>
  <c r="V88" i="104"/>
  <c r="AN88" i="104" s="1"/>
  <c r="BD87" i="104"/>
  <c r="BB87" i="104"/>
  <c r="AP87" i="104"/>
  <c r="AL87" i="104"/>
  <c r="AZ87" i="104" s="1"/>
  <c r="BF87" i="104" s="1"/>
  <c r="Z87" i="104"/>
  <c r="V87" i="104"/>
  <c r="AN87" i="104" s="1"/>
  <c r="BB86" i="104"/>
  <c r="AP86" i="104"/>
  <c r="BD86" i="104" s="1"/>
  <c r="AN86" i="104"/>
  <c r="AL86" i="104"/>
  <c r="AZ86" i="104" s="1"/>
  <c r="BF86" i="104" s="1"/>
  <c r="V86" i="104"/>
  <c r="Z86" i="104" s="1"/>
  <c r="AP85" i="104"/>
  <c r="BD85" i="104" s="1"/>
  <c r="AN85" i="104"/>
  <c r="BB85" i="104" s="1"/>
  <c r="AL85" i="104"/>
  <c r="V85" i="104"/>
  <c r="Z85" i="104" s="1"/>
  <c r="BB84" i="104"/>
  <c r="AZ84" i="104"/>
  <c r="AP84" i="104"/>
  <c r="BD84" i="104" s="1"/>
  <c r="AL84" i="104"/>
  <c r="Z84" i="104"/>
  <c r="V84" i="104"/>
  <c r="AN84" i="104" s="1"/>
  <c r="AR84" i="104" s="1"/>
  <c r="AZ83" i="104"/>
  <c r="AR83" i="104"/>
  <c r="AP83" i="104"/>
  <c r="BD83" i="104" s="1"/>
  <c r="AN83" i="104"/>
  <c r="BB83" i="104" s="1"/>
  <c r="BF83" i="104" s="1"/>
  <c r="AL83" i="104"/>
  <c r="Z83" i="104"/>
  <c r="V83" i="104"/>
  <c r="BD82" i="104"/>
  <c r="AP82" i="104"/>
  <c r="AN82" i="104"/>
  <c r="BB82" i="104" s="1"/>
  <c r="AL82" i="104"/>
  <c r="V82" i="104"/>
  <c r="Z82" i="104" s="1"/>
  <c r="BB81" i="104"/>
  <c r="AZ81" i="104"/>
  <c r="AP81" i="104"/>
  <c r="BD81" i="104" s="1"/>
  <c r="AN81" i="104"/>
  <c r="AR81" i="104" s="1"/>
  <c r="AL81" i="104"/>
  <c r="V81" i="104"/>
  <c r="Z81" i="104" s="1"/>
  <c r="AP80" i="104"/>
  <c r="BD80" i="104" s="1"/>
  <c r="AL80" i="104"/>
  <c r="AZ80" i="104" s="1"/>
  <c r="V80" i="104"/>
  <c r="Z80" i="104" s="1"/>
  <c r="BD79" i="104"/>
  <c r="BB79" i="104"/>
  <c r="AP79" i="104"/>
  <c r="AL79" i="104"/>
  <c r="AR79" i="104" s="1"/>
  <c r="Z79" i="104"/>
  <c r="V79" i="104"/>
  <c r="AN79" i="104" s="1"/>
  <c r="AZ78" i="104"/>
  <c r="AR78" i="104"/>
  <c r="AP78" i="104"/>
  <c r="BD78" i="104" s="1"/>
  <c r="AN78" i="104"/>
  <c r="BB78" i="104" s="1"/>
  <c r="AL78" i="104"/>
  <c r="V78" i="104"/>
  <c r="Z78" i="104" s="1"/>
  <c r="AP77" i="104"/>
  <c r="BD77" i="104" s="1"/>
  <c r="AL77" i="104"/>
  <c r="V77" i="104"/>
  <c r="Z77" i="104" s="1"/>
  <c r="BD76" i="104"/>
  <c r="BB76" i="104"/>
  <c r="AZ76" i="104"/>
  <c r="BF76" i="104" s="1"/>
  <c r="AR76" i="104"/>
  <c r="AP76" i="104"/>
  <c r="AL76" i="104"/>
  <c r="Z76" i="104"/>
  <c r="V76" i="104"/>
  <c r="AN76" i="104" s="1"/>
  <c r="AP75" i="104"/>
  <c r="BD75" i="104" s="1"/>
  <c r="AN75" i="104"/>
  <c r="BB75" i="104" s="1"/>
  <c r="AL75" i="104"/>
  <c r="AZ75" i="104" s="1"/>
  <c r="Z75" i="104"/>
  <c r="V75" i="104"/>
  <c r="BD74" i="104"/>
  <c r="AP74" i="104"/>
  <c r="AL74" i="104"/>
  <c r="V74" i="104"/>
  <c r="Z74" i="104" s="1"/>
  <c r="BD73" i="104"/>
  <c r="AZ73" i="104"/>
  <c r="AP73" i="104"/>
  <c r="AN73" i="104"/>
  <c r="BB73" i="104" s="1"/>
  <c r="AL73" i="104"/>
  <c r="V73" i="104"/>
  <c r="Z73" i="104" s="1"/>
  <c r="AP72" i="104"/>
  <c r="BD72" i="104" s="1"/>
  <c r="AL72" i="104"/>
  <c r="AZ72" i="104" s="1"/>
  <c r="Z72" i="104"/>
  <c r="V72" i="104"/>
  <c r="AN72" i="104" s="1"/>
  <c r="BD71" i="104"/>
  <c r="BB71" i="104"/>
  <c r="AP71" i="104"/>
  <c r="AL71" i="104"/>
  <c r="AZ71" i="104" s="1"/>
  <c r="BF71" i="104" s="1"/>
  <c r="Z71" i="104"/>
  <c r="V71" i="104"/>
  <c r="AN71" i="104" s="1"/>
  <c r="BB70" i="104"/>
  <c r="AP70" i="104"/>
  <c r="BD70" i="104" s="1"/>
  <c r="AN70" i="104"/>
  <c r="AL70" i="104"/>
  <c r="V70" i="104"/>
  <c r="Z70" i="104" s="1"/>
  <c r="AP69" i="104"/>
  <c r="BD69" i="104" s="1"/>
  <c r="AN69" i="104"/>
  <c r="BB69" i="104" s="1"/>
  <c r="AL69" i="104"/>
  <c r="V69" i="104"/>
  <c r="Z69" i="104" s="1"/>
  <c r="BB68" i="104"/>
  <c r="AZ68" i="104"/>
  <c r="BF68" i="104" s="1"/>
  <c r="AP68" i="104"/>
  <c r="BD68" i="104" s="1"/>
  <c r="AL68" i="104"/>
  <c r="V68" i="104"/>
  <c r="AN68" i="104" s="1"/>
  <c r="AR68" i="104" s="1"/>
  <c r="AZ67" i="104"/>
  <c r="AP67" i="104"/>
  <c r="BD67" i="104" s="1"/>
  <c r="AN67" i="104"/>
  <c r="BB67" i="104" s="1"/>
  <c r="BF67" i="104" s="1"/>
  <c r="BH67" i="104" s="1"/>
  <c r="AL67" i="104"/>
  <c r="Z67" i="104"/>
  <c r="V67" i="104"/>
  <c r="BD66" i="104"/>
  <c r="AP66" i="104"/>
  <c r="AN66" i="104"/>
  <c r="BB66" i="104" s="1"/>
  <c r="AL66" i="104"/>
  <c r="V66" i="104"/>
  <c r="Z66" i="104" s="1"/>
  <c r="AZ65" i="104"/>
  <c r="AP65" i="104"/>
  <c r="BD65" i="104" s="1"/>
  <c r="AL65" i="104"/>
  <c r="V65" i="104"/>
  <c r="Z65" i="104" s="1"/>
  <c r="AP64" i="104"/>
  <c r="BD64" i="104" s="1"/>
  <c r="AL64" i="104"/>
  <c r="AZ64" i="104" s="1"/>
  <c r="Z64" i="104"/>
  <c r="V64" i="104"/>
  <c r="AN64" i="104" s="1"/>
  <c r="BD63" i="104"/>
  <c r="BB63" i="104"/>
  <c r="AP63" i="104"/>
  <c r="AL63" i="104"/>
  <c r="Z63" i="104"/>
  <c r="V63" i="104"/>
  <c r="AN63" i="104" s="1"/>
  <c r="AZ62" i="104"/>
  <c r="BF62" i="104" s="1"/>
  <c r="BH62" i="104" s="1"/>
  <c r="AR62" i="104"/>
  <c r="AP62" i="104"/>
  <c r="BD62" i="104" s="1"/>
  <c r="AN62" i="104"/>
  <c r="BB62" i="104" s="1"/>
  <c r="AL62" i="104"/>
  <c r="Z62" i="104"/>
  <c r="V62" i="104"/>
  <c r="AP61" i="104"/>
  <c r="BD61" i="104" s="1"/>
  <c r="AL61" i="104"/>
  <c r="V61" i="104"/>
  <c r="AN61" i="104" s="1"/>
  <c r="BB61" i="104" s="1"/>
  <c r="BB60" i="104"/>
  <c r="AZ60" i="104"/>
  <c r="BF60" i="104" s="1"/>
  <c r="BH60" i="104" s="1"/>
  <c r="AP60" i="104"/>
  <c r="BD60" i="104" s="1"/>
  <c r="AL60" i="104"/>
  <c r="Z60" i="104"/>
  <c r="V60" i="104"/>
  <c r="AN60" i="104" s="1"/>
  <c r="AZ59" i="104"/>
  <c r="BF59" i="104" s="1"/>
  <c r="AR59" i="104"/>
  <c r="AP59" i="104"/>
  <c r="BD59" i="104" s="1"/>
  <c r="AN59" i="104"/>
  <c r="BB59" i="104" s="1"/>
  <c r="AL59" i="104"/>
  <c r="Z59" i="104"/>
  <c r="V59" i="104"/>
  <c r="BD58" i="104"/>
  <c r="AZ58" i="104"/>
  <c r="AP58" i="104"/>
  <c r="AL58" i="104"/>
  <c r="Z58" i="104"/>
  <c r="V58" i="104"/>
  <c r="AN58" i="104" s="1"/>
  <c r="BB58" i="104" s="1"/>
  <c r="BF58" i="104" s="1"/>
  <c r="BH58" i="104" s="1"/>
  <c r="AZ57" i="104"/>
  <c r="AP57" i="104"/>
  <c r="BD57" i="104" s="1"/>
  <c r="AN57" i="104"/>
  <c r="AL57" i="104"/>
  <c r="V57" i="104"/>
  <c r="Z57" i="104" s="1"/>
  <c r="BD56" i="104"/>
  <c r="AR56" i="104"/>
  <c r="AP56" i="104"/>
  <c r="AL56" i="104"/>
  <c r="AZ56" i="104" s="1"/>
  <c r="V56" i="104"/>
  <c r="AN56" i="104" s="1"/>
  <c r="BB56" i="104" s="1"/>
  <c r="BD55" i="104"/>
  <c r="AP55" i="104"/>
  <c r="AL55" i="104"/>
  <c r="AZ55" i="104" s="1"/>
  <c r="V55" i="104"/>
  <c r="AP54" i="104"/>
  <c r="BD54" i="104" s="1"/>
  <c r="AN54" i="104"/>
  <c r="BB54" i="104" s="1"/>
  <c r="AL54" i="104"/>
  <c r="Z54" i="104"/>
  <c r="V54" i="104"/>
  <c r="BD53" i="104"/>
  <c r="BB53" i="104"/>
  <c r="AP53" i="104"/>
  <c r="AN53" i="104"/>
  <c r="AL53" i="104"/>
  <c r="Z53" i="104"/>
  <c r="V53" i="104"/>
  <c r="AZ52" i="104"/>
  <c r="BF52" i="104" s="1"/>
  <c r="BH52" i="104" s="1"/>
  <c r="AP52" i="104"/>
  <c r="BD52" i="104" s="1"/>
  <c r="AN52" i="104"/>
  <c r="BB52" i="104" s="1"/>
  <c r="AL52" i="104"/>
  <c r="V52" i="104"/>
  <c r="Z52" i="104" s="1"/>
  <c r="BD51" i="104"/>
  <c r="AZ51" i="104"/>
  <c r="AP51" i="104"/>
  <c r="AL51" i="104"/>
  <c r="V51" i="104"/>
  <c r="AN51" i="104" s="1"/>
  <c r="BD50" i="104"/>
  <c r="AZ50" i="104"/>
  <c r="BF50" i="104" s="1"/>
  <c r="BH50" i="104" s="1"/>
  <c r="AR50" i="104"/>
  <c r="AP50" i="104"/>
  <c r="AL50" i="104"/>
  <c r="V50" i="104"/>
  <c r="AN50" i="104" s="1"/>
  <c r="BB50" i="104" s="1"/>
  <c r="BD49" i="104"/>
  <c r="AP49" i="104"/>
  <c r="AN49" i="104"/>
  <c r="BB49" i="104" s="1"/>
  <c r="AL49" i="104"/>
  <c r="Z49" i="104"/>
  <c r="V49" i="104"/>
  <c r="BD48" i="104"/>
  <c r="AP48" i="104"/>
  <c r="AL48" i="104"/>
  <c r="AZ48" i="104" s="1"/>
  <c r="V48" i="104"/>
  <c r="AR47" i="104"/>
  <c r="AP47" i="104"/>
  <c r="BD47" i="104" s="1"/>
  <c r="AL47" i="104"/>
  <c r="AZ47" i="104" s="1"/>
  <c r="Z47" i="104"/>
  <c r="V47" i="104"/>
  <c r="AN47" i="104" s="1"/>
  <c r="BB47" i="104" s="1"/>
  <c r="AP46" i="104"/>
  <c r="BD46" i="104" s="1"/>
  <c r="AL46" i="104"/>
  <c r="Z46" i="104"/>
  <c r="V46" i="104"/>
  <c r="AN46" i="104" s="1"/>
  <c r="BB46" i="104" s="1"/>
  <c r="BB45" i="104"/>
  <c r="AZ45" i="104"/>
  <c r="AP45" i="104"/>
  <c r="BD45" i="104" s="1"/>
  <c r="AN45" i="104"/>
  <c r="AL45" i="104"/>
  <c r="AR45" i="104" s="1"/>
  <c r="Z45" i="104"/>
  <c r="V45" i="104"/>
  <c r="A45" i="104"/>
  <c r="BJ44" i="104"/>
  <c r="AZ44" i="104"/>
  <c r="AP44" i="104"/>
  <c r="AN44" i="104"/>
  <c r="BB44" i="104" s="1"/>
  <c r="AL44" i="104"/>
  <c r="V44" i="104"/>
  <c r="Z44" i="104" s="1"/>
  <c r="A44" i="104"/>
  <c r="BJ43" i="104"/>
  <c r="BD43" i="104"/>
  <c r="AZ43" i="104"/>
  <c r="AP43" i="104"/>
  <c r="AL43" i="104"/>
  <c r="Z43" i="104"/>
  <c r="V43" i="104"/>
  <c r="A43" i="104"/>
  <c r="BJ42" i="104"/>
  <c r="AX42" i="104"/>
  <c r="AV42" i="104"/>
  <c r="AT42" i="104"/>
  <c r="AH42" i="104"/>
  <c r="AH14" i="104" s="1"/>
  <c r="AF42" i="104"/>
  <c r="AD42" i="104"/>
  <c r="X42" i="104"/>
  <c r="T42" i="104"/>
  <c r="T14" i="104" s="1"/>
  <c r="N42" i="104"/>
  <c r="L42" i="104"/>
  <c r="L14" i="104" s="1"/>
  <c r="J42" i="104"/>
  <c r="J14" i="104" s="1"/>
  <c r="H42" i="104"/>
  <c r="BD39" i="104"/>
  <c r="AP39" i="104"/>
  <c r="AN39" i="104"/>
  <c r="BB39" i="104" s="1"/>
  <c r="T39" i="104"/>
  <c r="Z39" i="104" s="1"/>
  <c r="BD38" i="104"/>
  <c r="AP38" i="104"/>
  <c r="AN38" i="104"/>
  <c r="BB38" i="104" s="1"/>
  <c r="AL38" i="104"/>
  <c r="AZ38" i="104" s="1"/>
  <c r="Z38" i="104"/>
  <c r="T38" i="104"/>
  <c r="BB37" i="104"/>
  <c r="AP37" i="104"/>
  <c r="BD37" i="104" s="1"/>
  <c r="AN37" i="104"/>
  <c r="AL37" i="104"/>
  <c r="T37" i="104"/>
  <c r="Z37" i="104" s="1"/>
  <c r="BB36" i="104"/>
  <c r="AP36" i="104"/>
  <c r="BD36" i="104" s="1"/>
  <c r="AN36" i="104"/>
  <c r="T36" i="104"/>
  <c r="AL36" i="104" s="1"/>
  <c r="AZ36" i="104" s="1"/>
  <c r="A36" i="104"/>
  <c r="BJ36" i="104" s="1"/>
  <c r="BB35" i="104"/>
  <c r="AZ35" i="104"/>
  <c r="BF35" i="104" s="1"/>
  <c r="AP35" i="104"/>
  <c r="BD35" i="104" s="1"/>
  <c r="AN35" i="104"/>
  <c r="AL35" i="104"/>
  <c r="AR35" i="104" s="1"/>
  <c r="Z35" i="104"/>
  <c r="T35" i="104"/>
  <c r="T34" i="104" s="1"/>
  <c r="A35" i="104"/>
  <c r="BJ35" i="104" s="1"/>
  <c r="BJ34" i="104"/>
  <c r="AX34" i="104"/>
  <c r="AX13" i="104" s="1"/>
  <c r="AV34" i="104"/>
  <c r="AT34" i="104"/>
  <c r="AH34" i="104"/>
  <c r="AF34" i="104"/>
  <c r="AF13" i="104" s="1"/>
  <c r="AD34" i="104"/>
  <c r="X34" i="104"/>
  <c r="X13" i="104" s="1"/>
  <c r="V34" i="104"/>
  <c r="V13" i="104" s="1"/>
  <c r="N34" i="104"/>
  <c r="L34" i="104"/>
  <c r="J34" i="104"/>
  <c r="J13" i="104" s="1"/>
  <c r="H34" i="104"/>
  <c r="BB31" i="104"/>
  <c r="AP31" i="104"/>
  <c r="BD31" i="104" s="1"/>
  <c r="AN31" i="104"/>
  <c r="AL31" i="104"/>
  <c r="AR31" i="104" s="1"/>
  <c r="Z31" i="104"/>
  <c r="BD30" i="104"/>
  <c r="AP30" i="104"/>
  <c r="AN30" i="104"/>
  <c r="BB30" i="104" s="1"/>
  <c r="AL30" i="104"/>
  <c r="AZ30" i="104" s="1"/>
  <c r="BF30" i="104" s="1"/>
  <c r="BH30" i="104" s="1"/>
  <c r="Z30" i="104"/>
  <c r="AP29" i="104"/>
  <c r="BD29" i="104" s="1"/>
  <c r="AN29" i="104"/>
  <c r="BB29" i="104" s="1"/>
  <c r="AL29" i="104"/>
  <c r="AZ29" i="104" s="1"/>
  <c r="BF29" i="104" s="1"/>
  <c r="BH29" i="104" s="1"/>
  <c r="Z29" i="104"/>
  <c r="T29" i="104"/>
  <c r="AP28" i="104"/>
  <c r="BD28" i="104" s="1"/>
  <c r="AN28" i="104"/>
  <c r="BB28" i="104" s="1"/>
  <c r="T28" i="104"/>
  <c r="AP27" i="104"/>
  <c r="BD27" i="104" s="1"/>
  <c r="BD26" i="104" s="1"/>
  <c r="BD12" i="104" s="1"/>
  <c r="AN27" i="104"/>
  <c r="BB27" i="104" s="1"/>
  <c r="Z27" i="104"/>
  <c r="T27" i="104"/>
  <c r="AL27" i="104" s="1"/>
  <c r="A27" i="104"/>
  <c r="A28" i="104" s="1"/>
  <c r="BJ26" i="104"/>
  <c r="AX26" i="104"/>
  <c r="AV26" i="104"/>
  <c r="AT26" i="104"/>
  <c r="AH26" i="104"/>
  <c r="AH12" i="104" s="1"/>
  <c r="AH17" i="104" s="1"/>
  <c r="AH23" i="104" s="1"/>
  <c r="AF26" i="104"/>
  <c r="AF12" i="104" s="1"/>
  <c r="AF17" i="104" s="1"/>
  <c r="AF23" i="104" s="1"/>
  <c r="AD26" i="104"/>
  <c r="X26" i="104"/>
  <c r="X12" i="104" s="1"/>
  <c r="V26" i="104"/>
  <c r="T26" i="104"/>
  <c r="N26" i="104"/>
  <c r="L26" i="104"/>
  <c r="L12" i="104" s="1"/>
  <c r="J26" i="104"/>
  <c r="J12" i="104" s="1"/>
  <c r="H26" i="104"/>
  <c r="H12" i="104" s="1"/>
  <c r="H17" i="104" s="1"/>
  <c r="H23" i="104" s="1"/>
  <c r="BB22" i="104"/>
  <c r="AX22" i="104"/>
  <c r="AV22" i="104"/>
  <c r="AT22" i="104"/>
  <c r="AP22" i="104"/>
  <c r="AN22" i="104"/>
  <c r="AL22" i="104"/>
  <c r="AZ22" i="104" s="1"/>
  <c r="AH22" i="104"/>
  <c r="AF22" i="104"/>
  <c r="AD22" i="104"/>
  <c r="X22" i="104"/>
  <c r="V22" i="104"/>
  <c r="Z22" i="104" s="1"/>
  <c r="T22" i="104"/>
  <c r="N22" i="104"/>
  <c r="L22" i="104"/>
  <c r="J22" i="104"/>
  <c r="H22" i="104"/>
  <c r="BD21" i="104"/>
  <c r="BB21" i="104"/>
  <c r="AX21" i="104"/>
  <c r="AV21" i="104"/>
  <c r="AT21" i="104"/>
  <c r="AP21" i="104"/>
  <c r="AN21" i="104"/>
  <c r="AL21" i="104"/>
  <c r="AZ21" i="104" s="1"/>
  <c r="BF21" i="104" s="1"/>
  <c r="AH21" i="104"/>
  <c r="AF21" i="104"/>
  <c r="AD21" i="104"/>
  <c r="X21" i="104"/>
  <c r="V21" i="104"/>
  <c r="T21" i="104"/>
  <c r="Z21" i="104" s="1"/>
  <c r="N21" i="104"/>
  <c r="L21" i="104"/>
  <c r="J21" i="104"/>
  <c r="H21" i="104"/>
  <c r="AX20" i="104"/>
  <c r="BD20" i="104" s="1"/>
  <c r="AV20" i="104"/>
  <c r="BB20" i="104" s="1"/>
  <c r="AT20" i="104"/>
  <c r="AP20" i="104"/>
  <c r="AN20" i="104"/>
  <c r="AH20" i="104"/>
  <c r="AF20" i="104"/>
  <c r="AD20" i="104"/>
  <c r="Z20" i="104"/>
  <c r="X20" i="104"/>
  <c r="V20" i="104"/>
  <c r="T20" i="104"/>
  <c r="N20" i="104"/>
  <c r="L20" i="104"/>
  <c r="J20" i="104"/>
  <c r="H20" i="104"/>
  <c r="AX16" i="104"/>
  <c r="AV16" i="104"/>
  <c r="AT16" i="104"/>
  <c r="AP16" i="104"/>
  <c r="AH16" i="104"/>
  <c r="AF16" i="104"/>
  <c r="AD16" i="104"/>
  <c r="X16" i="104"/>
  <c r="V16" i="104"/>
  <c r="N16" i="104"/>
  <c r="L16" i="104"/>
  <c r="J16" i="104"/>
  <c r="H16" i="104"/>
  <c r="BB15" i="104"/>
  <c r="AX15" i="104"/>
  <c r="AV15" i="104"/>
  <c r="AT15" i="104"/>
  <c r="AL15" i="104"/>
  <c r="AH15" i="104"/>
  <c r="AF15" i="104"/>
  <c r="AD15" i="104"/>
  <c r="V15" i="104"/>
  <c r="T15" i="104"/>
  <c r="N15" i="104"/>
  <c r="L15" i="104"/>
  <c r="J15" i="104"/>
  <c r="H15" i="104"/>
  <c r="AX14" i="104"/>
  <c r="AV14" i="104"/>
  <c r="AT14" i="104"/>
  <c r="AF14" i="104"/>
  <c r="AD14" i="104"/>
  <c r="X14" i="104"/>
  <c r="N14" i="104"/>
  <c r="H14" i="104"/>
  <c r="A14" i="104"/>
  <c r="BJ13" i="104"/>
  <c r="AV13" i="104"/>
  <c r="AT13" i="104"/>
  <c r="AH13" i="104"/>
  <c r="AD13" i="104"/>
  <c r="T13" i="104"/>
  <c r="Z13" i="104" s="1"/>
  <c r="N13" i="104"/>
  <c r="L13" i="104"/>
  <c r="H13" i="104"/>
  <c r="A13" i="104"/>
  <c r="BJ12" i="104"/>
  <c r="AX12" i="104"/>
  <c r="AX17" i="104" s="1"/>
  <c r="AX23" i="104" s="1"/>
  <c r="AV12" i="104"/>
  <c r="AV17" i="104" s="1"/>
  <c r="AV23" i="104" s="1"/>
  <c r="AT12" i="104"/>
  <c r="AD12" i="104"/>
  <c r="AD17" i="104" s="1"/>
  <c r="AD23" i="104" s="1"/>
  <c r="V12" i="104"/>
  <c r="T12" i="104"/>
  <c r="N12" i="104"/>
  <c r="N17" i="104" s="1"/>
  <c r="N23" i="104" s="1"/>
  <c r="BH9" i="104"/>
  <c r="BB129" i="103"/>
  <c r="AN129" i="103"/>
  <c r="AL129" i="103"/>
  <c r="AZ129" i="103" s="1"/>
  <c r="AZ124" i="103" s="1"/>
  <c r="AJ129" i="103"/>
  <c r="X129" i="103"/>
  <c r="T129" i="103"/>
  <c r="AX128" i="103"/>
  <c r="AN128" i="103"/>
  <c r="BB128" i="103" s="1"/>
  <c r="BB124" i="103" s="1"/>
  <c r="AL128" i="103"/>
  <c r="AZ128" i="103" s="1"/>
  <c r="AJ128" i="103"/>
  <c r="T128" i="103"/>
  <c r="X128" i="103" s="1"/>
  <c r="BB127" i="103"/>
  <c r="AZ127" i="103"/>
  <c r="AP127" i="103"/>
  <c r="AN127" i="103"/>
  <c r="AJ127" i="103"/>
  <c r="AX127" i="103" s="1"/>
  <c r="T127" i="103"/>
  <c r="AL127" i="103" s="1"/>
  <c r="A127" i="103"/>
  <c r="BB126" i="103"/>
  <c r="AN126" i="103"/>
  <c r="AJ126" i="103"/>
  <c r="AX126" i="103" s="1"/>
  <c r="BD126" i="103" s="1"/>
  <c r="X126" i="103"/>
  <c r="T126" i="103"/>
  <c r="AL126" i="103" s="1"/>
  <c r="AZ126" i="103" s="1"/>
  <c r="BH125" i="103"/>
  <c r="AN125" i="103"/>
  <c r="BB125" i="103" s="1"/>
  <c r="AL125" i="103"/>
  <c r="AZ125" i="103" s="1"/>
  <c r="AJ125" i="103"/>
  <c r="X125" i="103"/>
  <c r="T125" i="103"/>
  <c r="A125" i="103"/>
  <c r="A126" i="103" s="1"/>
  <c r="BH126" i="103" s="1"/>
  <c r="BH124" i="103"/>
  <c r="AV124" i="103"/>
  <c r="AT124" i="103"/>
  <c r="AR124" i="103"/>
  <c r="AF124" i="103"/>
  <c r="AD124" i="103"/>
  <c r="AB124" i="103"/>
  <c r="V124" i="103"/>
  <c r="T124" i="103"/>
  <c r="T20" i="103" s="1"/>
  <c r="R124" i="103"/>
  <c r="R20" i="103" s="1"/>
  <c r="X20" i="103" s="1"/>
  <c r="N124" i="103"/>
  <c r="L124" i="103"/>
  <c r="J124" i="103"/>
  <c r="H124" i="103"/>
  <c r="AZ122" i="103"/>
  <c r="AX122" i="103"/>
  <c r="AN122" i="103"/>
  <c r="AL122" i="103"/>
  <c r="AJ122" i="103"/>
  <c r="BD121" i="103"/>
  <c r="BB121" i="103"/>
  <c r="AZ121" i="103"/>
  <c r="AX121" i="103"/>
  <c r="AP121" i="103"/>
  <c r="AN121" i="103"/>
  <c r="AL121" i="103"/>
  <c r="AJ121" i="103"/>
  <c r="X121" i="103"/>
  <c r="AP120" i="103"/>
  <c r="AN120" i="103"/>
  <c r="BB120" i="103" s="1"/>
  <c r="AL120" i="103"/>
  <c r="AZ120" i="103" s="1"/>
  <c r="AJ120" i="103"/>
  <c r="AX120" i="103" s="1"/>
  <c r="X120" i="103"/>
  <c r="BB119" i="103"/>
  <c r="AZ119" i="103"/>
  <c r="AX119" i="103"/>
  <c r="BD119" i="103" s="1"/>
  <c r="BF119" i="103" s="1"/>
  <c r="AP119" i="103"/>
  <c r="AN119" i="103"/>
  <c r="AL119" i="103"/>
  <c r="AJ119" i="103"/>
  <c r="X119" i="103"/>
  <c r="AP118" i="103"/>
  <c r="AN118" i="103"/>
  <c r="AL118" i="103"/>
  <c r="AJ118" i="103"/>
  <c r="AX118" i="103" s="1"/>
  <c r="X118" i="103"/>
  <c r="R118" i="103"/>
  <c r="BB117" i="103"/>
  <c r="AZ117" i="103"/>
  <c r="AN117" i="103"/>
  <c r="AL117" i="103"/>
  <c r="AJ117" i="103"/>
  <c r="AJ116" i="103" s="1"/>
  <c r="R117" i="103"/>
  <c r="R116" i="103" s="1"/>
  <c r="R16" i="103" s="1"/>
  <c r="A117" i="103"/>
  <c r="BH116" i="103"/>
  <c r="AV116" i="103"/>
  <c r="AV16" i="103" s="1"/>
  <c r="AT116" i="103"/>
  <c r="AR116" i="103"/>
  <c r="AF116" i="103"/>
  <c r="AF16" i="103" s="1"/>
  <c r="AD116" i="103"/>
  <c r="AD16" i="103" s="1"/>
  <c r="AB116" i="103"/>
  <c r="V116" i="103"/>
  <c r="T116" i="103"/>
  <c r="N116" i="103"/>
  <c r="L116" i="103"/>
  <c r="J116" i="103"/>
  <c r="H116" i="103"/>
  <c r="H16" i="103" s="1"/>
  <c r="AX113" i="103"/>
  <c r="BD113" i="103" s="1"/>
  <c r="AN113" i="103"/>
  <c r="BB113" i="103" s="1"/>
  <c r="AL113" i="103"/>
  <c r="AZ113" i="103" s="1"/>
  <c r="AJ113" i="103"/>
  <c r="V113" i="103"/>
  <c r="X113" i="103" s="1"/>
  <c r="BB112" i="103"/>
  <c r="AZ112" i="103"/>
  <c r="AL112" i="103"/>
  <c r="AJ112" i="103"/>
  <c r="X112" i="103"/>
  <c r="V112" i="103"/>
  <c r="AN112" i="103" s="1"/>
  <c r="AZ111" i="103"/>
  <c r="AX111" i="103"/>
  <c r="BD111" i="103" s="1"/>
  <c r="AN111" i="103"/>
  <c r="BB111" i="103" s="1"/>
  <c r="AL111" i="103"/>
  <c r="AJ111" i="103"/>
  <c r="V111" i="103"/>
  <c r="X111" i="103" s="1"/>
  <c r="AN110" i="103"/>
  <c r="BB110" i="103" s="1"/>
  <c r="AL110" i="103"/>
  <c r="AZ110" i="103" s="1"/>
  <c r="AJ110" i="103"/>
  <c r="X110" i="103"/>
  <c r="V110" i="103"/>
  <c r="BB109" i="103"/>
  <c r="BD109" i="103" s="1"/>
  <c r="BF109" i="103" s="1"/>
  <c r="AZ109" i="103"/>
  <c r="AX109" i="103"/>
  <c r="AL109" i="103"/>
  <c r="AJ109" i="103"/>
  <c r="V109" i="103"/>
  <c r="AN109" i="103" s="1"/>
  <c r="AP109" i="103" s="1"/>
  <c r="AX108" i="103"/>
  <c r="AN108" i="103"/>
  <c r="BB108" i="103" s="1"/>
  <c r="AL108" i="103"/>
  <c r="AZ108" i="103" s="1"/>
  <c r="AJ108" i="103"/>
  <c r="X108" i="103"/>
  <c r="V108" i="103"/>
  <c r="AL107" i="103"/>
  <c r="AZ107" i="103" s="1"/>
  <c r="AJ107" i="103"/>
  <c r="V107" i="103"/>
  <c r="AZ106" i="103"/>
  <c r="AX106" i="103"/>
  <c r="AL106" i="103"/>
  <c r="AJ106" i="103"/>
  <c r="V106" i="103"/>
  <c r="A106" i="103"/>
  <c r="AN105" i="103"/>
  <c r="BB105" i="103" s="1"/>
  <c r="AL105" i="103"/>
  <c r="AZ105" i="103" s="1"/>
  <c r="AJ105" i="103"/>
  <c r="X105" i="103"/>
  <c r="V105" i="103"/>
  <c r="AZ104" i="103"/>
  <c r="AX104" i="103"/>
  <c r="AL104" i="103"/>
  <c r="AJ104" i="103"/>
  <c r="V104" i="103"/>
  <c r="A104" i="103"/>
  <c r="BH104" i="103" s="1"/>
  <c r="BH103" i="103"/>
  <c r="AN103" i="103"/>
  <c r="BB103" i="103" s="1"/>
  <c r="AL103" i="103"/>
  <c r="AZ103" i="103" s="1"/>
  <c r="AZ102" i="103" s="1"/>
  <c r="AZ15" i="103" s="1"/>
  <c r="AJ103" i="103"/>
  <c r="AX103" i="103" s="1"/>
  <c r="X103" i="103"/>
  <c r="V103" i="103"/>
  <c r="A103" i="103"/>
  <c r="BH102" i="103"/>
  <c r="AV102" i="103"/>
  <c r="AT102" i="103"/>
  <c r="AR102" i="103"/>
  <c r="AJ102" i="103"/>
  <c r="AF102" i="103"/>
  <c r="AD102" i="103"/>
  <c r="AB102" i="103"/>
  <c r="T102" i="103"/>
  <c r="T15" i="103" s="1"/>
  <c r="R102" i="103"/>
  <c r="N102" i="103"/>
  <c r="L102" i="103"/>
  <c r="J102" i="103"/>
  <c r="H102" i="103"/>
  <c r="BB99" i="103"/>
  <c r="AN99" i="103"/>
  <c r="AJ99" i="103"/>
  <c r="X99" i="103"/>
  <c r="T99" i="103"/>
  <c r="AL99" i="103" s="1"/>
  <c r="AZ99" i="103" s="1"/>
  <c r="AZ98" i="103"/>
  <c r="AX98" i="103"/>
  <c r="AN98" i="103"/>
  <c r="BB98" i="103" s="1"/>
  <c r="AL98" i="103"/>
  <c r="AJ98" i="103"/>
  <c r="T98" i="103"/>
  <c r="X98" i="103" s="1"/>
  <c r="AN97" i="103"/>
  <c r="BB97" i="103" s="1"/>
  <c r="AL97" i="103"/>
  <c r="AZ97" i="103" s="1"/>
  <c r="AJ97" i="103"/>
  <c r="X97" i="103"/>
  <c r="T97" i="103"/>
  <c r="BB96" i="103"/>
  <c r="AX96" i="103"/>
  <c r="AN96" i="103"/>
  <c r="AJ96" i="103"/>
  <c r="T96" i="103"/>
  <c r="AL96" i="103" s="1"/>
  <c r="AP96" i="103" s="1"/>
  <c r="AX95" i="103"/>
  <c r="AN95" i="103"/>
  <c r="BB95" i="103" s="1"/>
  <c r="AL95" i="103"/>
  <c r="AZ95" i="103" s="1"/>
  <c r="AJ95" i="103"/>
  <c r="X95" i="103"/>
  <c r="T95" i="103"/>
  <c r="BB94" i="103"/>
  <c r="AN94" i="103"/>
  <c r="AJ94" i="103"/>
  <c r="T94" i="103"/>
  <c r="BB93" i="103"/>
  <c r="AX93" i="103"/>
  <c r="AN93" i="103"/>
  <c r="AJ93" i="103"/>
  <c r="T93" i="103"/>
  <c r="AP92" i="103"/>
  <c r="AN92" i="103"/>
  <c r="BB92" i="103" s="1"/>
  <c r="AL92" i="103"/>
  <c r="AZ92" i="103" s="1"/>
  <c r="AJ92" i="103"/>
  <c r="AX92" i="103" s="1"/>
  <c r="X92" i="103"/>
  <c r="T92" i="103"/>
  <c r="BB91" i="103"/>
  <c r="AN91" i="103"/>
  <c r="AJ91" i="103"/>
  <c r="X91" i="103"/>
  <c r="T91" i="103"/>
  <c r="AL91" i="103" s="1"/>
  <c r="AZ91" i="103" s="1"/>
  <c r="AX90" i="103"/>
  <c r="AN90" i="103"/>
  <c r="BB90" i="103" s="1"/>
  <c r="AL90" i="103"/>
  <c r="AJ90" i="103"/>
  <c r="T90" i="103"/>
  <c r="X90" i="103" s="1"/>
  <c r="AN89" i="103"/>
  <c r="BB89" i="103" s="1"/>
  <c r="AL89" i="103"/>
  <c r="AZ89" i="103" s="1"/>
  <c r="AJ89" i="103"/>
  <c r="T89" i="103"/>
  <c r="X89" i="103" s="1"/>
  <c r="BB88" i="103"/>
  <c r="AX88" i="103"/>
  <c r="BD88" i="103" s="1"/>
  <c r="AP88" i="103"/>
  <c r="AN88" i="103"/>
  <c r="AJ88" i="103"/>
  <c r="X88" i="103"/>
  <c r="T88" i="103"/>
  <c r="AL88" i="103" s="1"/>
  <c r="AZ88" i="103" s="1"/>
  <c r="AX87" i="103"/>
  <c r="BD87" i="103" s="1"/>
  <c r="BF87" i="103" s="1"/>
  <c r="AN87" i="103"/>
  <c r="BB87" i="103" s="1"/>
  <c r="AL87" i="103"/>
  <c r="AZ87" i="103" s="1"/>
  <c r="AJ87" i="103"/>
  <c r="AP87" i="103" s="1"/>
  <c r="T87" i="103"/>
  <c r="X87" i="103" s="1"/>
  <c r="BB86" i="103"/>
  <c r="AN86" i="103"/>
  <c r="AJ86" i="103"/>
  <c r="T86" i="103"/>
  <c r="AX85" i="103"/>
  <c r="AN85" i="103"/>
  <c r="BB85" i="103" s="1"/>
  <c r="AJ85" i="103"/>
  <c r="T85" i="103"/>
  <c r="AN84" i="103"/>
  <c r="BB84" i="103" s="1"/>
  <c r="AL84" i="103"/>
  <c r="AZ84" i="103" s="1"/>
  <c r="AJ84" i="103"/>
  <c r="X84" i="103"/>
  <c r="T84" i="103"/>
  <c r="BB83" i="103"/>
  <c r="AX83" i="103"/>
  <c r="AN83" i="103"/>
  <c r="AJ83" i="103"/>
  <c r="X83" i="103"/>
  <c r="T83" i="103"/>
  <c r="AL83" i="103" s="1"/>
  <c r="AZ83" i="103" s="1"/>
  <c r="AZ82" i="103"/>
  <c r="AX82" i="103"/>
  <c r="AN82" i="103"/>
  <c r="BB82" i="103" s="1"/>
  <c r="AL82" i="103"/>
  <c r="AP82" i="103" s="1"/>
  <c r="AJ82" i="103"/>
  <c r="T82" i="103"/>
  <c r="X82" i="103" s="1"/>
  <c r="BB81" i="103"/>
  <c r="AN81" i="103"/>
  <c r="AL81" i="103"/>
  <c r="AZ81" i="103" s="1"/>
  <c r="AJ81" i="103"/>
  <c r="X81" i="103"/>
  <c r="T81" i="103"/>
  <c r="BB80" i="103"/>
  <c r="AX80" i="103"/>
  <c r="AN80" i="103"/>
  <c r="AJ80" i="103"/>
  <c r="T80" i="103"/>
  <c r="AZ79" i="103"/>
  <c r="AX79" i="103"/>
  <c r="BD79" i="103" s="1"/>
  <c r="BF79" i="103" s="1"/>
  <c r="AN79" i="103"/>
  <c r="BB79" i="103" s="1"/>
  <c r="AL79" i="103"/>
  <c r="AJ79" i="103"/>
  <c r="AP79" i="103" s="1"/>
  <c r="T79" i="103"/>
  <c r="X79" i="103" s="1"/>
  <c r="AZ78" i="103"/>
  <c r="AN78" i="103"/>
  <c r="BB78" i="103" s="1"/>
  <c r="AJ78" i="103"/>
  <c r="T78" i="103"/>
  <c r="AL78" i="103" s="1"/>
  <c r="BB77" i="103"/>
  <c r="AZ77" i="103"/>
  <c r="AX77" i="103"/>
  <c r="AN77" i="103"/>
  <c r="AP77" i="103" s="1"/>
  <c r="AJ77" i="103"/>
  <c r="T77" i="103"/>
  <c r="AL77" i="103" s="1"/>
  <c r="AP76" i="103"/>
  <c r="AN76" i="103"/>
  <c r="BB76" i="103" s="1"/>
  <c r="AL76" i="103"/>
  <c r="AZ76" i="103" s="1"/>
  <c r="AJ76" i="103"/>
  <c r="AX76" i="103" s="1"/>
  <c r="BD76" i="103" s="1"/>
  <c r="BF76" i="103" s="1"/>
  <c r="X76" i="103"/>
  <c r="T76" i="103"/>
  <c r="BD75" i="103"/>
  <c r="BF75" i="103" s="1"/>
  <c r="BB75" i="103"/>
  <c r="AX75" i="103"/>
  <c r="AN75" i="103"/>
  <c r="AJ75" i="103"/>
  <c r="X75" i="103"/>
  <c r="T75" i="103"/>
  <c r="AL75" i="103" s="1"/>
  <c r="AZ75" i="103" s="1"/>
  <c r="BB74" i="103"/>
  <c r="AZ74" i="103"/>
  <c r="AX74" i="103"/>
  <c r="AN74" i="103"/>
  <c r="AL74" i="103"/>
  <c r="AP74" i="103" s="1"/>
  <c r="AJ74" i="103"/>
  <c r="T74" i="103"/>
  <c r="X74" i="103" s="1"/>
  <c r="BB73" i="103"/>
  <c r="AP73" i="103"/>
  <c r="AN73" i="103"/>
  <c r="AJ73" i="103"/>
  <c r="AX73" i="103" s="1"/>
  <c r="X73" i="103"/>
  <c r="T73" i="103"/>
  <c r="AL73" i="103" s="1"/>
  <c r="AZ73" i="103" s="1"/>
  <c r="BB72" i="103"/>
  <c r="AN72" i="103"/>
  <c r="AJ72" i="103"/>
  <c r="AX72" i="103" s="1"/>
  <c r="T72" i="103"/>
  <c r="AN71" i="103"/>
  <c r="BB71" i="103" s="1"/>
  <c r="AL71" i="103"/>
  <c r="AZ71" i="103" s="1"/>
  <c r="AJ71" i="103"/>
  <c r="T71" i="103"/>
  <c r="X71" i="103" s="1"/>
  <c r="AN70" i="103"/>
  <c r="BB70" i="103" s="1"/>
  <c r="AJ70" i="103"/>
  <c r="T70" i="103"/>
  <c r="AZ69" i="103"/>
  <c r="AX69" i="103"/>
  <c r="AN69" i="103"/>
  <c r="BB69" i="103" s="1"/>
  <c r="AJ69" i="103"/>
  <c r="T69" i="103"/>
  <c r="AL69" i="103" s="1"/>
  <c r="AX68" i="103"/>
  <c r="BD68" i="103" s="1"/>
  <c r="AP68" i="103"/>
  <c r="AN68" i="103"/>
  <c r="BB68" i="103" s="1"/>
  <c r="AL68" i="103"/>
  <c r="AZ68" i="103" s="1"/>
  <c r="AJ68" i="103"/>
  <c r="X68" i="103"/>
  <c r="T68" i="103"/>
  <c r="BB67" i="103"/>
  <c r="AX67" i="103"/>
  <c r="BD67" i="103" s="1"/>
  <c r="BF67" i="103" s="1"/>
  <c r="AN67" i="103"/>
  <c r="AJ67" i="103"/>
  <c r="T67" i="103"/>
  <c r="AL67" i="103" s="1"/>
  <c r="AZ67" i="103" s="1"/>
  <c r="AX66" i="103"/>
  <c r="AN66" i="103"/>
  <c r="BB66" i="103" s="1"/>
  <c r="AL66" i="103"/>
  <c r="AZ66" i="103" s="1"/>
  <c r="AJ66" i="103"/>
  <c r="T66" i="103"/>
  <c r="X66" i="103" s="1"/>
  <c r="BB65" i="103"/>
  <c r="AP65" i="103"/>
  <c r="AN65" i="103"/>
  <c r="AL65" i="103"/>
  <c r="AZ65" i="103" s="1"/>
  <c r="AJ65" i="103"/>
  <c r="AX65" i="103" s="1"/>
  <c r="X65" i="103"/>
  <c r="T65" i="103"/>
  <c r="BB64" i="103"/>
  <c r="AX64" i="103"/>
  <c r="AN64" i="103"/>
  <c r="AJ64" i="103"/>
  <c r="T64" i="103"/>
  <c r="AN63" i="103"/>
  <c r="BB63" i="103" s="1"/>
  <c r="AL63" i="103"/>
  <c r="AZ63" i="103" s="1"/>
  <c r="AJ63" i="103"/>
  <c r="AX63" i="103" s="1"/>
  <c r="X63" i="103"/>
  <c r="T63" i="103"/>
  <c r="BB62" i="103"/>
  <c r="AZ62" i="103"/>
  <c r="AN62" i="103"/>
  <c r="AL62" i="103"/>
  <c r="AJ62" i="103"/>
  <c r="X62" i="103"/>
  <c r="T62" i="103"/>
  <c r="AX61" i="103"/>
  <c r="AN61" i="103"/>
  <c r="BB61" i="103" s="1"/>
  <c r="AJ61" i="103"/>
  <c r="T61" i="103"/>
  <c r="AN60" i="103"/>
  <c r="BB60" i="103" s="1"/>
  <c r="AL60" i="103"/>
  <c r="AZ60" i="103" s="1"/>
  <c r="AJ60" i="103"/>
  <c r="AX60" i="103" s="1"/>
  <c r="BD60" i="103" s="1"/>
  <c r="BF60" i="103" s="1"/>
  <c r="X60" i="103"/>
  <c r="T60" i="103"/>
  <c r="BF59" i="103"/>
  <c r="BB59" i="103"/>
  <c r="AZ59" i="103"/>
  <c r="AX59" i="103"/>
  <c r="BD59" i="103" s="1"/>
  <c r="AN59" i="103"/>
  <c r="AL59" i="103"/>
  <c r="AJ59" i="103"/>
  <c r="AP59" i="103" s="1"/>
  <c r="X59" i="103"/>
  <c r="T59" i="103"/>
  <c r="BB58" i="103"/>
  <c r="AX58" i="103"/>
  <c r="AN58" i="103"/>
  <c r="AJ58" i="103"/>
  <c r="T58" i="103"/>
  <c r="BB57" i="103"/>
  <c r="AN57" i="103"/>
  <c r="AL57" i="103"/>
  <c r="AZ57" i="103" s="1"/>
  <c r="AJ57" i="103"/>
  <c r="T57" i="103"/>
  <c r="X57" i="103" s="1"/>
  <c r="BD56" i="103"/>
  <c r="BF56" i="103" s="1"/>
  <c r="BB56" i="103"/>
  <c r="AX56" i="103"/>
  <c r="AP56" i="103"/>
  <c r="AN56" i="103"/>
  <c r="AJ56" i="103"/>
  <c r="T56" i="103"/>
  <c r="AL56" i="103" s="1"/>
  <c r="AZ56" i="103" s="1"/>
  <c r="AX55" i="103"/>
  <c r="AN55" i="103"/>
  <c r="BB55" i="103" s="1"/>
  <c r="AL55" i="103"/>
  <c r="AZ55" i="103" s="1"/>
  <c r="AJ55" i="103"/>
  <c r="X55" i="103"/>
  <c r="T55" i="103"/>
  <c r="BB54" i="103"/>
  <c r="AN54" i="103"/>
  <c r="AL54" i="103"/>
  <c r="AZ54" i="103" s="1"/>
  <c r="AJ54" i="103"/>
  <c r="T54" i="103"/>
  <c r="X54" i="103" s="1"/>
  <c r="BD53" i="103"/>
  <c r="BF53" i="103" s="1"/>
  <c r="AX53" i="103"/>
  <c r="AP53" i="103"/>
  <c r="AN53" i="103"/>
  <c r="BB53" i="103" s="1"/>
  <c r="AJ53" i="103"/>
  <c r="T53" i="103"/>
  <c r="AL53" i="103" s="1"/>
  <c r="AZ53" i="103" s="1"/>
  <c r="AX52" i="103"/>
  <c r="AN52" i="103"/>
  <c r="BB52" i="103" s="1"/>
  <c r="AL52" i="103"/>
  <c r="AJ52" i="103"/>
  <c r="X52" i="103"/>
  <c r="T52" i="103"/>
  <c r="BB51" i="103"/>
  <c r="AN51" i="103"/>
  <c r="AL51" i="103"/>
  <c r="AZ51" i="103" s="1"/>
  <c r="AJ51" i="103"/>
  <c r="T51" i="103"/>
  <c r="X51" i="103" s="1"/>
  <c r="AX50" i="103"/>
  <c r="AN50" i="103"/>
  <c r="BB50" i="103" s="1"/>
  <c r="AJ50" i="103"/>
  <c r="T50" i="103"/>
  <c r="AN49" i="103"/>
  <c r="BB49" i="103" s="1"/>
  <c r="AL49" i="103"/>
  <c r="AJ49" i="103"/>
  <c r="AX49" i="103" s="1"/>
  <c r="T49" i="103"/>
  <c r="X49" i="103" s="1"/>
  <c r="BB48" i="103"/>
  <c r="AZ48" i="103"/>
  <c r="AN48" i="103"/>
  <c r="AJ48" i="103"/>
  <c r="X48" i="103"/>
  <c r="T48" i="103"/>
  <c r="AL48" i="103" s="1"/>
  <c r="AN47" i="103"/>
  <c r="BB47" i="103" s="1"/>
  <c r="AL47" i="103"/>
  <c r="AZ47" i="103" s="1"/>
  <c r="AJ47" i="103"/>
  <c r="AX47" i="103" s="1"/>
  <c r="BD47" i="103" s="1"/>
  <c r="BF47" i="103" s="1"/>
  <c r="X47" i="103"/>
  <c r="T47" i="103"/>
  <c r="AN46" i="103"/>
  <c r="BB46" i="103" s="1"/>
  <c r="AJ46" i="103"/>
  <c r="T46" i="103"/>
  <c r="BB45" i="103"/>
  <c r="AZ45" i="103"/>
  <c r="AX45" i="103"/>
  <c r="AN45" i="103"/>
  <c r="AJ45" i="103"/>
  <c r="X45" i="103"/>
  <c r="T45" i="103"/>
  <c r="AL45" i="103" s="1"/>
  <c r="AP45" i="103" s="1"/>
  <c r="AP44" i="103"/>
  <c r="AN44" i="103"/>
  <c r="AL44" i="103"/>
  <c r="AZ44" i="103" s="1"/>
  <c r="AJ44" i="103"/>
  <c r="AX44" i="103" s="1"/>
  <c r="X44" i="103"/>
  <c r="T44" i="103"/>
  <c r="BB43" i="103"/>
  <c r="AX43" i="103"/>
  <c r="AN43" i="103"/>
  <c r="AJ43" i="103"/>
  <c r="T43" i="103"/>
  <c r="A43" i="103"/>
  <c r="BH42" i="103"/>
  <c r="AV42" i="103"/>
  <c r="AT42" i="103"/>
  <c r="AR42" i="103"/>
  <c r="AR14" i="103" s="1"/>
  <c r="AF42" i="103"/>
  <c r="AD42" i="103"/>
  <c r="AB42" i="103"/>
  <c r="V42" i="103"/>
  <c r="R42" i="103"/>
  <c r="R14" i="103" s="1"/>
  <c r="N42" i="103"/>
  <c r="N14" i="103" s="1"/>
  <c r="L42" i="103"/>
  <c r="J42" i="103"/>
  <c r="H42" i="103"/>
  <c r="AN39" i="103"/>
  <c r="BB39" i="103" s="1"/>
  <c r="AL39" i="103"/>
  <c r="AZ39" i="103" s="1"/>
  <c r="R39" i="103"/>
  <c r="AN38" i="103"/>
  <c r="BB38" i="103" s="1"/>
  <c r="AL38" i="103"/>
  <c r="AZ38" i="103" s="1"/>
  <c r="AJ38" i="103"/>
  <c r="R38" i="103"/>
  <c r="X38" i="103" s="1"/>
  <c r="BD37" i="103"/>
  <c r="BF37" i="103" s="1"/>
  <c r="BB37" i="103"/>
  <c r="AZ37" i="103"/>
  <c r="AX37" i="103"/>
  <c r="AP37" i="103"/>
  <c r="AN37" i="103"/>
  <c r="AL37" i="103"/>
  <c r="AJ37" i="103"/>
  <c r="X37" i="103"/>
  <c r="R37" i="103"/>
  <c r="AN36" i="103"/>
  <c r="BB36" i="103" s="1"/>
  <c r="AL36" i="103"/>
  <c r="AZ36" i="103" s="1"/>
  <c r="AJ36" i="103"/>
  <c r="R36" i="103"/>
  <c r="X36" i="103" s="1"/>
  <c r="AN35" i="103"/>
  <c r="BB35" i="103" s="1"/>
  <c r="BB34" i="103" s="1"/>
  <c r="BB13" i="103" s="1"/>
  <c r="AL35" i="103"/>
  <c r="R35" i="103"/>
  <c r="AJ35" i="103" s="1"/>
  <c r="A35" i="103"/>
  <c r="BH34" i="103"/>
  <c r="AV34" i="103"/>
  <c r="AV13" i="103" s="1"/>
  <c r="AT34" i="103"/>
  <c r="AT13" i="103" s="1"/>
  <c r="AR34" i="103"/>
  <c r="AN34" i="103"/>
  <c r="AF34" i="103"/>
  <c r="AD34" i="103"/>
  <c r="AB34" i="103"/>
  <c r="AB13" i="103" s="1"/>
  <c r="V34" i="103"/>
  <c r="T34" i="103"/>
  <c r="R34" i="103"/>
  <c r="R13" i="103" s="1"/>
  <c r="N34" i="103"/>
  <c r="L34" i="103"/>
  <c r="J34" i="103"/>
  <c r="H34" i="103"/>
  <c r="H13" i="103" s="1"/>
  <c r="BB31" i="103"/>
  <c r="BD31" i="103" s="1"/>
  <c r="BF31" i="103" s="1"/>
  <c r="AZ31" i="103"/>
  <c r="AX31" i="103"/>
  <c r="AP31" i="103"/>
  <c r="AN31" i="103"/>
  <c r="AL31" i="103"/>
  <c r="AJ31" i="103"/>
  <c r="X31" i="103"/>
  <c r="BB30" i="103"/>
  <c r="AN30" i="103"/>
  <c r="AL30" i="103"/>
  <c r="AZ30" i="103" s="1"/>
  <c r="AJ30" i="103"/>
  <c r="AX30" i="103" s="1"/>
  <c r="BD30" i="103" s="1"/>
  <c r="BF30" i="103" s="1"/>
  <c r="X30" i="103"/>
  <c r="BB29" i="103"/>
  <c r="AZ29" i="103"/>
  <c r="AN29" i="103"/>
  <c r="AL29" i="103"/>
  <c r="R29" i="103"/>
  <c r="AJ29" i="103" s="1"/>
  <c r="AX29" i="103" s="1"/>
  <c r="BH28" i="103"/>
  <c r="AP28" i="103"/>
  <c r="AN28" i="103"/>
  <c r="BB28" i="103" s="1"/>
  <c r="AL28" i="103"/>
  <c r="AZ28" i="103" s="1"/>
  <c r="AJ28" i="103"/>
  <c r="AX28" i="103" s="1"/>
  <c r="X28" i="103"/>
  <c r="R28" i="103"/>
  <c r="BB27" i="103"/>
  <c r="AZ27" i="103"/>
  <c r="AZ26" i="103" s="1"/>
  <c r="AZ12" i="103" s="1"/>
  <c r="AN27" i="103"/>
  <c r="AL27" i="103"/>
  <c r="AL26" i="103" s="1"/>
  <c r="AL12" i="103" s="1"/>
  <c r="AJ27" i="103"/>
  <c r="AJ26" i="103" s="1"/>
  <c r="AJ12" i="103" s="1"/>
  <c r="R27" i="103"/>
  <c r="X27" i="103" s="1"/>
  <c r="A27" i="103"/>
  <c r="A28" i="103" s="1"/>
  <c r="A29" i="103" s="1"/>
  <c r="BH29" i="103" s="1"/>
  <c r="BH26" i="103"/>
  <c r="AV26" i="103"/>
  <c r="AV12" i="103" s="1"/>
  <c r="AV17" i="103" s="1"/>
  <c r="AV23" i="103" s="1"/>
  <c r="AT26" i="103"/>
  <c r="AT12" i="103" s="1"/>
  <c r="AR26" i="103"/>
  <c r="AF26" i="103"/>
  <c r="AD26" i="103"/>
  <c r="AD12" i="103" s="1"/>
  <c r="AB26" i="103"/>
  <c r="AB12" i="103" s="1"/>
  <c r="V26" i="103"/>
  <c r="T26" i="103"/>
  <c r="N26" i="103"/>
  <c r="L26" i="103"/>
  <c r="J26" i="103"/>
  <c r="J12" i="103" s="1"/>
  <c r="H26" i="103"/>
  <c r="H12" i="103" s="1"/>
  <c r="BD22" i="103"/>
  <c r="AP22" i="103"/>
  <c r="AN22" i="103"/>
  <c r="R22" i="103"/>
  <c r="X22" i="103" s="1"/>
  <c r="H22" i="103"/>
  <c r="BD21" i="103"/>
  <c r="AN21" i="103"/>
  <c r="AP21" i="103" s="1"/>
  <c r="X21" i="103"/>
  <c r="R21" i="103"/>
  <c r="H21" i="103"/>
  <c r="BB20" i="103"/>
  <c r="AZ20" i="103"/>
  <c r="AV20" i="103"/>
  <c r="AT20" i="103"/>
  <c r="AR20" i="103"/>
  <c r="AF20" i="103"/>
  <c r="AD20" i="103"/>
  <c r="AB20" i="103"/>
  <c r="V20" i="103"/>
  <c r="N20" i="103"/>
  <c r="L20" i="103"/>
  <c r="J20" i="103"/>
  <c r="H20" i="103"/>
  <c r="J17" i="103"/>
  <c r="J23" i="103" s="1"/>
  <c r="AT16" i="103"/>
  <c r="AR16" i="103"/>
  <c r="AJ16" i="103"/>
  <c r="AB16" i="103"/>
  <c r="V16" i="103"/>
  <c r="X16" i="103" s="1"/>
  <c r="T16" i="103"/>
  <c r="N16" i="103"/>
  <c r="L16" i="103"/>
  <c r="J16" i="103"/>
  <c r="AV15" i="103"/>
  <c r="AT15" i="103"/>
  <c r="AR15" i="103"/>
  <c r="AJ15" i="103"/>
  <c r="AF15" i="103"/>
  <c r="AD15" i="103"/>
  <c r="AB15" i="103"/>
  <c r="R15" i="103"/>
  <c r="N15" i="103"/>
  <c r="L15" i="103"/>
  <c r="J15" i="103"/>
  <c r="H15" i="103"/>
  <c r="A15" i="103"/>
  <c r="AV14" i="103"/>
  <c r="AT14" i="103"/>
  <c r="AF14" i="103"/>
  <c r="AD14" i="103"/>
  <c r="AB14" i="103"/>
  <c r="V14" i="103"/>
  <c r="L14" i="103"/>
  <c r="J14" i="103"/>
  <c r="H14" i="103"/>
  <c r="AR13" i="103"/>
  <c r="AN13" i="103"/>
  <c r="AF13" i="103"/>
  <c r="AD13" i="103"/>
  <c r="V13" i="103"/>
  <c r="T13" i="103"/>
  <c r="N13" i="103"/>
  <c r="L13" i="103"/>
  <c r="L17" i="103" s="1"/>
  <c r="L23" i="103" s="1"/>
  <c r="J13" i="103"/>
  <c r="A13" i="103"/>
  <c r="A14" i="103" s="1"/>
  <c r="BH14" i="103" s="1"/>
  <c r="BH12" i="103"/>
  <c r="AR12" i="103"/>
  <c r="AR17" i="103" s="1"/>
  <c r="AR23" i="103" s="1"/>
  <c r="AF12" i="103"/>
  <c r="AF17" i="103" s="1"/>
  <c r="AF23" i="103" s="1"/>
  <c r="V12" i="103"/>
  <c r="T12" i="103"/>
  <c r="N12" i="103"/>
  <c r="N17" i="103" s="1"/>
  <c r="N23" i="103" s="1"/>
  <c r="L12" i="103"/>
  <c r="BF9" i="103"/>
  <c r="G66" i="83"/>
  <c r="G65" i="83" s="1"/>
  <c r="H55" i="83"/>
  <c r="K54" i="83"/>
  <c r="A48" i="83"/>
  <c r="K47" i="83"/>
  <c r="A47" i="83"/>
  <c r="K46" i="83"/>
  <c r="E34" i="83"/>
  <c r="D34" i="83"/>
  <c r="E25" i="83" s="1"/>
  <c r="C34" i="83"/>
  <c r="E26" i="83" s="1"/>
  <c r="K33" i="83"/>
  <c r="K27" i="83"/>
  <c r="E27" i="83"/>
  <c r="K26" i="83"/>
  <c r="A26" i="83"/>
  <c r="A27" i="83" s="1"/>
  <c r="A34" i="83" s="1"/>
  <c r="K34" i="83" s="1"/>
  <c r="K25" i="83"/>
  <c r="K24" i="83"/>
  <c r="F52" i="82"/>
  <c r="A52" i="82"/>
  <c r="G52" i="82" s="1"/>
  <c r="A50" i="82"/>
  <c r="G50" i="82" s="1"/>
  <c r="G49" i="82"/>
  <c r="A49" i="82"/>
  <c r="F50" i="82" s="1"/>
  <c r="G48" i="82"/>
  <c r="A43" i="82"/>
  <c r="G43" i="82" s="1"/>
  <c r="G41" i="82"/>
  <c r="A41" i="82"/>
  <c r="F43" i="82" s="1"/>
  <c r="G40" i="82"/>
  <c r="A40" i="82"/>
  <c r="F41" i="82" s="1"/>
  <c r="G39" i="82"/>
  <c r="F34" i="82"/>
  <c r="E34" i="82"/>
  <c r="A34" i="82"/>
  <c r="G34" i="82" s="1"/>
  <c r="G32" i="82"/>
  <c r="A25" i="82"/>
  <c r="A24" i="82"/>
  <c r="G24" i="82" s="1"/>
  <c r="G23" i="82"/>
  <c r="F13" i="82"/>
  <c r="E13" i="82"/>
  <c r="D13" i="82"/>
  <c r="A12" i="82"/>
  <c r="A13" i="82" s="1"/>
  <c r="G11" i="82"/>
  <c r="G10" i="82"/>
  <c r="G6" i="82"/>
  <c r="A6" i="82"/>
  <c r="G5" i="82"/>
  <c r="G4" i="82"/>
  <c r="D20" i="81"/>
  <c r="C20" i="81"/>
  <c r="C17" i="81"/>
  <c r="A14" i="81"/>
  <c r="F13" i="81"/>
  <c r="C13" i="81"/>
  <c r="A13" i="81"/>
  <c r="F12" i="81"/>
  <c r="F11" i="81"/>
  <c r="A8" i="81"/>
  <c r="A12" i="81" s="1"/>
  <c r="D7" i="81"/>
  <c r="C7" i="81"/>
  <c r="A7" i="81"/>
  <c r="F7" i="81" s="1"/>
  <c r="F6" i="81"/>
  <c r="F5" i="81"/>
  <c r="B169" i="80"/>
  <c r="B170" i="80" s="1"/>
  <c r="B171" i="80" s="1"/>
  <c r="B172" i="80" s="1"/>
  <c r="B173" i="80" s="1"/>
  <c r="B174" i="80" s="1"/>
  <c r="B175" i="80" s="1"/>
  <c r="B176" i="80" s="1"/>
  <c r="B177" i="80" s="1"/>
  <c r="B178" i="80" s="1"/>
  <c r="B179" i="80" s="1"/>
  <c r="B180" i="80" s="1"/>
  <c r="B181" i="80" s="1"/>
  <c r="B182" i="80" s="1"/>
  <c r="B183" i="80" s="1"/>
  <c r="N167" i="80"/>
  <c r="I160" i="80"/>
  <c r="B160" i="80"/>
  <c r="I159" i="80"/>
  <c r="B159" i="80"/>
  <c r="I158" i="80"/>
  <c r="B158" i="80"/>
  <c r="I157" i="80"/>
  <c r="B157" i="80"/>
  <c r="I156" i="80"/>
  <c r="B156" i="80"/>
  <c r="I155" i="80"/>
  <c r="B155" i="80"/>
  <c r="I154" i="80"/>
  <c r="B154" i="80"/>
  <c r="I153" i="80"/>
  <c r="B153" i="80"/>
  <c r="I152" i="80"/>
  <c r="B152" i="80"/>
  <c r="I151" i="80"/>
  <c r="F151" i="80"/>
  <c r="B151" i="80"/>
  <c r="I150" i="80"/>
  <c r="B150" i="80"/>
  <c r="I149" i="80"/>
  <c r="B149" i="80"/>
  <c r="I143" i="80"/>
  <c r="I142" i="80"/>
  <c r="I141" i="80"/>
  <c r="I140" i="80"/>
  <c r="I139" i="80"/>
  <c r="I138" i="80"/>
  <c r="I137" i="80"/>
  <c r="I136" i="80"/>
  <c r="I135" i="80"/>
  <c r="I134" i="80"/>
  <c r="N133" i="80"/>
  <c r="I133" i="80"/>
  <c r="A133" i="80"/>
  <c r="A134" i="80" s="1"/>
  <c r="N132" i="80"/>
  <c r="I132" i="80"/>
  <c r="I144" i="80" s="1"/>
  <c r="B132" i="80"/>
  <c r="B133" i="80" s="1"/>
  <c r="B134" i="80" s="1"/>
  <c r="B135" i="80" s="1"/>
  <c r="B137" i="80" s="1"/>
  <c r="B138" i="80" s="1"/>
  <c r="B139" i="80" s="1"/>
  <c r="B141" i="80" s="1"/>
  <c r="B142" i="80" s="1"/>
  <c r="B143" i="80" s="1"/>
  <c r="G128" i="80"/>
  <c r="F128" i="80"/>
  <c r="G121" i="80"/>
  <c r="G120" i="80"/>
  <c r="G119" i="80"/>
  <c r="G118" i="80" s="1"/>
  <c r="G117" i="80"/>
  <c r="N111" i="80"/>
  <c r="A111" i="80"/>
  <c r="A112" i="80" s="1"/>
  <c r="N112" i="80" s="1"/>
  <c r="N110" i="80"/>
  <c r="J110" i="80"/>
  <c r="H110" i="80"/>
  <c r="K146" i="80" s="1"/>
  <c r="E110" i="80"/>
  <c r="N109" i="80"/>
  <c r="I97" i="80"/>
  <c r="H97" i="80"/>
  <c r="G97" i="80"/>
  <c r="F97" i="80"/>
  <c r="E97" i="80"/>
  <c r="D97" i="80"/>
  <c r="D95" i="80"/>
  <c r="A95" i="80"/>
  <c r="A97" i="80" s="1"/>
  <c r="A98" i="80" s="1"/>
  <c r="N98" i="80" s="1"/>
  <c r="D94" i="80"/>
  <c r="A94" i="80"/>
  <c r="N94" i="80" s="1"/>
  <c r="N93" i="80"/>
  <c r="D93" i="80"/>
  <c r="N91" i="80"/>
  <c r="F83" i="80"/>
  <c r="I81" i="80"/>
  <c r="H81" i="80"/>
  <c r="G81" i="80"/>
  <c r="F81" i="80"/>
  <c r="E81" i="80"/>
  <c r="D78" i="80"/>
  <c r="D77" i="80"/>
  <c r="A77" i="80"/>
  <c r="N76" i="80"/>
  <c r="D76" i="80"/>
  <c r="D81" i="80" s="1"/>
  <c r="N74" i="80"/>
  <c r="D69" i="80"/>
  <c r="I62" i="80"/>
  <c r="H62" i="80"/>
  <c r="G62" i="80"/>
  <c r="F62" i="80"/>
  <c r="E62" i="80"/>
  <c r="D60" i="80"/>
  <c r="D59" i="80"/>
  <c r="D58" i="80"/>
  <c r="D57" i="80"/>
  <c r="N56" i="80"/>
  <c r="D56" i="80"/>
  <c r="A56" i="80"/>
  <c r="A57" i="80" s="1"/>
  <c r="N57" i="80" s="1"/>
  <c r="N55" i="80"/>
  <c r="D55" i="80"/>
  <c r="A55" i="80"/>
  <c r="N54" i="80"/>
  <c r="D54" i="80"/>
  <c r="D62" i="80" s="1"/>
  <c r="N53" i="80"/>
  <c r="I43" i="80"/>
  <c r="H43" i="80"/>
  <c r="G43" i="80"/>
  <c r="E41" i="80"/>
  <c r="D41" i="80"/>
  <c r="D40" i="80"/>
  <c r="D39" i="80"/>
  <c r="F38" i="80"/>
  <c r="D37" i="80"/>
  <c r="D36" i="80"/>
  <c r="D35" i="80"/>
  <c r="N34" i="80"/>
  <c r="D34" i="80"/>
  <c r="A34" i="80"/>
  <c r="A35" i="80" s="1"/>
  <c r="N33" i="80"/>
  <c r="D33" i="80"/>
  <c r="A33" i="80"/>
  <c r="N32" i="80"/>
  <c r="D32" i="80"/>
  <c r="N30" i="80"/>
  <c r="A10" i="80"/>
  <c r="N9" i="80"/>
  <c r="N8" i="80"/>
  <c r="C60" i="79"/>
  <c r="I59" i="79"/>
  <c r="H59" i="79"/>
  <c r="G59" i="79"/>
  <c r="E59" i="79"/>
  <c r="D59" i="79"/>
  <c r="A59" i="79"/>
  <c r="A60" i="79" s="1"/>
  <c r="J60" i="79" s="1"/>
  <c r="J56" i="79"/>
  <c r="I56" i="79"/>
  <c r="H56" i="79"/>
  <c r="G56" i="79"/>
  <c r="E56" i="79"/>
  <c r="D56" i="79"/>
  <c r="A56" i="79"/>
  <c r="A57" i="79" s="1"/>
  <c r="J57" i="79" s="1"/>
  <c r="F49" i="79"/>
  <c r="F59" i="79" s="1"/>
  <c r="F48" i="79"/>
  <c r="J47" i="79"/>
  <c r="F47" i="79"/>
  <c r="F46" i="79"/>
  <c r="J45" i="79"/>
  <c r="F45" i="79"/>
  <c r="F44" i="79"/>
  <c r="F43" i="79"/>
  <c r="F42" i="79"/>
  <c r="F41" i="79"/>
  <c r="J40" i="79"/>
  <c r="F40" i="79"/>
  <c r="J39" i="79"/>
  <c r="F39" i="79"/>
  <c r="A39" i="79"/>
  <c r="A40" i="79" s="1"/>
  <c r="A41" i="79" s="1"/>
  <c r="A42" i="79" s="1"/>
  <c r="A43" i="79" s="1"/>
  <c r="A44" i="79" s="1"/>
  <c r="A45" i="79" s="1"/>
  <c r="A46" i="79" s="1"/>
  <c r="A47" i="79" s="1"/>
  <c r="A48" i="79" s="1"/>
  <c r="A49" i="79" s="1"/>
  <c r="A54" i="79" s="1"/>
  <c r="J54" i="79" s="1"/>
  <c r="J38" i="79"/>
  <c r="F38" i="79"/>
  <c r="A38" i="79"/>
  <c r="J37" i="79"/>
  <c r="F37" i="79"/>
  <c r="J36" i="79"/>
  <c r="E26" i="79"/>
  <c r="D26" i="79"/>
  <c r="A14" i="79"/>
  <c r="J13" i="79"/>
  <c r="J12" i="79"/>
  <c r="A31" i="78"/>
  <c r="Q30" i="78"/>
  <c r="Q29" i="78"/>
  <c r="A29" i="78"/>
  <c r="A30" i="78" s="1"/>
  <c r="Q28" i="78"/>
  <c r="Q27" i="78"/>
  <c r="D19" i="78"/>
  <c r="B19" i="78"/>
  <c r="D18" i="78"/>
  <c r="B18" i="78"/>
  <c r="D17" i="78"/>
  <c r="B17" i="78"/>
  <c r="D16" i="78"/>
  <c r="B16" i="78"/>
  <c r="I15" i="78"/>
  <c r="D15" i="78"/>
  <c r="B15" i="78"/>
  <c r="D14" i="78"/>
  <c r="B14" i="78"/>
  <c r="I13" i="78"/>
  <c r="D13" i="78"/>
  <c r="B13" i="78"/>
  <c r="Q12" i="78"/>
  <c r="D12" i="78"/>
  <c r="B12" i="78"/>
  <c r="A12" i="78"/>
  <c r="A13" i="78" s="1"/>
  <c r="D11" i="78"/>
  <c r="B11" i="78"/>
  <c r="A11" i="78"/>
  <c r="Q11" i="78" s="1"/>
  <c r="Q10" i="78"/>
  <c r="D10" i="78"/>
  <c r="B10" i="78"/>
  <c r="Q9" i="78"/>
  <c r="P1" i="78"/>
  <c r="Q131" i="77"/>
  <c r="A131" i="77"/>
  <c r="Q130" i="77"/>
  <c r="A130" i="77"/>
  <c r="Q129" i="77"/>
  <c r="Q128" i="77"/>
  <c r="Q111" i="77"/>
  <c r="A111" i="77"/>
  <c r="A112" i="77" s="1"/>
  <c r="Q110" i="77"/>
  <c r="Q108" i="77"/>
  <c r="L98" i="77"/>
  <c r="J98" i="77"/>
  <c r="E98" i="77"/>
  <c r="Q97" i="77"/>
  <c r="J82" i="77"/>
  <c r="A78" i="77"/>
  <c r="Q78" i="77" s="1"/>
  <c r="A77" i="77"/>
  <c r="Q77" i="77" s="1"/>
  <c r="Q76" i="77"/>
  <c r="Q75" i="77"/>
  <c r="Q61" i="77"/>
  <c r="Q60" i="77"/>
  <c r="Q51" i="77"/>
  <c r="Q50" i="77"/>
  <c r="Q38" i="77"/>
  <c r="Q37" i="77"/>
  <c r="Q25" i="77"/>
  <c r="C25" i="77"/>
  <c r="Q24" i="77"/>
  <c r="N15" i="77"/>
  <c r="M15" i="77"/>
  <c r="L15" i="77"/>
  <c r="K15" i="77"/>
  <c r="J15" i="77"/>
  <c r="I15" i="77"/>
  <c r="H15" i="77"/>
  <c r="G15" i="77"/>
  <c r="O15" i="77" s="1"/>
  <c r="F130" i="77" s="1"/>
  <c r="F15" i="77"/>
  <c r="E15" i="77"/>
  <c r="D15" i="77"/>
  <c r="C15" i="77"/>
  <c r="Q14" i="77"/>
  <c r="O14" i="77"/>
  <c r="A14" i="77"/>
  <c r="A15" i="77" s="1"/>
  <c r="Q15" i="77" s="1"/>
  <c r="Q13" i="77"/>
  <c r="O13" i="77"/>
  <c r="Q12" i="77"/>
  <c r="A128" i="76"/>
  <c r="A129" i="76" s="1"/>
  <c r="R129" i="76" s="1"/>
  <c r="R127" i="76"/>
  <c r="R126" i="76"/>
  <c r="R117" i="76"/>
  <c r="D117" i="76"/>
  <c r="A117" i="76"/>
  <c r="A116" i="76"/>
  <c r="R116" i="76" s="1"/>
  <c r="R115" i="76"/>
  <c r="R114" i="76"/>
  <c r="D103" i="76"/>
  <c r="A102" i="76"/>
  <c r="A103" i="76" s="1"/>
  <c r="R103" i="76" s="1"/>
  <c r="R101" i="76"/>
  <c r="R100" i="76"/>
  <c r="F89" i="76"/>
  <c r="E89" i="76"/>
  <c r="D88" i="76"/>
  <c r="A88" i="76"/>
  <c r="R87" i="76"/>
  <c r="D87" i="76"/>
  <c r="R86" i="76"/>
  <c r="O77" i="76"/>
  <c r="N77" i="76"/>
  <c r="M77" i="76"/>
  <c r="L77" i="76"/>
  <c r="K77" i="76"/>
  <c r="J77" i="76"/>
  <c r="I77" i="76"/>
  <c r="H77" i="76"/>
  <c r="G77" i="76"/>
  <c r="F77" i="76"/>
  <c r="E77" i="76"/>
  <c r="D77" i="76"/>
  <c r="P76" i="76"/>
  <c r="E23" i="92" s="1"/>
  <c r="P75" i="76"/>
  <c r="P74" i="76"/>
  <c r="P73" i="76"/>
  <c r="P72" i="76"/>
  <c r="P71" i="76"/>
  <c r="P70" i="76"/>
  <c r="P69" i="76"/>
  <c r="P68" i="76"/>
  <c r="R67" i="76"/>
  <c r="P67" i="76"/>
  <c r="P66" i="76"/>
  <c r="A66" i="76"/>
  <c r="A67" i="76" s="1"/>
  <c r="A68" i="76" s="1"/>
  <c r="R65" i="76"/>
  <c r="P65" i="76"/>
  <c r="A65" i="76"/>
  <c r="R64" i="76"/>
  <c r="P64" i="76"/>
  <c r="R63" i="76"/>
  <c r="O52" i="76"/>
  <c r="N52" i="76"/>
  <c r="M52" i="76"/>
  <c r="L52" i="76"/>
  <c r="K52" i="76"/>
  <c r="J52" i="76"/>
  <c r="I52" i="76"/>
  <c r="H52" i="76"/>
  <c r="G52" i="76"/>
  <c r="F52" i="76"/>
  <c r="E52" i="76"/>
  <c r="D52" i="76"/>
  <c r="P51" i="76"/>
  <c r="D23" i="92" s="1"/>
  <c r="P50" i="76"/>
  <c r="P49" i="76"/>
  <c r="P48" i="76"/>
  <c r="P47" i="76"/>
  <c r="P46" i="76"/>
  <c r="P45" i="76"/>
  <c r="P44" i="76"/>
  <c r="P43" i="76"/>
  <c r="P42" i="76"/>
  <c r="P41" i="76"/>
  <c r="A41" i="76"/>
  <c r="R40" i="76"/>
  <c r="P40" i="76"/>
  <c r="A40" i="76"/>
  <c r="R39" i="76"/>
  <c r="P39" i="76"/>
  <c r="R38" i="76"/>
  <c r="O26" i="76"/>
  <c r="I19" i="78" s="1"/>
  <c r="N26" i="76"/>
  <c r="I18" i="78" s="1"/>
  <c r="M26" i="76"/>
  <c r="I17" i="78" s="1"/>
  <c r="L26" i="76"/>
  <c r="I16" i="78" s="1"/>
  <c r="K26" i="76"/>
  <c r="J26" i="76"/>
  <c r="I14" i="78" s="1"/>
  <c r="I26" i="76"/>
  <c r="H26" i="76"/>
  <c r="I12" i="78" s="1"/>
  <c r="G26" i="76"/>
  <c r="I11" i="78" s="1"/>
  <c r="F26" i="76"/>
  <c r="I10" i="78" s="1"/>
  <c r="I21" i="78" s="1"/>
  <c r="E26" i="76"/>
  <c r="D26" i="76"/>
  <c r="P26" i="76" s="1"/>
  <c r="O25" i="76"/>
  <c r="N25" i="76"/>
  <c r="M25" i="76"/>
  <c r="L25" i="76"/>
  <c r="K25" i="76"/>
  <c r="J25" i="76"/>
  <c r="I25" i="76"/>
  <c r="H25" i="76"/>
  <c r="P25" i="76" s="1"/>
  <c r="G25" i="76"/>
  <c r="F25" i="76"/>
  <c r="E25" i="76"/>
  <c r="D25" i="76"/>
  <c r="O24" i="76"/>
  <c r="N24" i="76"/>
  <c r="M24" i="76"/>
  <c r="L24" i="76"/>
  <c r="K24" i="76"/>
  <c r="J24" i="76"/>
  <c r="I24" i="76"/>
  <c r="H24" i="76"/>
  <c r="G24" i="76"/>
  <c r="F24" i="76"/>
  <c r="E24" i="76"/>
  <c r="D24" i="76"/>
  <c r="O23" i="76"/>
  <c r="N23" i="76"/>
  <c r="M23" i="76"/>
  <c r="L23" i="76"/>
  <c r="K23" i="76"/>
  <c r="J23" i="76"/>
  <c r="I23" i="76"/>
  <c r="H23" i="76"/>
  <c r="G23" i="76"/>
  <c r="F23" i="76"/>
  <c r="E23" i="76"/>
  <c r="P23" i="76" s="1"/>
  <c r="D23" i="76"/>
  <c r="O22" i="76"/>
  <c r="N22" i="76"/>
  <c r="M22" i="76"/>
  <c r="L22" i="76"/>
  <c r="K22" i="76"/>
  <c r="J22" i="76"/>
  <c r="I22" i="76"/>
  <c r="H22" i="76"/>
  <c r="G22" i="76"/>
  <c r="F22" i="76"/>
  <c r="P22" i="76" s="1"/>
  <c r="E22" i="76"/>
  <c r="D22" i="76"/>
  <c r="O21" i="76"/>
  <c r="N21" i="76"/>
  <c r="M21" i="76"/>
  <c r="L21" i="76"/>
  <c r="K21" i="76"/>
  <c r="J21" i="76"/>
  <c r="I21" i="76"/>
  <c r="H21" i="76"/>
  <c r="G21" i="76"/>
  <c r="F21" i="76"/>
  <c r="E21" i="76"/>
  <c r="D21" i="76"/>
  <c r="O20" i="76"/>
  <c r="N20" i="76"/>
  <c r="M20" i="76"/>
  <c r="L20" i="76"/>
  <c r="K20" i="76"/>
  <c r="J20" i="76"/>
  <c r="I20" i="76"/>
  <c r="H20" i="76"/>
  <c r="G20" i="76"/>
  <c r="F20" i="76"/>
  <c r="E20" i="76"/>
  <c r="D20" i="76"/>
  <c r="O19" i="76"/>
  <c r="N19" i="76"/>
  <c r="M19" i="76"/>
  <c r="L19" i="76"/>
  <c r="K19" i="76"/>
  <c r="J19" i="76"/>
  <c r="I19" i="76"/>
  <c r="H19" i="76"/>
  <c r="G19" i="76"/>
  <c r="F19" i="76"/>
  <c r="E19" i="76"/>
  <c r="D19" i="76"/>
  <c r="P19" i="76" s="1"/>
  <c r="O18" i="76"/>
  <c r="N18" i="76"/>
  <c r="M18" i="76"/>
  <c r="L18" i="76"/>
  <c r="K18" i="76"/>
  <c r="J18" i="76"/>
  <c r="I18" i="76"/>
  <c r="H18" i="76"/>
  <c r="G18" i="76"/>
  <c r="F18" i="76"/>
  <c r="E18" i="76"/>
  <c r="D18" i="76"/>
  <c r="P18" i="76" s="1"/>
  <c r="O17" i="76"/>
  <c r="N17" i="76"/>
  <c r="M17" i="76"/>
  <c r="L17" i="76"/>
  <c r="L27" i="76" s="1"/>
  <c r="K17" i="76"/>
  <c r="J17" i="76"/>
  <c r="I17" i="76"/>
  <c r="H17" i="76"/>
  <c r="G17" i="76"/>
  <c r="F17" i="76"/>
  <c r="E17" i="76"/>
  <c r="D17" i="76"/>
  <c r="P17" i="76" s="1"/>
  <c r="O16" i="76"/>
  <c r="N16" i="76"/>
  <c r="M16" i="76"/>
  <c r="L16" i="76"/>
  <c r="K16" i="76"/>
  <c r="J16" i="76"/>
  <c r="I16" i="76"/>
  <c r="H16" i="76"/>
  <c r="G16" i="76"/>
  <c r="F16" i="76"/>
  <c r="E16" i="76"/>
  <c r="D16" i="76"/>
  <c r="Q15" i="76"/>
  <c r="O15" i="76"/>
  <c r="N15" i="76"/>
  <c r="M15" i="76"/>
  <c r="L15" i="76"/>
  <c r="K15" i="76"/>
  <c r="J15" i="76"/>
  <c r="I15" i="76"/>
  <c r="H15" i="76"/>
  <c r="P15" i="76" s="1"/>
  <c r="G15" i="76"/>
  <c r="F15" i="76"/>
  <c r="E15" i="76"/>
  <c r="D15" i="76"/>
  <c r="A15" i="76"/>
  <c r="A16" i="76" s="1"/>
  <c r="R14" i="76"/>
  <c r="Q14" i="76"/>
  <c r="O14" i="76"/>
  <c r="N14" i="76"/>
  <c r="M14" i="76"/>
  <c r="L14" i="76"/>
  <c r="K14" i="76"/>
  <c r="J14" i="76"/>
  <c r="J27" i="76" s="1"/>
  <c r="I14" i="76"/>
  <c r="I27" i="76" s="1"/>
  <c r="H14" i="76"/>
  <c r="G14" i="76"/>
  <c r="F14" i="76"/>
  <c r="E14" i="76"/>
  <c r="D14" i="76"/>
  <c r="D27" i="76" s="1"/>
  <c r="R13" i="76"/>
  <c r="C111" i="75"/>
  <c r="B111" i="75"/>
  <c r="C110" i="75"/>
  <c r="B110" i="75"/>
  <c r="C109" i="75"/>
  <c r="B109" i="75"/>
  <c r="C108" i="75"/>
  <c r="B108" i="75"/>
  <c r="C107" i="75"/>
  <c r="B107" i="75"/>
  <c r="C106" i="75"/>
  <c r="B106" i="75"/>
  <c r="C105" i="75"/>
  <c r="B105" i="75"/>
  <c r="C104" i="75"/>
  <c r="B104" i="75"/>
  <c r="C103" i="75"/>
  <c r="B103" i="75"/>
  <c r="C102" i="75"/>
  <c r="B102" i="75"/>
  <c r="C101" i="75"/>
  <c r="B101" i="75"/>
  <c r="C100" i="75"/>
  <c r="B100" i="75"/>
  <c r="B99" i="75"/>
  <c r="B98" i="75"/>
  <c r="B97" i="75"/>
  <c r="B96" i="75"/>
  <c r="B95" i="75"/>
  <c r="B94" i="75"/>
  <c r="B93" i="75"/>
  <c r="B92" i="75"/>
  <c r="B91" i="75"/>
  <c r="B90" i="75"/>
  <c r="J89" i="75"/>
  <c r="B89" i="75"/>
  <c r="A89" i="75"/>
  <c r="A90" i="75" s="1"/>
  <c r="J88" i="75"/>
  <c r="E88" i="75"/>
  <c r="B88" i="75"/>
  <c r="J87" i="75"/>
  <c r="C87" i="75"/>
  <c r="B87" i="75"/>
  <c r="B86" i="75"/>
  <c r="C75" i="75"/>
  <c r="C74" i="75"/>
  <c r="C73" i="75"/>
  <c r="C72" i="75"/>
  <c r="C71" i="75"/>
  <c r="C70" i="75"/>
  <c r="C69" i="75"/>
  <c r="C68" i="75"/>
  <c r="C67" i="75"/>
  <c r="C66" i="75"/>
  <c r="C65" i="75"/>
  <c r="C64" i="75"/>
  <c r="A59" i="75"/>
  <c r="A57" i="75"/>
  <c r="A58" i="75" s="1"/>
  <c r="J58" i="75" s="1"/>
  <c r="J55" i="75"/>
  <c r="J54" i="75"/>
  <c r="A54" i="75"/>
  <c r="A55" i="75" s="1"/>
  <c r="A56" i="75" s="1"/>
  <c r="J56" i="75" s="1"/>
  <c r="J53" i="75"/>
  <c r="E53" i="75"/>
  <c r="A53" i="75"/>
  <c r="J52" i="75"/>
  <c r="E52" i="75"/>
  <c r="J51" i="75"/>
  <c r="C51" i="75"/>
  <c r="B51" i="75"/>
  <c r="B50" i="75"/>
  <c r="G38" i="75"/>
  <c r="D38" i="75"/>
  <c r="D160" i="80" s="1"/>
  <c r="F160" i="80" s="1"/>
  <c r="C38" i="75"/>
  <c r="B38" i="75"/>
  <c r="G37" i="75"/>
  <c r="D37" i="75"/>
  <c r="D159" i="80" s="1"/>
  <c r="F159" i="80" s="1"/>
  <c r="C37" i="75"/>
  <c r="B37" i="75"/>
  <c r="G36" i="75"/>
  <c r="D36" i="75"/>
  <c r="D158" i="80" s="1"/>
  <c r="F158" i="80" s="1"/>
  <c r="C36" i="75"/>
  <c r="B36" i="75"/>
  <c r="G35" i="75"/>
  <c r="D35" i="75"/>
  <c r="D157" i="80" s="1"/>
  <c r="F157" i="80" s="1"/>
  <c r="C35" i="75"/>
  <c r="B35" i="75"/>
  <c r="G34" i="75"/>
  <c r="D34" i="75"/>
  <c r="D156" i="80" s="1"/>
  <c r="F156" i="80" s="1"/>
  <c r="C34" i="75"/>
  <c r="B34" i="75"/>
  <c r="G33" i="75"/>
  <c r="D33" i="75"/>
  <c r="D155" i="80" s="1"/>
  <c r="F155" i="80" s="1"/>
  <c r="C33" i="75"/>
  <c r="B33" i="75"/>
  <c r="G32" i="75"/>
  <c r="D32" i="75"/>
  <c r="D154" i="80" s="1"/>
  <c r="F154" i="80" s="1"/>
  <c r="C32" i="75"/>
  <c r="B32" i="75"/>
  <c r="G31" i="75"/>
  <c r="D31" i="75"/>
  <c r="D153" i="80" s="1"/>
  <c r="F153" i="80" s="1"/>
  <c r="C31" i="75"/>
  <c r="B31" i="75"/>
  <c r="G30" i="75"/>
  <c r="D30" i="75"/>
  <c r="D152" i="80" s="1"/>
  <c r="F152" i="80" s="1"/>
  <c r="C30" i="75"/>
  <c r="B30" i="75"/>
  <c r="G29" i="75"/>
  <c r="D29" i="75"/>
  <c r="D151" i="80" s="1"/>
  <c r="C29" i="75"/>
  <c r="G28" i="75"/>
  <c r="D28" i="75"/>
  <c r="D150" i="80" s="1"/>
  <c r="F150" i="80" s="1"/>
  <c r="C28" i="75"/>
  <c r="B28" i="75"/>
  <c r="G27" i="75"/>
  <c r="D27" i="75"/>
  <c r="D149" i="80" s="1"/>
  <c r="C27" i="75"/>
  <c r="B27" i="75"/>
  <c r="G26" i="75"/>
  <c r="D26" i="75"/>
  <c r="D143" i="80" s="1"/>
  <c r="B26" i="75"/>
  <c r="G25" i="75"/>
  <c r="D25" i="75"/>
  <c r="D142" i="80" s="1"/>
  <c r="F142" i="80" s="1"/>
  <c r="B25" i="75"/>
  <c r="G24" i="75"/>
  <c r="D24" i="75"/>
  <c r="D141" i="80" s="1"/>
  <c r="B24" i="75"/>
  <c r="G23" i="75"/>
  <c r="D23" i="75"/>
  <c r="D140" i="80" s="1"/>
  <c r="B23" i="75"/>
  <c r="G22" i="75"/>
  <c r="D22" i="75"/>
  <c r="D139" i="80" s="1"/>
  <c r="G21" i="75"/>
  <c r="D21" i="75"/>
  <c r="D138" i="80" s="1"/>
  <c r="B21" i="75"/>
  <c r="G20" i="75"/>
  <c r="D20" i="75"/>
  <c r="D137" i="80" s="1"/>
  <c r="B20" i="75"/>
  <c r="G19" i="75"/>
  <c r="D19" i="75"/>
  <c r="D136" i="80" s="1"/>
  <c r="B19" i="75"/>
  <c r="G18" i="75"/>
  <c r="D18" i="75"/>
  <c r="D135" i="80" s="1"/>
  <c r="B18" i="75"/>
  <c r="G17" i="75"/>
  <c r="D17" i="75"/>
  <c r="D134" i="80" s="1"/>
  <c r="F134" i="80" s="1"/>
  <c r="B17" i="75"/>
  <c r="A17" i="75"/>
  <c r="A18" i="75" s="1"/>
  <c r="J16" i="75"/>
  <c r="G16" i="75"/>
  <c r="D16" i="75"/>
  <c r="D133" i="80" s="1"/>
  <c r="B16" i="75"/>
  <c r="A16" i="75"/>
  <c r="J15" i="75"/>
  <c r="G15" i="75"/>
  <c r="E15" i="75"/>
  <c r="D15" i="75"/>
  <c r="D132" i="80" s="1"/>
  <c r="B15" i="75"/>
  <c r="J14" i="75"/>
  <c r="K17" i="102"/>
  <c r="N13" i="102"/>
  <c r="M13" i="102"/>
  <c r="E13" i="92" s="1"/>
  <c r="L13" i="102"/>
  <c r="K13" i="102"/>
  <c r="J13" i="102"/>
  <c r="I13" i="102"/>
  <c r="E41" i="92" s="1"/>
  <c r="A13" i="102"/>
  <c r="Q12" i="102"/>
  <c r="N12" i="102"/>
  <c r="M12" i="102"/>
  <c r="L12" i="102"/>
  <c r="K12" i="102"/>
  <c r="J12" i="102"/>
  <c r="I12" i="102"/>
  <c r="Q11" i="102"/>
  <c r="R128" i="73"/>
  <c r="A128" i="73"/>
  <c r="A129" i="73" s="1"/>
  <c r="R129" i="73" s="1"/>
  <c r="R127" i="73"/>
  <c r="R126" i="73"/>
  <c r="D116" i="73"/>
  <c r="A116" i="73"/>
  <c r="R116" i="73" s="1"/>
  <c r="A115" i="73"/>
  <c r="R115" i="73" s="1"/>
  <c r="R114" i="73"/>
  <c r="R113" i="73"/>
  <c r="D102" i="73"/>
  <c r="A102" i="73"/>
  <c r="R102" i="73" s="1"/>
  <c r="R101" i="73"/>
  <c r="A101" i="73"/>
  <c r="R100" i="73"/>
  <c r="R99" i="73"/>
  <c r="F88" i="73"/>
  <c r="E88" i="73"/>
  <c r="A88" i="73"/>
  <c r="R88" i="73" s="1"/>
  <c r="R87" i="73"/>
  <c r="D87" i="73"/>
  <c r="A87" i="73"/>
  <c r="R86" i="73"/>
  <c r="D86" i="73"/>
  <c r="R85" i="73"/>
  <c r="O75" i="73"/>
  <c r="N75" i="73"/>
  <c r="M75" i="73"/>
  <c r="L75" i="73"/>
  <c r="K75" i="73"/>
  <c r="J75" i="73"/>
  <c r="I75" i="73"/>
  <c r="H75" i="73"/>
  <c r="G75" i="73"/>
  <c r="F75" i="73"/>
  <c r="E75" i="73"/>
  <c r="D75" i="73"/>
  <c r="P74" i="73"/>
  <c r="P73" i="73"/>
  <c r="P72" i="73"/>
  <c r="P71" i="73"/>
  <c r="P70" i="73"/>
  <c r="P69" i="73"/>
  <c r="P68" i="73"/>
  <c r="P67" i="73"/>
  <c r="P66" i="73"/>
  <c r="P65" i="73"/>
  <c r="C65" i="73"/>
  <c r="P64" i="73"/>
  <c r="P63" i="73"/>
  <c r="A63" i="73"/>
  <c r="R62" i="73"/>
  <c r="P62" i="73"/>
  <c r="P75" i="73" s="1"/>
  <c r="R61" i="73"/>
  <c r="O50" i="73"/>
  <c r="N50" i="73"/>
  <c r="M50" i="73"/>
  <c r="L50" i="73"/>
  <c r="K50" i="73"/>
  <c r="J50" i="73"/>
  <c r="I50" i="73"/>
  <c r="H50" i="73"/>
  <c r="G50" i="73"/>
  <c r="F50" i="73"/>
  <c r="E50" i="73"/>
  <c r="D50" i="73"/>
  <c r="P49" i="73"/>
  <c r="C49" i="73"/>
  <c r="P48" i="73"/>
  <c r="P47" i="73"/>
  <c r="P46" i="73"/>
  <c r="P45" i="73"/>
  <c r="P44" i="73"/>
  <c r="P43" i="73"/>
  <c r="P42" i="73"/>
  <c r="P41" i="73"/>
  <c r="P40" i="73"/>
  <c r="P39" i="73"/>
  <c r="A39" i="73"/>
  <c r="R38" i="73"/>
  <c r="P38" i="73"/>
  <c r="P50" i="73" s="1"/>
  <c r="A38" i="73"/>
  <c r="R37" i="73"/>
  <c r="P37" i="73"/>
  <c r="R36" i="73"/>
  <c r="J25" i="73"/>
  <c r="O24" i="73"/>
  <c r="N24" i="73"/>
  <c r="M24" i="73"/>
  <c r="L24" i="73"/>
  <c r="K24" i="73"/>
  <c r="J24" i="73"/>
  <c r="G17" i="72" s="1"/>
  <c r="I17" i="72" s="1"/>
  <c r="I24" i="73"/>
  <c r="H24" i="73"/>
  <c r="G24" i="73"/>
  <c r="F24" i="73"/>
  <c r="E24" i="73"/>
  <c r="E87" i="77" s="1"/>
  <c r="E121" i="77" s="1"/>
  <c r="D24" i="73"/>
  <c r="D87" i="77" s="1"/>
  <c r="D121" i="77" s="1"/>
  <c r="C24" i="73"/>
  <c r="O23" i="73"/>
  <c r="O86" i="77" s="1"/>
  <c r="N23" i="73"/>
  <c r="N86" i="77" s="1"/>
  <c r="M23" i="73"/>
  <c r="M86" i="77" s="1"/>
  <c r="L23" i="73"/>
  <c r="L86" i="77" s="1"/>
  <c r="K23" i="73"/>
  <c r="K86" i="77" s="1"/>
  <c r="J23" i="73"/>
  <c r="J86" i="77" s="1"/>
  <c r="I23" i="73"/>
  <c r="I86" i="77" s="1"/>
  <c r="H23" i="73"/>
  <c r="H86" i="77" s="1"/>
  <c r="G23" i="73"/>
  <c r="G86" i="77" s="1"/>
  <c r="F23" i="73"/>
  <c r="F86" i="77" s="1"/>
  <c r="E23" i="73"/>
  <c r="E86" i="77" s="1"/>
  <c r="E120" i="77" s="1"/>
  <c r="D23" i="73"/>
  <c r="O22" i="73"/>
  <c r="O85" i="77" s="1"/>
  <c r="N22" i="73"/>
  <c r="N85" i="77" s="1"/>
  <c r="M22" i="73"/>
  <c r="M85" i="77" s="1"/>
  <c r="L22" i="73"/>
  <c r="L85" i="77" s="1"/>
  <c r="K22" i="73"/>
  <c r="K85" i="77" s="1"/>
  <c r="J22" i="73"/>
  <c r="J85" i="77" s="1"/>
  <c r="I22" i="73"/>
  <c r="I85" i="77" s="1"/>
  <c r="H22" i="73"/>
  <c r="H85" i="77" s="1"/>
  <c r="G22" i="73"/>
  <c r="G85" i="77" s="1"/>
  <c r="F22" i="73"/>
  <c r="F85" i="77" s="1"/>
  <c r="E22" i="73"/>
  <c r="E85" i="77" s="1"/>
  <c r="E119" i="77" s="1"/>
  <c r="D22" i="73"/>
  <c r="O21" i="73"/>
  <c r="O84" i="77" s="1"/>
  <c r="N21" i="73"/>
  <c r="N84" i="77" s="1"/>
  <c r="M21" i="73"/>
  <c r="M84" i="77" s="1"/>
  <c r="L21" i="73"/>
  <c r="L84" i="77" s="1"/>
  <c r="K21" i="73"/>
  <c r="K84" i="77" s="1"/>
  <c r="J21" i="73"/>
  <c r="J84" i="77" s="1"/>
  <c r="I21" i="73"/>
  <c r="I84" i="77" s="1"/>
  <c r="H21" i="73"/>
  <c r="H84" i="77" s="1"/>
  <c r="G21" i="73"/>
  <c r="G84" i="77" s="1"/>
  <c r="F21" i="73"/>
  <c r="F84" i="77" s="1"/>
  <c r="E21" i="73"/>
  <c r="E84" i="77" s="1"/>
  <c r="E118" i="77" s="1"/>
  <c r="D21" i="73"/>
  <c r="C21" i="73"/>
  <c r="O20" i="73"/>
  <c r="O83" i="77" s="1"/>
  <c r="N20" i="73"/>
  <c r="N83" i="77" s="1"/>
  <c r="M20" i="73"/>
  <c r="M83" i="77" s="1"/>
  <c r="L20" i="73"/>
  <c r="L83" i="77" s="1"/>
  <c r="K20" i="73"/>
  <c r="K83" i="77" s="1"/>
  <c r="J20" i="73"/>
  <c r="J83" i="77" s="1"/>
  <c r="I20" i="73"/>
  <c r="I83" i="77" s="1"/>
  <c r="H20" i="73"/>
  <c r="H83" i="77" s="1"/>
  <c r="G20" i="73"/>
  <c r="G83" i="77" s="1"/>
  <c r="F20" i="73"/>
  <c r="F83" i="77" s="1"/>
  <c r="E20" i="73"/>
  <c r="E83" i="77" s="1"/>
  <c r="E117" i="77" s="1"/>
  <c r="D20" i="73"/>
  <c r="O19" i="73"/>
  <c r="O82" i="77" s="1"/>
  <c r="N19" i="73"/>
  <c r="N82" i="77" s="1"/>
  <c r="M19" i="73"/>
  <c r="M82" i="77" s="1"/>
  <c r="L19" i="73"/>
  <c r="L82" i="77" s="1"/>
  <c r="K19" i="73"/>
  <c r="K82" i="77" s="1"/>
  <c r="J19" i="73"/>
  <c r="I19" i="73"/>
  <c r="I82" i="77" s="1"/>
  <c r="H19" i="73"/>
  <c r="H82" i="77" s="1"/>
  <c r="G19" i="73"/>
  <c r="G82" i="77" s="1"/>
  <c r="F19" i="73"/>
  <c r="F82" i="77" s="1"/>
  <c r="E19" i="73"/>
  <c r="E82" i="77" s="1"/>
  <c r="E116" i="77" s="1"/>
  <c r="D19" i="73"/>
  <c r="D82" i="77" s="1"/>
  <c r="O18" i="73"/>
  <c r="O81" i="77" s="1"/>
  <c r="N18" i="73"/>
  <c r="N81" i="77" s="1"/>
  <c r="M18" i="73"/>
  <c r="M81" i="77" s="1"/>
  <c r="L18" i="73"/>
  <c r="L81" i="77" s="1"/>
  <c r="K18" i="73"/>
  <c r="K81" i="77" s="1"/>
  <c r="J18" i="73"/>
  <c r="J81" i="77" s="1"/>
  <c r="I18" i="73"/>
  <c r="I81" i="77" s="1"/>
  <c r="H18" i="73"/>
  <c r="H81" i="77" s="1"/>
  <c r="G18" i="73"/>
  <c r="G81" i="77" s="1"/>
  <c r="F18" i="73"/>
  <c r="F81" i="77" s="1"/>
  <c r="E18" i="73"/>
  <c r="D18" i="73"/>
  <c r="D81" i="77" s="1"/>
  <c r="D115" i="77" s="1"/>
  <c r="O17" i="73"/>
  <c r="O80" i="77" s="1"/>
  <c r="N17" i="73"/>
  <c r="N80" i="77" s="1"/>
  <c r="M17" i="73"/>
  <c r="M80" i="77" s="1"/>
  <c r="L17" i="73"/>
  <c r="L80" i="77" s="1"/>
  <c r="K17" i="73"/>
  <c r="K80" i="77" s="1"/>
  <c r="J17" i="73"/>
  <c r="J80" i="77" s="1"/>
  <c r="I17" i="73"/>
  <c r="I80" i="77" s="1"/>
  <c r="H17" i="73"/>
  <c r="H80" i="77" s="1"/>
  <c r="G17" i="73"/>
  <c r="G80" i="77" s="1"/>
  <c r="F17" i="73"/>
  <c r="F80" i="77" s="1"/>
  <c r="E17" i="73"/>
  <c r="E80" i="77" s="1"/>
  <c r="E114" i="77" s="1"/>
  <c r="D17" i="73"/>
  <c r="D80" i="77" s="1"/>
  <c r="D114" i="77" s="1"/>
  <c r="O16" i="73"/>
  <c r="O79" i="77" s="1"/>
  <c r="N16" i="73"/>
  <c r="N79" i="77" s="1"/>
  <c r="M16" i="73"/>
  <c r="M79" i="77" s="1"/>
  <c r="L16" i="73"/>
  <c r="L79" i="77" s="1"/>
  <c r="K16" i="73"/>
  <c r="K79" i="77" s="1"/>
  <c r="J16" i="73"/>
  <c r="J79" i="77" s="1"/>
  <c r="I16" i="73"/>
  <c r="I79" i="77" s="1"/>
  <c r="H16" i="73"/>
  <c r="H79" i="77" s="1"/>
  <c r="G16" i="73"/>
  <c r="G79" i="77" s="1"/>
  <c r="F16" i="73"/>
  <c r="F79" i="77" s="1"/>
  <c r="E16" i="73"/>
  <c r="E79" i="77" s="1"/>
  <c r="E113" i="77" s="1"/>
  <c r="D16" i="73"/>
  <c r="D79" i="77" s="1"/>
  <c r="D113" i="77" s="1"/>
  <c r="O15" i="73"/>
  <c r="O78" i="77" s="1"/>
  <c r="N15" i="73"/>
  <c r="N78" i="77" s="1"/>
  <c r="M15" i="73"/>
  <c r="M78" i="77" s="1"/>
  <c r="L15" i="73"/>
  <c r="L78" i="77" s="1"/>
  <c r="K15" i="73"/>
  <c r="K78" i="77" s="1"/>
  <c r="J15" i="73"/>
  <c r="J78" i="77" s="1"/>
  <c r="I15" i="73"/>
  <c r="I78" i="77" s="1"/>
  <c r="H15" i="73"/>
  <c r="H78" i="77" s="1"/>
  <c r="G15" i="73"/>
  <c r="G78" i="77" s="1"/>
  <c r="F15" i="73"/>
  <c r="F78" i="77" s="1"/>
  <c r="E15" i="73"/>
  <c r="E78" i="77" s="1"/>
  <c r="E112" i="77" s="1"/>
  <c r="D15" i="73"/>
  <c r="D78" i="77" s="1"/>
  <c r="R14" i="73"/>
  <c r="O14" i="73"/>
  <c r="O77" i="77" s="1"/>
  <c r="N14" i="73"/>
  <c r="N77" i="77" s="1"/>
  <c r="M14" i="73"/>
  <c r="M77" i="77" s="1"/>
  <c r="L14" i="73"/>
  <c r="L77" i="77" s="1"/>
  <c r="K14" i="73"/>
  <c r="K77" i="77" s="1"/>
  <c r="J14" i="73"/>
  <c r="J77" i="77" s="1"/>
  <c r="I14" i="73"/>
  <c r="I77" i="77" s="1"/>
  <c r="H14" i="73"/>
  <c r="H77" i="77" s="1"/>
  <c r="G14" i="73"/>
  <c r="G77" i="77" s="1"/>
  <c r="F14" i="73"/>
  <c r="F77" i="77" s="1"/>
  <c r="E14" i="73"/>
  <c r="E77" i="77" s="1"/>
  <c r="E111" i="77" s="1"/>
  <c r="D14" i="73"/>
  <c r="A14" i="73"/>
  <c r="A15" i="73" s="1"/>
  <c r="R13" i="73"/>
  <c r="O13" i="73"/>
  <c r="O76" i="77" s="1"/>
  <c r="N13" i="73"/>
  <c r="N76" i="77" s="1"/>
  <c r="M13" i="73"/>
  <c r="M76" i="77" s="1"/>
  <c r="L13" i="73"/>
  <c r="L76" i="77" s="1"/>
  <c r="K13" i="73"/>
  <c r="K76" i="77" s="1"/>
  <c r="J13" i="73"/>
  <c r="J76" i="77" s="1"/>
  <c r="I13" i="73"/>
  <c r="I76" i="77" s="1"/>
  <c r="H13" i="73"/>
  <c r="H76" i="77" s="1"/>
  <c r="G13" i="73"/>
  <c r="G76" i="77" s="1"/>
  <c r="F13" i="73"/>
  <c r="F76" i="77" s="1"/>
  <c r="E13" i="73"/>
  <c r="E76" i="77" s="1"/>
  <c r="E110" i="77" s="1"/>
  <c r="D13" i="73"/>
  <c r="A13" i="73"/>
  <c r="R12" i="73"/>
  <c r="Q12" i="73"/>
  <c r="O12" i="73"/>
  <c r="O25" i="73" s="1"/>
  <c r="N12" i="73"/>
  <c r="M12" i="73"/>
  <c r="L12" i="73"/>
  <c r="K12" i="73"/>
  <c r="J12" i="73"/>
  <c r="I12" i="73"/>
  <c r="I25" i="73" s="1"/>
  <c r="H12" i="73"/>
  <c r="G12" i="73"/>
  <c r="G25" i="73" s="1"/>
  <c r="F12" i="73"/>
  <c r="E12" i="73"/>
  <c r="D12" i="73"/>
  <c r="R11" i="73"/>
  <c r="F24" i="72"/>
  <c r="D24" i="72"/>
  <c r="I23" i="72"/>
  <c r="G22" i="72"/>
  <c r="I22" i="72" s="1"/>
  <c r="G21" i="72"/>
  <c r="I21" i="72" s="1"/>
  <c r="I20" i="72"/>
  <c r="G20" i="72"/>
  <c r="J19" i="72"/>
  <c r="G19" i="72"/>
  <c r="I19" i="72" s="1"/>
  <c r="G18" i="72"/>
  <c r="I18" i="72" s="1"/>
  <c r="A18" i="72"/>
  <c r="A19" i="72" s="1"/>
  <c r="A20" i="72" s="1"/>
  <c r="A21" i="72" s="1"/>
  <c r="J16" i="72"/>
  <c r="G16" i="72"/>
  <c r="I16" i="72" s="1"/>
  <c r="A16" i="72"/>
  <c r="A17" i="72" s="1"/>
  <c r="J17" i="72" s="1"/>
  <c r="J15" i="72"/>
  <c r="A15" i="72"/>
  <c r="J14" i="72"/>
  <c r="I14" i="72"/>
  <c r="G14" i="72"/>
  <c r="J13" i="72"/>
  <c r="G42" i="71"/>
  <c r="E7" i="71" s="1"/>
  <c r="E42" i="71"/>
  <c r="A38" i="71"/>
  <c r="K37" i="71"/>
  <c r="K36" i="71"/>
  <c r="H30" i="71"/>
  <c r="G30" i="71"/>
  <c r="F30" i="71"/>
  <c r="J29" i="71"/>
  <c r="I29" i="71"/>
  <c r="J28" i="71"/>
  <c r="I28" i="71"/>
  <c r="K27" i="71"/>
  <c r="J27" i="71"/>
  <c r="I27" i="71"/>
  <c r="J26" i="71"/>
  <c r="I26" i="71"/>
  <c r="A26" i="71"/>
  <c r="A27" i="71" s="1"/>
  <c r="A28" i="71" s="1"/>
  <c r="K25" i="71"/>
  <c r="J25" i="71"/>
  <c r="J30" i="71" s="1"/>
  <c r="E6" i="71" s="1"/>
  <c r="E8" i="71" s="1"/>
  <c r="I25" i="71"/>
  <c r="J24" i="71"/>
  <c r="I24" i="71"/>
  <c r="A24" i="71"/>
  <c r="A25" i="71" s="1"/>
  <c r="K23" i="71"/>
  <c r="J23" i="71"/>
  <c r="I23" i="71"/>
  <c r="A23" i="71"/>
  <c r="K22" i="71"/>
  <c r="J22" i="71"/>
  <c r="I22" i="71"/>
  <c r="K21" i="71"/>
  <c r="E14" i="71"/>
  <c r="D41" i="1" s="1"/>
  <c r="D56" i="1" s="1"/>
  <c r="E11" i="71"/>
  <c r="E10" i="71"/>
  <c r="E12" i="71" s="1"/>
  <c r="A10" i="71"/>
  <c r="K10" i="71" s="1"/>
  <c r="A7" i="71"/>
  <c r="A8" i="71" s="1"/>
  <c r="F23" i="82" s="1"/>
  <c r="K6" i="71"/>
  <c r="K5" i="71"/>
  <c r="F24" i="70"/>
  <c r="F22" i="70"/>
  <c r="F14" i="70"/>
  <c r="A8" i="70"/>
  <c r="H8" i="70" s="1"/>
  <c r="H7" i="70"/>
  <c r="C39" i="69"/>
  <c r="C37" i="69"/>
  <c r="C35" i="69"/>
  <c r="C33" i="69"/>
  <c r="C31" i="69"/>
  <c r="C29" i="69"/>
  <c r="C27" i="69"/>
  <c r="C25" i="69"/>
  <c r="C23" i="69"/>
  <c r="C21" i="69"/>
  <c r="C19" i="69"/>
  <c r="C17" i="69"/>
  <c r="C15" i="69"/>
  <c r="E40" i="47" s="1"/>
  <c r="A15" i="69"/>
  <c r="Q15" i="69" s="1"/>
  <c r="Q13" i="69"/>
  <c r="C13" i="69"/>
  <c r="Q12" i="69"/>
  <c r="K10" i="69"/>
  <c r="D29" i="68"/>
  <c r="D28" i="68"/>
  <c r="D25" i="68"/>
  <c r="D21" i="68"/>
  <c r="D20" i="68"/>
  <c r="D19" i="68"/>
  <c r="D13" i="68"/>
  <c r="D12" i="68"/>
  <c r="D11" i="68"/>
  <c r="D10" i="68"/>
  <c r="D9" i="68"/>
  <c r="D8" i="68"/>
  <c r="A8" i="68"/>
  <c r="A9" i="68" s="1"/>
  <c r="D7" i="68"/>
  <c r="A7" i="68"/>
  <c r="G7" i="68" s="1"/>
  <c r="G6" i="68"/>
  <c r="D6" i="68"/>
  <c r="G4" i="68"/>
  <c r="B143" i="5"/>
  <c r="E120" i="5"/>
  <c r="D119" i="5"/>
  <c r="D118" i="5"/>
  <c r="D117" i="5"/>
  <c r="D116" i="5"/>
  <c r="D115" i="5"/>
  <c r="D114" i="5"/>
  <c r="D113" i="5"/>
  <c r="D112" i="5"/>
  <c r="D111" i="5"/>
  <c r="D110" i="5"/>
  <c r="D109" i="5"/>
  <c r="D120" i="5" s="1"/>
  <c r="A109" i="5"/>
  <c r="D108" i="5"/>
  <c r="A108" i="5"/>
  <c r="L108" i="5" s="1"/>
  <c r="L102" i="5"/>
  <c r="L101" i="5"/>
  <c r="B100" i="5"/>
  <c r="B99" i="5"/>
  <c r="L95" i="5"/>
  <c r="B95" i="5"/>
  <c r="L94" i="5"/>
  <c r="H90" i="5"/>
  <c r="E90" i="5"/>
  <c r="C90" i="5"/>
  <c r="H89" i="5"/>
  <c r="E89" i="5"/>
  <c r="C89" i="5"/>
  <c r="H88" i="5"/>
  <c r="E88" i="5"/>
  <c r="C88" i="5"/>
  <c r="H87" i="5"/>
  <c r="E87" i="5"/>
  <c r="C87" i="5"/>
  <c r="H86" i="5"/>
  <c r="E86" i="5"/>
  <c r="C86" i="5"/>
  <c r="H85" i="5"/>
  <c r="E85" i="5"/>
  <c r="C85" i="5"/>
  <c r="H84" i="5"/>
  <c r="E84" i="5"/>
  <c r="C84" i="5"/>
  <c r="H83" i="5"/>
  <c r="E83" i="5"/>
  <c r="C83" i="5"/>
  <c r="H82" i="5"/>
  <c r="E82" i="5"/>
  <c r="C82" i="5"/>
  <c r="H81" i="5"/>
  <c r="E81" i="5"/>
  <c r="C81" i="5"/>
  <c r="A81" i="5"/>
  <c r="A82" i="5" s="1"/>
  <c r="H80" i="5"/>
  <c r="E80" i="5"/>
  <c r="C80" i="5"/>
  <c r="A80" i="5"/>
  <c r="L80" i="5" s="1"/>
  <c r="L79" i="5"/>
  <c r="H79" i="5"/>
  <c r="E79" i="5"/>
  <c r="C79" i="5"/>
  <c r="L78" i="5"/>
  <c r="I75" i="5"/>
  <c r="F75" i="5"/>
  <c r="E56" i="5"/>
  <c r="E55" i="5"/>
  <c r="E54" i="5"/>
  <c r="E53" i="5"/>
  <c r="C53" i="5"/>
  <c r="C116" i="5" s="1"/>
  <c r="E52" i="5"/>
  <c r="E51" i="5"/>
  <c r="E50" i="5"/>
  <c r="E49" i="5"/>
  <c r="C49" i="5"/>
  <c r="C112" i="5" s="1"/>
  <c r="E48" i="5"/>
  <c r="E47" i="5"/>
  <c r="E46" i="5"/>
  <c r="L45" i="5"/>
  <c r="E45" i="5"/>
  <c r="C45" i="5"/>
  <c r="A45" i="5"/>
  <c r="A46" i="5" s="1"/>
  <c r="K44" i="5"/>
  <c r="A44" i="5"/>
  <c r="L44" i="5" s="1"/>
  <c r="K39" i="5"/>
  <c r="F39" i="5"/>
  <c r="L36" i="5"/>
  <c r="L35" i="5"/>
  <c r="B31" i="5"/>
  <c r="J25" i="5"/>
  <c r="I25" i="5"/>
  <c r="H25" i="5"/>
  <c r="G25" i="5"/>
  <c r="F25" i="5"/>
  <c r="E25" i="5"/>
  <c r="D25" i="5"/>
  <c r="C25" i="5"/>
  <c r="I24" i="5"/>
  <c r="J24" i="5" s="1"/>
  <c r="J23" i="5"/>
  <c r="J22" i="5"/>
  <c r="J21" i="5"/>
  <c r="J20" i="5"/>
  <c r="J19" i="5"/>
  <c r="J18" i="5"/>
  <c r="J17" i="5"/>
  <c r="J16" i="5"/>
  <c r="A16" i="5"/>
  <c r="A17" i="5" s="1"/>
  <c r="J15" i="5"/>
  <c r="A15" i="5"/>
  <c r="L15" i="5" s="1"/>
  <c r="L14" i="5"/>
  <c r="J14" i="5"/>
  <c r="A14" i="5"/>
  <c r="L13" i="5"/>
  <c r="J13" i="5"/>
  <c r="L12" i="5"/>
  <c r="K1" i="5"/>
  <c r="F106" i="47"/>
  <c r="E95" i="47"/>
  <c r="E94" i="47"/>
  <c r="A82" i="47"/>
  <c r="H82" i="47" s="1"/>
  <c r="A81" i="47"/>
  <c r="H81" i="47" s="1"/>
  <c r="H80" i="47"/>
  <c r="F80" i="47"/>
  <c r="H78" i="47"/>
  <c r="F59" i="47"/>
  <c r="E58" i="47"/>
  <c r="E59" i="47" s="1"/>
  <c r="E68" i="47" s="1"/>
  <c r="A58" i="47"/>
  <c r="A59" i="47" s="1"/>
  <c r="H57" i="47"/>
  <c r="E57" i="47"/>
  <c r="H56" i="47"/>
  <c r="E46" i="47"/>
  <c r="E42" i="47"/>
  <c r="E41" i="47"/>
  <c r="E45" i="47" s="1"/>
  <c r="E67" i="47" s="1"/>
  <c r="A40" i="47"/>
  <c r="H37" i="47"/>
  <c r="H36" i="47"/>
  <c r="E28" i="47"/>
  <c r="C27" i="47"/>
  <c r="E26" i="47"/>
  <c r="H25" i="47"/>
  <c r="H24" i="47"/>
  <c r="E13" i="47"/>
  <c r="A10" i="47"/>
  <c r="H10" i="47" s="1"/>
  <c r="H9" i="47"/>
  <c r="A9" i="47"/>
  <c r="F10" i="47" s="1"/>
  <c r="H8" i="47"/>
  <c r="A8" i="47"/>
  <c r="H7" i="47"/>
  <c r="H5" i="47"/>
  <c r="E26" i="2"/>
  <c r="E25" i="2"/>
  <c r="G23" i="2"/>
  <c r="A23" i="2"/>
  <c r="A25" i="2" s="1"/>
  <c r="G22" i="2"/>
  <c r="G21" i="2"/>
  <c r="A15" i="2"/>
  <c r="G15" i="2" s="1"/>
  <c r="A14" i="2"/>
  <c r="A11" i="2"/>
  <c r="G11" i="2" s="1"/>
  <c r="G10" i="2"/>
  <c r="D10" i="2"/>
  <c r="A10" i="2"/>
  <c r="G9" i="2"/>
  <c r="A9" i="2"/>
  <c r="E11" i="2" s="1"/>
  <c r="G6" i="2"/>
  <c r="G5" i="2"/>
  <c r="F1" i="2"/>
  <c r="A157" i="1"/>
  <c r="A158" i="1" s="1"/>
  <c r="G155" i="1"/>
  <c r="D155" i="1"/>
  <c r="E106" i="47" s="1"/>
  <c r="G154" i="1"/>
  <c r="E150" i="1"/>
  <c r="D150" i="1"/>
  <c r="A149" i="1"/>
  <c r="G149" i="1" s="1"/>
  <c r="G148" i="1"/>
  <c r="G147" i="1"/>
  <c r="D141" i="1"/>
  <c r="D31" i="2" s="1"/>
  <c r="D140" i="1"/>
  <c r="D30" i="2" s="1"/>
  <c r="D136" i="1"/>
  <c r="E90" i="47" s="1"/>
  <c r="D127" i="1"/>
  <c r="E82" i="47" s="1"/>
  <c r="G126" i="1"/>
  <c r="A126" i="1"/>
  <c r="F81" i="47" s="1"/>
  <c r="G125" i="1"/>
  <c r="G123" i="1"/>
  <c r="D119" i="1"/>
  <c r="D118" i="1"/>
  <c r="D117" i="1"/>
  <c r="H128" i="80" s="1"/>
  <c r="D108" i="1"/>
  <c r="E69" i="47" s="1"/>
  <c r="D103" i="1"/>
  <c r="E70" i="47" s="1"/>
  <c r="D99" i="1"/>
  <c r="D98" i="1"/>
  <c r="A98" i="1"/>
  <c r="G97" i="1"/>
  <c r="D97" i="1"/>
  <c r="G96" i="1"/>
  <c r="D88" i="1"/>
  <c r="A80" i="1"/>
  <c r="A83" i="1" s="1"/>
  <c r="G79" i="1"/>
  <c r="A79" i="1"/>
  <c r="E80" i="1" s="1"/>
  <c r="G78" i="1"/>
  <c r="G76" i="1"/>
  <c r="D69" i="1"/>
  <c r="D68" i="1"/>
  <c r="D116" i="1" s="1"/>
  <c r="D65" i="1"/>
  <c r="D64" i="1"/>
  <c r="D58" i="1"/>
  <c r="G37" i="1"/>
  <c r="E37" i="1"/>
  <c r="A37" i="1"/>
  <c r="A40" i="1" s="1"/>
  <c r="G36" i="1"/>
  <c r="D36" i="1"/>
  <c r="D55" i="1" s="1"/>
  <c r="D63" i="1" s="1"/>
  <c r="A36" i="1"/>
  <c r="E55" i="1" s="1"/>
  <c r="G35" i="1"/>
  <c r="G33" i="1"/>
  <c r="D28" i="1"/>
  <c r="D26" i="1"/>
  <c r="G25" i="1"/>
  <c r="G24" i="1"/>
  <c r="D19" i="1"/>
  <c r="E15" i="1"/>
  <c r="D13" i="1"/>
  <c r="A8" i="1"/>
  <c r="G7" i="1"/>
  <c r="G5" i="1"/>
  <c r="F2" i="1"/>
  <c r="C94" i="75" s="1"/>
  <c r="I30" i="106" l="1"/>
  <c r="I51" i="106"/>
  <c r="I34" i="106"/>
  <c r="I40" i="106" s="1"/>
  <c r="I47" i="106"/>
  <c r="E54" i="106"/>
  <c r="N14" i="106"/>
  <c r="G32" i="106"/>
  <c r="F54" i="106"/>
  <c r="G24" i="106"/>
  <c r="G51" i="106"/>
  <c r="G54" i="106" s="1"/>
  <c r="I22" i="106"/>
  <c r="I24" i="106" s="1"/>
  <c r="L47" i="105"/>
  <c r="D54" i="106"/>
  <c r="N49" i="85"/>
  <c r="N51" i="85"/>
  <c r="A7" i="85"/>
  <c r="K14" i="102"/>
  <c r="J14" i="102"/>
  <c r="L14" i="102"/>
  <c r="A84" i="1"/>
  <c r="G83" i="1"/>
  <c r="E31" i="89"/>
  <c r="E34" i="89" s="1"/>
  <c r="D31" i="89"/>
  <c r="D66" i="1"/>
  <c r="A159" i="1"/>
  <c r="G158" i="1"/>
  <c r="A16" i="2"/>
  <c r="C108" i="5"/>
  <c r="C44" i="5"/>
  <c r="A10" i="68"/>
  <c r="G9" i="68"/>
  <c r="D86" i="77"/>
  <c r="P23" i="73"/>
  <c r="F133" i="80"/>
  <c r="A83" i="5"/>
  <c r="L82" i="5"/>
  <c r="A9" i="1"/>
  <c r="G8" i="1"/>
  <c r="G40" i="1"/>
  <c r="E42" i="1"/>
  <c r="A150" i="1"/>
  <c r="A13" i="47"/>
  <c r="A16" i="73"/>
  <c r="R15" i="73"/>
  <c r="C44" i="73"/>
  <c r="C89" i="75"/>
  <c r="A110" i="5"/>
  <c r="L109" i="5"/>
  <c r="E99" i="1"/>
  <c r="A99" i="1"/>
  <c r="G98" i="1"/>
  <c r="A41" i="47"/>
  <c r="H40" i="47"/>
  <c r="A47" i="5"/>
  <c r="L46" i="5"/>
  <c r="A41" i="1"/>
  <c r="D13" i="92"/>
  <c r="F13" i="92" s="1"/>
  <c r="M14" i="102"/>
  <c r="D9" i="1" s="1"/>
  <c r="D72" i="1" s="1"/>
  <c r="D120" i="1" s="1"/>
  <c r="L81" i="5"/>
  <c r="A29" i="71"/>
  <c r="K28" i="71"/>
  <c r="C29" i="87"/>
  <c r="C31" i="87" s="1"/>
  <c r="L17" i="102"/>
  <c r="D14" i="68"/>
  <c r="F15" i="47"/>
  <c r="A83" i="47"/>
  <c r="K25" i="73"/>
  <c r="D76" i="77"/>
  <c r="P13" i="73"/>
  <c r="E81" i="77"/>
  <c r="E115" i="77" s="1"/>
  <c r="P18" i="73"/>
  <c r="K87" i="77"/>
  <c r="F15" i="78"/>
  <c r="C53" i="89"/>
  <c r="C52" i="89"/>
  <c r="C58" i="89"/>
  <c r="C50" i="89"/>
  <c r="C57" i="89"/>
  <c r="C49" i="89"/>
  <c r="F1" i="91"/>
  <c r="C56" i="89"/>
  <c r="C48" i="89"/>
  <c r="J1" i="89"/>
  <c r="C54" i="89"/>
  <c r="C55" i="89"/>
  <c r="F1" i="87"/>
  <c r="E1" i="90"/>
  <c r="C47" i="89"/>
  <c r="E1" i="88"/>
  <c r="C51" i="89"/>
  <c r="BI1" i="104"/>
  <c r="P1" i="84"/>
  <c r="J1" i="86"/>
  <c r="B67" i="83"/>
  <c r="B59" i="83"/>
  <c r="B66" i="83"/>
  <c r="B58" i="83"/>
  <c r="B63" i="83"/>
  <c r="F1" i="82"/>
  <c r="B64" i="83"/>
  <c r="B61" i="83"/>
  <c r="J1" i="83"/>
  <c r="B121" i="80"/>
  <c r="B113" i="80"/>
  <c r="C23" i="79"/>
  <c r="C15" i="79"/>
  <c r="B65" i="83"/>
  <c r="B62" i="83"/>
  <c r="B56" i="83"/>
  <c r="B117" i="80"/>
  <c r="C19" i="79"/>
  <c r="I1" i="79"/>
  <c r="B116" i="80"/>
  <c r="BG1" i="103"/>
  <c r="B111" i="80"/>
  <c r="C42" i="79"/>
  <c r="C13" i="79"/>
  <c r="B38" i="77"/>
  <c r="C116" i="76"/>
  <c r="C87" i="76"/>
  <c r="C24" i="76"/>
  <c r="B57" i="83"/>
  <c r="F1" i="81"/>
  <c r="B122" i="80"/>
  <c r="B115" i="80"/>
  <c r="M1" i="80"/>
  <c r="C47" i="79"/>
  <c r="C39" i="79"/>
  <c r="C37" i="79"/>
  <c r="C17" i="79"/>
  <c r="B51" i="77"/>
  <c r="C23" i="76"/>
  <c r="B112" i="80"/>
  <c r="C44" i="79"/>
  <c r="C21" i="79"/>
  <c r="B61" i="77"/>
  <c r="B119" i="80"/>
  <c r="C49" i="79"/>
  <c r="C41" i="79"/>
  <c r="C25" i="79"/>
  <c r="P1" i="77"/>
  <c r="C127" i="76"/>
  <c r="C101" i="76"/>
  <c r="C76" i="76"/>
  <c r="C74" i="76"/>
  <c r="C72" i="76"/>
  <c r="C70" i="76"/>
  <c r="C68" i="76"/>
  <c r="C66" i="76"/>
  <c r="C64" i="76"/>
  <c r="C21" i="76"/>
  <c r="C46" i="79"/>
  <c r="C14" i="79"/>
  <c r="C87" i="77"/>
  <c r="C86" i="77"/>
  <c r="C85" i="77"/>
  <c r="C84" i="77"/>
  <c r="C83" i="77"/>
  <c r="C82" i="77"/>
  <c r="C81" i="77"/>
  <c r="C80" i="77"/>
  <c r="C79" i="77"/>
  <c r="C78" i="77"/>
  <c r="C77" i="77"/>
  <c r="C76" i="77"/>
  <c r="B25" i="77"/>
  <c r="C102" i="76"/>
  <c r="C88" i="76"/>
  <c r="C48" i="79"/>
  <c r="C40" i="79"/>
  <c r="C22" i="79"/>
  <c r="C20" i="79"/>
  <c r="C51" i="76"/>
  <c r="C49" i="76"/>
  <c r="C47" i="76"/>
  <c r="C45" i="76"/>
  <c r="C43" i="76"/>
  <c r="C41" i="76"/>
  <c r="C39" i="76"/>
  <c r="C26" i="76"/>
  <c r="B114" i="80"/>
  <c r="C75" i="76"/>
  <c r="C71" i="76"/>
  <c r="C67" i="76"/>
  <c r="C17" i="76"/>
  <c r="C61" i="75"/>
  <c r="C53" i="75"/>
  <c r="C26" i="75"/>
  <c r="C22" i="75"/>
  <c r="C18" i="75"/>
  <c r="C38" i="79"/>
  <c r="C16" i="79"/>
  <c r="C115" i="76"/>
  <c r="C16" i="76"/>
  <c r="C62" i="75"/>
  <c r="C54" i="75"/>
  <c r="I1" i="75"/>
  <c r="C24" i="79"/>
  <c r="C110" i="77"/>
  <c r="C50" i="76"/>
  <c r="C46" i="76"/>
  <c r="C42" i="76"/>
  <c r="C15" i="76"/>
  <c r="C63" i="75"/>
  <c r="C55" i="75"/>
  <c r="C25" i="75"/>
  <c r="C21" i="75"/>
  <c r="C17" i="75"/>
  <c r="P1" i="102"/>
  <c r="C127" i="73"/>
  <c r="C100" i="73"/>
  <c r="C74" i="73"/>
  <c r="C72" i="73"/>
  <c r="C70" i="73"/>
  <c r="C68" i="73"/>
  <c r="C66" i="73"/>
  <c r="C64" i="73"/>
  <c r="C62" i="73"/>
  <c r="C19" i="73"/>
  <c r="P10" i="69"/>
  <c r="H10" i="69"/>
  <c r="C121" i="77"/>
  <c r="C119" i="77"/>
  <c r="C117" i="77"/>
  <c r="C115" i="77"/>
  <c r="C113" i="77"/>
  <c r="C14" i="76"/>
  <c r="C56" i="75"/>
  <c r="C101" i="73"/>
  <c r="C87" i="73"/>
  <c r="C18" i="73"/>
  <c r="B60" i="83"/>
  <c r="C45" i="79"/>
  <c r="C111" i="77"/>
  <c r="C128" i="76"/>
  <c r="C73" i="76"/>
  <c r="C69" i="76"/>
  <c r="C25" i="76"/>
  <c r="C57" i="75"/>
  <c r="C24" i="75"/>
  <c r="C20" i="75"/>
  <c r="C16" i="75"/>
  <c r="C128" i="73"/>
  <c r="C17" i="73"/>
  <c r="N10" i="69"/>
  <c r="F10" i="69"/>
  <c r="B120" i="80"/>
  <c r="C65" i="76"/>
  <c r="C48" i="76"/>
  <c r="C44" i="76"/>
  <c r="C22" i="76"/>
  <c r="C19" i="76"/>
  <c r="C59" i="75"/>
  <c r="C23" i="75"/>
  <c r="C19" i="75"/>
  <c r="C15" i="75"/>
  <c r="C43" i="79"/>
  <c r="C18" i="79"/>
  <c r="C120" i="77"/>
  <c r="C118" i="77"/>
  <c r="C116" i="77"/>
  <c r="C114" i="77"/>
  <c r="C112" i="77"/>
  <c r="C40" i="76"/>
  <c r="C18" i="76"/>
  <c r="C99" i="75"/>
  <c r="C91" i="75"/>
  <c r="C86" i="73"/>
  <c r="C71" i="73"/>
  <c r="C23" i="73"/>
  <c r="C22" i="73"/>
  <c r="C16" i="73"/>
  <c r="C13" i="73"/>
  <c r="C12" i="73"/>
  <c r="J10" i="69"/>
  <c r="F2" i="2"/>
  <c r="P1" i="76"/>
  <c r="C96" i="75"/>
  <c r="C60" i="75"/>
  <c r="C46" i="73"/>
  <c r="C43" i="73"/>
  <c r="C38" i="73"/>
  <c r="C15" i="73"/>
  <c r="C14" i="73"/>
  <c r="I10" i="69"/>
  <c r="C56" i="5"/>
  <c r="C52" i="5"/>
  <c r="C115" i="5" s="1"/>
  <c r="C48" i="5"/>
  <c r="C111" i="5" s="1"/>
  <c r="G1" i="47"/>
  <c r="C20" i="76"/>
  <c r="C93" i="75"/>
  <c r="C115" i="73"/>
  <c r="C67" i="73"/>
  <c r="P1" i="73"/>
  <c r="G10" i="69"/>
  <c r="F1" i="68"/>
  <c r="C98" i="75"/>
  <c r="C90" i="75"/>
  <c r="C73" i="73"/>
  <c r="C48" i="73"/>
  <c r="C45" i="73"/>
  <c r="C40" i="73"/>
  <c r="J1" i="71"/>
  <c r="E10" i="69"/>
  <c r="C55" i="5"/>
  <c r="C118" i="5" s="1"/>
  <c r="C51" i="5"/>
  <c r="C114" i="5" s="1"/>
  <c r="C47" i="5"/>
  <c r="C110" i="5" s="1"/>
  <c r="C95" i="75"/>
  <c r="C58" i="75"/>
  <c r="C63" i="73"/>
  <c r="O10" i="69"/>
  <c r="D10" i="69"/>
  <c r="C92" i="75"/>
  <c r="C88" i="75"/>
  <c r="C52" i="75"/>
  <c r="C69" i="73"/>
  <c r="C47" i="73"/>
  <c r="C42" i="73"/>
  <c r="C39" i="73"/>
  <c r="C37" i="73"/>
  <c r="C20" i="73"/>
  <c r="M10" i="69"/>
  <c r="P1" i="69"/>
  <c r="C54" i="5"/>
  <c r="C117" i="5" s="1"/>
  <c r="C50" i="5"/>
  <c r="C113" i="5" s="1"/>
  <c r="C46" i="5"/>
  <c r="C109" i="5" s="1"/>
  <c r="C97" i="75"/>
  <c r="C114" i="73"/>
  <c r="I1" i="72"/>
  <c r="L10" i="69"/>
  <c r="K2" i="5"/>
  <c r="E43" i="47"/>
  <c r="F68" i="47"/>
  <c r="A61" i="47"/>
  <c r="H59" i="47"/>
  <c r="G1" i="70"/>
  <c r="J20" i="72"/>
  <c r="D25" i="73"/>
  <c r="P12" i="73"/>
  <c r="L25" i="73"/>
  <c r="C41" i="73"/>
  <c r="A22" i="72"/>
  <c r="J21" i="72"/>
  <c r="A18" i="5"/>
  <c r="L17" i="5"/>
  <c r="D27" i="68"/>
  <c r="D22" i="68"/>
  <c r="K38" i="71"/>
  <c r="A39" i="71"/>
  <c r="E32" i="89"/>
  <c r="D32" i="89"/>
  <c r="G80" i="1"/>
  <c r="D85" i="77"/>
  <c r="P22" i="73"/>
  <c r="E33" i="89"/>
  <c r="D33" i="89"/>
  <c r="G14" i="2"/>
  <c r="E17" i="2"/>
  <c r="A26" i="2"/>
  <c r="G25" i="2"/>
  <c r="D88" i="73"/>
  <c r="A127" i="1"/>
  <c r="H58" i="47"/>
  <c r="D15" i="68"/>
  <c r="D16" i="68" s="1"/>
  <c r="D35" i="1" s="1"/>
  <c r="A17" i="69"/>
  <c r="C36" i="90"/>
  <c r="E25" i="73"/>
  <c r="M25" i="73"/>
  <c r="E122" i="77"/>
  <c r="P19" i="73"/>
  <c r="D84" i="77"/>
  <c r="P21" i="73"/>
  <c r="A40" i="73"/>
  <c r="R39" i="73"/>
  <c r="N14" i="102"/>
  <c r="E9" i="47" s="1"/>
  <c r="E49" i="47" s="1"/>
  <c r="E71" i="47" s="1"/>
  <c r="F140" i="80"/>
  <c r="G157" i="1"/>
  <c r="J18" i="72"/>
  <c r="F25" i="73"/>
  <c r="N25" i="73"/>
  <c r="H25" i="73"/>
  <c r="Q13" i="73"/>
  <c r="A64" i="73"/>
  <c r="R63" i="73"/>
  <c r="D144" i="80"/>
  <c r="F132" i="80"/>
  <c r="J57" i="75"/>
  <c r="A9" i="70"/>
  <c r="K7" i="71"/>
  <c r="P15" i="73"/>
  <c r="D83" i="77"/>
  <c r="P20" i="73"/>
  <c r="A14" i="102"/>
  <c r="Q13" i="102"/>
  <c r="F135" i="80"/>
  <c r="F137" i="80"/>
  <c r="P14" i="76"/>
  <c r="G27" i="76"/>
  <c r="O27" i="76"/>
  <c r="I30" i="71"/>
  <c r="P16" i="73"/>
  <c r="P17" i="73"/>
  <c r="G87" i="77"/>
  <c r="F11" i="78"/>
  <c r="O87" i="77"/>
  <c r="F19" i="78"/>
  <c r="D41" i="92"/>
  <c r="F41" i="92" s="1"/>
  <c r="I14" i="102"/>
  <c r="A19" i="75"/>
  <c r="J18" i="75"/>
  <c r="D161" i="80"/>
  <c r="F149" i="80"/>
  <c r="F161" i="80" s="1"/>
  <c r="A60" i="75"/>
  <c r="J59" i="75"/>
  <c r="F8" i="71"/>
  <c r="K26" i="71"/>
  <c r="D116" i="77"/>
  <c r="P82" i="77"/>
  <c r="F12" i="78"/>
  <c r="H87" i="77"/>
  <c r="P24" i="73"/>
  <c r="F139" i="80"/>
  <c r="L16" i="5"/>
  <c r="G8" i="68"/>
  <c r="K8" i="71"/>
  <c r="K24" i="71"/>
  <c r="F13" i="78"/>
  <c r="I87" i="77"/>
  <c r="E11" i="92"/>
  <c r="C42" i="90"/>
  <c r="A91" i="75"/>
  <c r="J90" i="75"/>
  <c r="A17" i="76"/>
  <c r="R16" i="76"/>
  <c r="P16" i="76"/>
  <c r="P20" i="76"/>
  <c r="A11" i="71"/>
  <c r="F12" i="71"/>
  <c r="G15" i="72"/>
  <c r="I15" i="72" s="1"/>
  <c r="I24" i="72" s="1"/>
  <c r="D77" i="77"/>
  <c r="P14" i="73"/>
  <c r="D112" i="77"/>
  <c r="P78" i="77"/>
  <c r="F14" i="78"/>
  <c r="J87" i="77"/>
  <c r="F136" i="80"/>
  <c r="F143" i="80"/>
  <c r="E54" i="75"/>
  <c r="F23" i="92"/>
  <c r="D89" i="76"/>
  <c r="A32" i="78"/>
  <c r="Q31" i="78"/>
  <c r="A78" i="80"/>
  <c r="N77" i="80"/>
  <c r="F27" i="82"/>
  <c r="G25" i="82"/>
  <c r="A27" i="82"/>
  <c r="G27" i="82" s="1"/>
  <c r="E89" i="75"/>
  <c r="H27" i="76"/>
  <c r="J59" i="79"/>
  <c r="N35" i="80"/>
  <c r="A36" i="80"/>
  <c r="X26" i="103"/>
  <c r="A36" i="103"/>
  <c r="BH35" i="103"/>
  <c r="A89" i="76"/>
  <c r="R89" i="76" s="1"/>
  <c r="R88" i="76"/>
  <c r="J121" i="77"/>
  <c r="J120" i="77"/>
  <c r="J119" i="77"/>
  <c r="J118" i="77"/>
  <c r="J117" i="77"/>
  <c r="J116" i="77"/>
  <c r="J115" i="77"/>
  <c r="J114" i="77"/>
  <c r="J113" i="77"/>
  <c r="J112" i="77"/>
  <c r="J111" i="77"/>
  <c r="J110" i="77"/>
  <c r="A113" i="77"/>
  <c r="Q112" i="77"/>
  <c r="L87" i="77"/>
  <c r="L121" i="77" s="1"/>
  <c r="F16" i="78"/>
  <c r="C41" i="90"/>
  <c r="D11" i="92"/>
  <c r="P21" i="76"/>
  <c r="A42" i="76"/>
  <c r="R41" i="76"/>
  <c r="R102" i="76"/>
  <c r="P80" i="77"/>
  <c r="L120" i="77"/>
  <c r="L119" i="77"/>
  <c r="L118" i="77"/>
  <c r="L117" i="77"/>
  <c r="L116" i="77"/>
  <c r="L115" i="77"/>
  <c r="L114" i="77"/>
  <c r="L113" i="77"/>
  <c r="L112" i="77"/>
  <c r="L111" i="77"/>
  <c r="L110" i="77"/>
  <c r="AP12" i="103"/>
  <c r="AL34" i="103"/>
  <c r="AL13" i="103" s="1"/>
  <c r="AZ35" i="103"/>
  <c r="AZ34" i="103" s="1"/>
  <c r="AZ13" i="103" s="1"/>
  <c r="M87" i="77"/>
  <c r="F17" i="78"/>
  <c r="J17" i="75"/>
  <c r="F141" i="80"/>
  <c r="K27" i="76"/>
  <c r="R15" i="76"/>
  <c r="Q16" i="76"/>
  <c r="A79" i="77"/>
  <c r="A14" i="78"/>
  <c r="Q13" i="78"/>
  <c r="A15" i="79"/>
  <c r="J14" i="79"/>
  <c r="BB26" i="103"/>
  <c r="BB12" i="103" s="1"/>
  <c r="AL93" i="103"/>
  <c r="X93" i="103"/>
  <c r="F87" i="77"/>
  <c r="F10" i="78"/>
  <c r="N87" i="77"/>
  <c r="F18" i="78"/>
  <c r="P52" i="76"/>
  <c r="A69" i="76"/>
  <c r="R68" i="76"/>
  <c r="A58" i="80"/>
  <c r="AP48" i="103"/>
  <c r="AX48" i="103"/>
  <c r="BD48" i="103" s="1"/>
  <c r="BF48" i="103" s="1"/>
  <c r="F138" i="80"/>
  <c r="E27" i="76"/>
  <c r="M27" i="76"/>
  <c r="P24" i="76"/>
  <c r="I98" i="77"/>
  <c r="H98" i="77"/>
  <c r="O98" i="77"/>
  <c r="G98" i="77"/>
  <c r="N98" i="77"/>
  <c r="F98" i="77"/>
  <c r="M98" i="77"/>
  <c r="K98" i="77"/>
  <c r="A11" i="80"/>
  <c r="N10" i="80"/>
  <c r="A113" i="80"/>
  <c r="A135" i="80"/>
  <c r="N134" i="80"/>
  <c r="AP71" i="103"/>
  <c r="AX71" i="103"/>
  <c r="BD71" i="103" s="1"/>
  <c r="BF71" i="103" s="1"/>
  <c r="F27" i="76"/>
  <c r="N27" i="76"/>
  <c r="P77" i="76"/>
  <c r="P79" i="77"/>
  <c r="P81" i="77"/>
  <c r="F56" i="79"/>
  <c r="E38" i="80"/>
  <c r="F43" i="80"/>
  <c r="F45" i="80" s="1"/>
  <c r="A16" i="81"/>
  <c r="F14" i="81"/>
  <c r="D13" i="81"/>
  <c r="J42" i="79"/>
  <c r="C59" i="79"/>
  <c r="A99" i="80"/>
  <c r="K48" i="83"/>
  <c r="A55" i="83"/>
  <c r="AD17" i="103"/>
  <c r="AD23" i="103" s="1"/>
  <c r="BD28" i="103"/>
  <c r="BF28" i="103" s="1"/>
  <c r="X14" i="103"/>
  <c r="AZ49" i="103"/>
  <c r="BD49" i="103" s="1"/>
  <c r="BF49" i="103" s="1"/>
  <c r="AP49" i="103"/>
  <c r="J48" i="79"/>
  <c r="C56" i="79"/>
  <c r="A44" i="103"/>
  <c r="BH43" i="103"/>
  <c r="AL70" i="103"/>
  <c r="AZ70" i="103" s="1"/>
  <c r="X70" i="103"/>
  <c r="AX81" i="103"/>
  <c r="BD81" i="103" s="1"/>
  <c r="BF81" i="103" s="1"/>
  <c r="AP81" i="103"/>
  <c r="AT17" i="104"/>
  <c r="AT23" i="104" s="1"/>
  <c r="J43" i="79"/>
  <c r="C57" i="79"/>
  <c r="G64" i="83"/>
  <c r="AT17" i="103"/>
  <c r="AT23" i="103" s="1"/>
  <c r="J46" i="79"/>
  <c r="I99" i="80"/>
  <c r="G116" i="80"/>
  <c r="AL86" i="103"/>
  <c r="AZ86" i="103" s="1"/>
  <c r="X86" i="103"/>
  <c r="R66" i="76"/>
  <c r="R128" i="76"/>
  <c r="J41" i="79"/>
  <c r="J49" i="79"/>
  <c r="N97" i="80"/>
  <c r="E102" i="80"/>
  <c r="BD29" i="103"/>
  <c r="BF29" i="103" s="1"/>
  <c r="AP36" i="103"/>
  <c r="AX36" i="103"/>
  <c r="BD36" i="103" s="1"/>
  <c r="BF36" i="103" s="1"/>
  <c r="X46" i="103"/>
  <c r="AL46" i="103"/>
  <c r="AZ46" i="103" s="1"/>
  <c r="AN107" i="103"/>
  <c r="BB107" i="103" s="1"/>
  <c r="X107" i="103"/>
  <c r="V102" i="103"/>
  <c r="V15" i="103" s="1"/>
  <c r="V17" i="103" s="1"/>
  <c r="V23" i="103" s="1"/>
  <c r="J44" i="79"/>
  <c r="N95" i="80"/>
  <c r="A16" i="103"/>
  <c r="BH15" i="103"/>
  <c r="AZ52" i="103"/>
  <c r="BD52" i="103" s="1"/>
  <c r="BF52" i="103" s="1"/>
  <c r="AP52" i="103"/>
  <c r="BD63" i="103"/>
  <c r="BF63" i="103" s="1"/>
  <c r="AL94" i="103"/>
  <c r="AZ94" i="103" s="1"/>
  <c r="X94" i="103"/>
  <c r="BB122" i="103"/>
  <c r="AP122" i="103"/>
  <c r="F15" i="82"/>
  <c r="A14" i="82"/>
  <c r="BF127" i="103"/>
  <c r="BF22" i="103" s="1"/>
  <c r="BF125" i="103"/>
  <c r="BF128" i="103"/>
  <c r="BF126" i="103"/>
  <c r="BF21" i="103" s="1"/>
  <c r="X13" i="103"/>
  <c r="AX35" i="103"/>
  <c r="AP35" i="103"/>
  <c r="BD69" i="103"/>
  <c r="BF69" i="103" s="1"/>
  <c r="AL72" i="103"/>
  <c r="X72" i="103"/>
  <c r="BD73" i="103"/>
  <c r="BF73" i="103" s="1"/>
  <c r="AX84" i="103"/>
  <c r="BD84" i="103" s="1"/>
  <c r="BF84" i="103" s="1"/>
  <c r="AP84" i="103"/>
  <c r="BF111" i="103"/>
  <c r="AN124" i="103"/>
  <c r="AN20" i="103" s="1"/>
  <c r="BH35" i="104"/>
  <c r="I161" i="80"/>
  <c r="F8" i="81"/>
  <c r="G12" i="82"/>
  <c r="A36" i="83"/>
  <c r="H17" i="103"/>
  <c r="H23" i="103" s="1"/>
  <c r="AB17" i="103"/>
  <c r="AB23" i="103" s="1"/>
  <c r="AX27" i="103"/>
  <c r="X29" i="103"/>
  <c r="A30" i="103"/>
  <c r="X35" i="103"/>
  <c r="BF68" i="103"/>
  <c r="BD77" i="103"/>
  <c r="BF77" i="103" s="1"/>
  <c r="AL80" i="103"/>
  <c r="X80" i="103"/>
  <c r="BB116" i="103"/>
  <c r="BB16" i="103" s="1"/>
  <c r="T42" i="103"/>
  <c r="T14" i="103" s="1"/>
  <c r="T17" i="103" s="1"/>
  <c r="T23" i="103" s="1"/>
  <c r="X43" i="103"/>
  <c r="X58" i="103"/>
  <c r="AL58" i="103"/>
  <c r="BD83" i="103"/>
  <c r="BF83" i="103" s="1"/>
  <c r="BF88" i="103"/>
  <c r="AZ90" i="103"/>
  <c r="BD90" i="103" s="1"/>
  <c r="BF90" i="103" s="1"/>
  <c r="AP90" i="103"/>
  <c r="A107" i="103"/>
  <c r="BH106" i="103"/>
  <c r="A118" i="103"/>
  <c r="BH117" i="103"/>
  <c r="AP29" i="103"/>
  <c r="AJ39" i="103"/>
  <c r="X39" i="103"/>
  <c r="X56" i="103"/>
  <c r="AL61" i="103"/>
  <c r="X61" i="103"/>
  <c r="AL64" i="103"/>
  <c r="X64" i="103"/>
  <c r="X67" i="103"/>
  <c r="AP69" i="103"/>
  <c r="BD128" i="103"/>
  <c r="BF129" i="103"/>
  <c r="G13" i="82"/>
  <c r="R26" i="103"/>
  <c r="R12" i="103" s="1"/>
  <c r="BH27" i="103"/>
  <c r="AL43" i="103"/>
  <c r="AP47" i="103"/>
  <c r="X53" i="103"/>
  <c r="AX54" i="103"/>
  <c r="BD54" i="103" s="1"/>
  <c r="BF54" i="103" s="1"/>
  <c r="AP54" i="103"/>
  <c r="AX57" i="103"/>
  <c r="BD57" i="103" s="1"/>
  <c r="BF57" i="103" s="1"/>
  <c r="AP57" i="103"/>
  <c r="AX62" i="103"/>
  <c r="BD62" i="103" s="1"/>
  <c r="BF62" i="103" s="1"/>
  <c r="AP62" i="103"/>
  <c r="BD65" i="103"/>
  <c r="BF65" i="103" s="1"/>
  <c r="X78" i="103"/>
  <c r="AL85" i="103"/>
  <c r="X85" i="103"/>
  <c r="AP27" i="103"/>
  <c r="AP30" i="103"/>
  <c r="AX38" i="103"/>
  <c r="BD38" i="103" s="1"/>
  <c r="BF38" i="103" s="1"/>
  <c r="AP38" i="103"/>
  <c r="BB44" i="103"/>
  <c r="BD44" i="103" s="1"/>
  <c r="BF44" i="103" s="1"/>
  <c r="AN42" i="103"/>
  <c r="AN14" i="103" s="1"/>
  <c r="BD45" i="103"/>
  <c r="BF45" i="103" s="1"/>
  <c r="X50" i="103"/>
  <c r="AL50" i="103"/>
  <c r="AP51" i="103"/>
  <c r="AX51" i="103"/>
  <c r="BD51" i="103" s="1"/>
  <c r="BF51" i="103" s="1"/>
  <c r="AP55" i="103"/>
  <c r="AP60" i="103"/>
  <c r="AP63" i="103"/>
  <c r="AP66" i="103"/>
  <c r="BD98" i="103"/>
  <c r="BF98" i="103" s="1"/>
  <c r="AP75" i="103"/>
  <c r="AX78" i="103"/>
  <c r="BD78" i="103" s="1"/>
  <c r="BF78" i="103" s="1"/>
  <c r="AP78" i="103"/>
  <c r="AX91" i="103"/>
  <c r="BD91" i="103" s="1"/>
  <c r="BF91" i="103" s="1"/>
  <c r="AP91" i="103"/>
  <c r="BD92" i="103"/>
  <c r="BF92" i="103" s="1"/>
  <c r="AX94" i="103"/>
  <c r="AN106" i="103"/>
  <c r="X106" i="103"/>
  <c r="X124" i="103"/>
  <c r="A15" i="104"/>
  <c r="BJ14" i="104"/>
  <c r="J17" i="104"/>
  <c r="J23" i="104" s="1"/>
  <c r="F25" i="82"/>
  <c r="AJ42" i="103"/>
  <c r="AJ14" i="103" s="1"/>
  <c r="BD55" i="103"/>
  <c r="BF55" i="103" s="1"/>
  <c r="X69" i="103"/>
  <c r="BD74" i="103"/>
  <c r="BF74" i="103" s="1"/>
  <c r="AX86" i="103"/>
  <c r="BD86" i="103" s="1"/>
  <c r="BF86" i="103" s="1"/>
  <c r="AP86" i="103"/>
  <c r="X96" i="103"/>
  <c r="AN104" i="103"/>
  <c r="X104" i="103"/>
  <c r="AX107" i="103"/>
  <c r="BD107" i="103" s="1"/>
  <c r="BF107" i="103" s="1"/>
  <c r="AP107" i="103"/>
  <c r="X109" i="103"/>
  <c r="X102" i="103" s="1"/>
  <c r="X117" i="103"/>
  <c r="X116" i="103" s="1"/>
  <c r="AP125" i="103"/>
  <c r="AX125" i="103"/>
  <c r="BD127" i="103"/>
  <c r="L17" i="104"/>
  <c r="L23" i="104" s="1"/>
  <c r="AX97" i="103"/>
  <c r="BD97" i="103" s="1"/>
  <c r="BF97" i="103" s="1"/>
  <c r="AP97" i="103"/>
  <c r="BD103" i="103"/>
  <c r="AX105" i="103"/>
  <c r="BD105" i="103" s="1"/>
  <c r="BF105" i="103" s="1"/>
  <c r="AP105" i="103"/>
  <c r="AX110" i="103"/>
  <c r="BD110" i="103" s="1"/>
  <c r="BF110" i="103" s="1"/>
  <c r="AP110" i="103"/>
  <c r="AX117" i="103"/>
  <c r="AP117" i="103"/>
  <c r="AP116" i="103" s="1"/>
  <c r="AX129" i="103"/>
  <c r="BD129" i="103" s="1"/>
  <c r="AP129" i="103"/>
  <c r="AX99" i="103"/>
  <c r="BD99" i="103" s="1"/>
  <c r="BF99" i="103" s="1"/>
  <c r="AP99" i="103"/>
  <c r="AX112" i="103"/>
  <c r="BD112" i="103" s="1"/>
  <c r="AP112" i="103"/>
  <c r="BF121" i="103"/>
  <c r="BH13" i="103"/>
  <c r="AN26" i="103"/>
  <c r="AN12" i="103" s="1"/>
  <c r="AN17" i="103" s="1"/>
  <c r="AP67" i="103"/>
  <c r="AX70" i="103"/>
  <c r="BD70" i="103" s="1"/>
  <c r="BF70" i="103" s="1"/>
  <c r="AP70" i="103"/>
  <c r="AP83" i="103"/>
  <c r="AP95" i="103"/>
  <c r="AL102" i="103"/>
  <c r="AL15" i="103" s="1"/>
  <c r="AP15" i="103" s="1"/>
  <c r="AP108" i="103"/>
  <c r="AZ118" i="103"/>
  <c r="AZ116" i="103" s="1"/>
  <c r="AZ16" i="103" s="1"/>
  <c r="AL116" i="103"/>
  <c r="AL16" i="103" s="1"/>
  <c r="BD120" i="103"/>
  <c r="BF120" i="103" s="1"/>
  <c r="AJ124" i="103"/>
  <c r="AJ20" i="103" s="1"/>
  <c r="A128" i="103"/>
  <c r="BH127" i="103"/>
  <c r="Z12" i="104"/>
  <c r="AX46" i="103"/>
  <c r="AP46" i="103"/>
  <c r="BD66" i="103"/>
  <c r="BF66" i="103" s="1"/>
  <c r="X77" i="103"/>
  <c r="BD82" i="103"/>
  <c r="BF82" i="103" s="1"/>
  <c r="AX89" i="103"/>
  <c r="BD89" i="103" s="1"/>
  <c r="BF89" i="103" s="1"/>
  <c r="AP89" i="103"/>
  <c r="BD95" i="103"/>
  <c r="BF95" i="103" s="1"/>
  <c r="AZ96" i="103"/>
  <c r="BD96" i="103" s="1"/>
  <c r="BF96" i="103" s="1"/>
  <c r="AP98" i="103"/>
  <c r="AN102" i="103"/>
  <c r="AN15" i="103" s="1"/>
  <c r="AP103" i="103"/>
  <c r="BD108" i="103"/>
  <c r="BF108" i="103" s="1"/>
  <c r="AP111" i="103"/>
  <c r="AP113" i="103"/>
  <c r="BB118" i="103"/>
  <c r="BD118" i="103" s="1"/>
  <c r="BF118" i="103" s="1"/>
  <c r="AN116" i="103"/>
  <c r="AN16" i="103" s="1"/>
  <c r="AL124" i="103"/>
  <c r="AL20" i="103" s="1"/>
  <c r="A29" i="104"/>
  <c r="BJ28" i="104"/>
  <c r="BB34" i="104"/>
  <c r="BB13" i="104" s="1"/>
  <c r="X127" i="103"/>
  <c r="BD22" i="104"/>
  <c r="BF22" i="104" s="1"/>
  <c r="BF36" i="104"/>
  <c r="BH36" i="104" s="1"/>
  <c r="BF44" i="104"/>
  <c r="BH44" i="104" s="1"/>
  <c r="BF45" i="104"/>
  <c r="BH45" i="104" s="1"/>
  <c r="AZ54" i="104"/>
  <c r="BF54" i="104" s="1"/>
  <c r="BH54" i="104" s="1"/>
  <c r="AR54" i="104"/>
  <c r="AR57" i="104"/>
  <c r="BB57" i="104"/>
  <c r="BF57" i="104" s="1"/>
  <c r="BH57" i="104" s="1"/>
  <c r="BB96" i="104"/>
  <c r="BF96" i="104" s="1"/>
  <c r="BH96" i="104" s="1"/>
  <c r="AR96" i="104"/>
  <c r="BF112" i="104"/>
  <c r="AP126" i="103"/>
  <c r="AR21" i="104"/>
  <c r="AR22" i="104"/>
  <c r="BJ27" i="104"/>
  <c r="AR30" i="104"/>
  <c r="A37" i="104"/>
  <c r="BB51" i="104"/>
  <c r="BF51" i="104" s="1"/>
  <c r="BH51" i="104" s="1"/>
  <c r="AR51" i="104"/>
  <c r="AR52" i="104"/>
  <c r="BH59" i="104"/>
  <c r="Z61" i="104"/>
  <c r="BB72" i="104"/>
  <c r="BF72" i="104" s="1"/>
  <c r="BH72" i="104" s="1"/>
  <c r="AR72" i="104"/>
  <c r="AZ27" i="104"/>
  <c r="AL34" i="104"/>
  <c r="AL13" i="104" s="1"/>
  <c r="AR13" i="104" s="1"/>
  <c r="BD34" i="104"/>
  <c r="BD13" i="104" s="1"/>
  <c r="Z36" i="104"/>
  <c r="Z34" i="104" s="1"/>
  <c r="A46" i="104"/>
  <c r="BJ45" i="104"/>
  <c r="BF47" i="104"/>
  <c r="BH47" i="104" s="1"/>
  <c r="Z51" i="104"/>
  <c r="BF56" i="104"/>
  <c r="BH56" i="104" s="1"/>
  <c r="AR60" i="104"/>
  <c r="BF75" i="104"/>
  <c r="BH75" i="104" s="1"/>
  <c r="BH76" i="104"/>
  <c r="BH87" i="104"/>
  <c r="BF108" i="104"/>
  <c r="BH108" i="104" s="1"/>
  <c r="BF110" i="104"/>
  <c r="BH110" i="104" s="1"/>
  <c r="AP128" i="103"/>
  <c r="Z26" i="104"/>
  <c r="AL28" i="104"/>
  <c r="Z28" i="104"/>
  <c r="AZ31" i="104"/>
  <c r="BF31" i="104" s="1"/>
  <c r="BH31" i="104" s="1"/>
  <c r="AP34" i="104"/>
  <c r="AP13" i="104" s="1"/>
  <c r="AN34" i="104"/>
  <c r="AN13" i="104" s="1"/>
  <c r="AZ37" i="104"/>
  <c r="BF37" i="104" s="1"/>
  <c r="BH37" i="104" s="1"/>
  <c r="AR37" i="104"/>
  <c r="V42" i="104"/>
  <c r="V14" i="104" s="1"/>
  <c r="Z14" i="104" s="1"/>
  <c r="AN43" i="104"/>
  <c r="BB64" i="104"/>
  <c r="BF64" i="104" s="1"/>
  <c r="BH64" i="104" s="1"/>
  <c r="AR64" i="104"/>
  <c r="BB26" i="104"/>
  <c r="BB12" i="104" s="1"/>
  <c r="BF38" i="104"/>
  <c r="BH38" i="104" s="1"/>
  <c r="AZ46" i="104"/>
  <c r="AR46" i="104"/>
  <c r="AN55" i="104"/>
  <c r="BB55" i="104" s="1"/>
  <c r="BF55" i="104" s="1"/>
  <c r="BH55" i="104" s="1"/>
  <c r="Z55" i="104"/>
  <c r="BH86" i="104"/>
  <c r="BH99" i="104"/>
  <c r="BH105" i="104"/>
  <c r="BH128" i="104"/>
  <c r="AR29" i="104"/>
  <c r="AR36" i="104"/>
  <c r="AL39" i="104"/>
  <c r="AR44" i="104"/>
  <c r="AZ49" i="104"/>
  <c r="BF49" i="104" s="1"/>
  <c r="BH49" i="104" s="1"/>
  <c r="AR49" i="104"/>
  <c r="AZ70" i="104"/>
  <c r="BF70" i="104" s="1"/>
  <c r="BH70" i="104" s="1"/>
  <c r="AR70" i="104"/>
  <c r="BH71" i="104"/>
  <c r="BH83" i="104"/>
  <c r="BF84" i="104"/>
  <c r="BH84" i="104" s="1"/>
  <c r="A105" i="104"/>
  <c r="BJ104" i="104"/>
  <c r="AN26" i="104"/>
  <c r="AN12" i="104" s="1"/>
  <c r="AR27" i="104"/>
  <c r="Z48" i="104"/>
  <c r="Z42" i="104" s="1"/>
  <c r="AN48" i="104"/>
  <c r="BB48" i="104" s="1"/>
  <c r="BF48" i="104" s="1"/>
  <c r="BH48" i="104" s="1"/>
  <c r="BH68" i="104"/>
  <c r="BB88" i="104"/>
  <c r="BF88" i="104" s="1"/>
  <c r="BH88" i="104" s="1"/>
  <c r="AR88" i="104"/>
  <c r="BH91" i="104"/>
  <c r="BH92" i="104"/>
  <c r="BH106" i="104"/>
  <c r="BH107" i="104"/>
  <c r="BH109" i="104"/>
  <c r="AP26" i="104"/>
  <c r="AP12" i="104" s="1"/>
  <c r="AR38" i="104"/>
  <c r="BD44" i="104"/>
  <c r="BD42" i="104" s="1"/>
  <c r="BD14" i="104" s="1"/>
  <c r="AP42" i="104"/>
  <c r="AP14" i="104" s="1"/>
  <c r="AR63" i="104"/>
  <c r="AZ63" i="104"/>
  <c r="BF63" i="104" s="1"/>
  <c r="BH63" i="104" s="1"/>
  <c r="A118" i="104"/>
  <c r="BJ117" i="104"/>
  <c r="AR73" i="104"/>
  <c r="AZ77" i="104"/>
  <c r="BF77" i="104" s="1"/>
  <c r="BH77" i="104" s="1"/>
  <c r="AR77" i="104"/>
  <c r="AZ79" i="104"/>
  <c r="BF79" i="104" s="1"/>
  <c r="BH79" i="104" s="1"/>
  <c r="AN80" i="104"/>
  <c r="AR89" i="104"/>
  <c r="AZ93" i="104"/>
  <c r="AR93" i="104"/>
  <c r="AZ95" i="104"/>
  <c r="BF95" i="104" s="1"/>
  <c r="BH95" i="104" s="1"/>
  <c r="AL119" i="104"/>
  <c r="K10" i="84"/>
  <c r="L24" i="84"/>
  <c r="A21" i="86"/>
  <c r="K20" i="86"/>
  <c r="Z50" i="104"/>
  <c r="AR53" i="104"/>
  <c r="Z56" i="104"/>
  <c r="Z68" i="104"/>
  <c r="BF73" i="104"/>
  <c r="BH73" i="104" s="1"/>
  <c r="AN74" i="104"/>
  <c r="BB74" i="104" s="1"/>
  <c r="AN77" i="104"/>
  <c r="BB77" i="104" s="1"/>
  <c r="AR86" i="104"/>
  <c r="BF89" i="104"/>
  <c r="BH89" i="104" s="1"/>
  <c r="AN90" i="104"/>
  <c r="BB90" i="104" s="1"/>
  <c r="AN93" i="104"/>
  <c r="BB93" i="104" s="1"/>
  <c r="AR105" i="104"/>
  <c r="AR109" i="104"/>
  <c r="BJ116" i="104"/>
  <c r="Z123" i="104"/>
  <c r="L19" i="84"/>
  <c r="H14" i="86"/>
  <c r="G10" i="86"/>
  <c r="E45" i="92" s="1"/>
  <c r="K9" i="89"/>
  <c r="F22" i="89"/>
  <c r="AN65" i="104"/>
  <c r="AR67" i="104"/>
  <c r="X102" i="104"/>
  <c r="X15" i="104" s="1"/>
  <c r="Z15" i="104" s="1"/>
  <c r="AR106" i="104"/>
  <c r="AR110" i="104"/>
  <c r="BF111" i="104"/>
  <c r="AL123" i="104"/>
  <c r="AL20" i="104" s="1"/>
  <c r="AZ124" i="104"/>
  <c r="A126" i="104"/>
  <c r="BJ125" i="104"/>
  <c r="A20" i="87"/>
  <c r="G19" i="87"/>
  <c r="AR71" i="104"/>
  <c r="AZ74" i="104"/>
  <c r="AR87" i="104"/>
  <c r="AZ90" i="104"/>
  <c r="BF90" i="104" s="1"/>
  <c r="BH90" i="104" s="1"/>
  <c r="Z103" i="104"/>
  <c r="Z108" i="104"/>
  <c r="AZ116" i="104"/>
  <c r="AR116" i="104"/>
  <c r="BF118" i="104"/>
  <c r="BH118" i="104" s="1"/>
  <c r="AR121" i="104"/>
  <c r="AR126" i="104"/>
  <c r="AR123" i="104" s="1"/>
  <c r="AZ126" i="104"/>
  <c r="BF126" i="104" s="1"/>
  <c r="BH126" i="104" s="1"/>
  <c r="BH22" i="104" s="1"/>
  <c r="A16" i="86"/>
  <c r="K15" i="86"/>
  <c r="E24" i="89"/>
  <c r="D24" i="89"/>
  <c r="AZ53" i="104"/>
  <c r="BF53" i="104" s="1"/>
  <c r="BH53" i="104" s="1"/>
  <c r="AR66" i="104"/>
  <c r="AZ69" i="104"/>
  <c r="BF69" i="104" s="1"/>
  <c r="BH69" i="104" s="1"/>
  <c r="AR69" i="104"/>
  <c r="AR82" i="104"/>
  <c r="AZ85" i="104"/>
  <c r="BF85" i="104" s="1"/>
  <c r="BH85" i="104" s="1"/>
  <c r="AR85" i="104"/>
  <c r="AR98" i="104"/>
  <c r="AZ103" i="104"/>
  <c r="AR103" i="104"/>
  <c r="AR108" i="104"/>
  <c r="AR112" i="104"/>
  <c r="Z115" i="104"/>
  <c r="BF81" i="104"/>
  <c r="BH81" i="104" s="1"/>
  <c r="BF97" i="104"/>
  <c r="BH97" i="104" s="1"/>
  <c r="T115" i="104"/>
  <c r="T16" i="104" s="1"/>
  <c r="Z16" i="104" s="1"/>
  <c r="BB116" i="104"/>
  <c r="BB115" i="104" s="1"/>
  <c r="BB16" i="104" s="1"/>
  <c r="AN115" i="104"/>
  <c r="AN16" i="104" s="1"/>
  <c r="L15" i="84"/>
  <c r="AR75" i="104"/>
  <c r="BF78" i="104"/>
  <c r="BH78" i="104" s="1"/>
  <c r="AR91" i="104"/>
  <c r="BF94" i="104"/>
  <c r="BH94" i="104" s="1"/>
  <c r="BH120" i="104"/>
  <c r="AL42" i="104"/>
  <c r="AL14" i="104" s="1"/>
  <c r="AR58" i="104"/>
  <c r="AZ61" i="104"/>
  <c r="BF61" i="104" s="1"/>
  <c r="BH61" i="104" s="1"/>
  <c r="AR61" i="104"/>
  <c r="AZ66" i="104"/>
  <c r="BF66" i="104" s="1"/>
  <c r="BH66" i="104" s="1"/>
  <c r="AZ82" i="104"/>
  <c r="BF82" i="104" s="1"/>
  <c r="BH82" i="104" s="1"/>
  <c r="AZ98" i="104"/>
  <c r="BF98" i="104" s="1"/>
  <c r="BH98" i="104" s="1"/>
  <c r="AN102" i="104"/>
  <c r="AN15" i="104" s="1"/>
  <c r="AP104" i="104"/>
  <c r="AP102" i="104" s="1"/>
  <c r="AP15" i="104" s="1"/>
  <c r="Z106" i="104"/>
  <c r="Z110" i="104"/>
  <c r="BD116" i="104"/>
  <c r="BD115" i="104" s="1"/>
  <c r="BD16" i="104" s="1"/>
  <c r="AZ117" i="104"/>
  <c r="BF117" i="104" s="1"/>
  <c r="BH117" i="104" s="1"/>
  <c r="BD124" i="104"/>
  <c r="BD123" i="104" s="1"/>
  <c r="AZ125" i="104"/>
  <c r="BF125" i="104" s="1"/>
  <c r="BH125" i="104" s="1"/>
  <c r="BH21" i="104" s="1"/>
  <c r="BF127" i="104"/>
  <c r="BH127" i="104" s="1"/>
  <c r="J10" i="84"/>
  <c r="L12" i="84"/>
  <c r="L34" i="84"/>
  <c r="I23" i="85"/>
  <c r="K9" i="85"/>
  <c r="K23" i="85" s="1"/>
  <c r="F27" i="85" s="1"/>
  <c r="F30" i="85" s="1"/>
  <c r="F32" i="85" s="1"/>
  <c r="K48" i="89"/>
  <c r="A49" i="89"/>
  <c r="AR128" i="104"/>
  <c r="A14" i="84"/>
  <c r="L23" i="84"/>
  <c r="L37" i="84"/>
  <c r="A27" i="85"/>
  <c r="N26" i="85"/>
  <c r="BB123" i="104"/>
  <c r="F10" i="84"/>
  <c r="I10" i="84"/>
  <c r="A39" i="87"/>
  <c r="G39" i="87" s="1"/>
  <c r="G38" i="87"/>
  <c r="A10" i="90"/>
  <c r="F9" i="90"/>
  <c r="K14" i="89"/>
  <c r="F15" i="89"/>
  <c r="G49" i="89"/>
  <c r="H48" i="89"/>
  <c r="I48" i="89" s="1"/>
  <c r="A18" i="92"/>
  <c r="I17" i="92"/>
  <c r="L32" i="84"/>
  <c r="L10" i="84" s="1"/>
  <c r="L35" i="84"/>
  <c r="A54" i="85"/>
  <c r="A18" i="106"/>
  <c r="N16" i="106"/>
  <c r="L28" i="84"/>
  <c r="L33" i="84"/>
  <c r="N50" i="85"/>
  <c r="A48" i="86"/>
  <c r="K47" i="86"/>
  <c r="A30" i="87"/>
  <c r="A15" i="89"/>
  <c r="E65" i="85"/>
  <c r="A33" i="86"/>
  <c r="K33" i="86" s="1"/>
  <c r="D37" i="87"/>
  <c r="H31" i="105"/>
  <c r="L17" i="84"/>
  <c r="L30" i="84"/>
  <c r="N52" i="85"/>
  <c r="F10" i="86"/>
  <c r="D45" i="92" s="1"/>
  <c r="F45" i="92" s="1"/>
  <c r="H20" i="86"/>
  <c r="A37" i="86"/>
  <c r="K36" i="86"/>
  <c r="I47" i="89"/>
  <c r="E47" i="89"/>
  <c r="E48" i="89" s="1"/>
  <c r="E49" i="89" s="1"/>
  <c r="E50" i="89" s="1"/>
  <c r="E51" i="89" s="1"/>
  <c r="E52" i="89" s="1"/>
  <c r="E53" i="89" s="1"/>
  <c r="E54" i="89" s="1"/>
  <c r="E55" i="89" s="1"/>
  <c r="E56" i="89" s="1"/>
  <c r="E57" i="89" s="1"/>
  <c r="E58" i="89" s="1"/>
  <c r="C20" i="90"/>
  <c r="C17" i="90"/>
  <c r="A39" i="92"/>
  <c r="I38" i="92"/>
  <c r="L49" i="105"/>
  <c r="J47" i="89"/>
  <c r="N15" i="105"/>
  <c r="A17" i="105"/>
  <c r="G42" i="106"/>
  <c r="F34" i="89"/>
  <c r="A34" i="89"/>
  <c r="I32" i="106"/>
  <c r="L54" i="106"/>
  <c r="F11" i="93"/>
  <c r="F9" i="94"/>
  <c r="G14" i="92"/>
  <c r="G19" i="92"/>
  <c r="A12" i="93"/>
  <c r="F12" i="93" s="1"/>
  <c r="A10" i="94"/>
  <c r="D42" i="106"/>
  <c r="I14" i="92"/>
  <c r="E42" i="106"/>
  <c r="F7" i="90"/>
  <c r="I37" i="92"/>
  <c r="F42" i="106"/>
  <c r="I42" i="106" l="1"/>
  <c r="N7" i="85"/>
  <c r="A8" i="85"/>
  <c r="I54" i="106"/>
  <c r="K26" i="106"/>
  <c r="L12" i="106"/>
  <c r="L24" i="106"/>
  <c r="K12" i="106"/>
  <c r="L26" i="106"/>
  <c r="L14" i="106"/>
  <c r="K24" i="106"/>
  <c r="K14" i="106"/>
  <c r="A119" i="104"/>
  <c r="BJ118" i="104"/>
  <c r="AR28" i="104"/>
  <c r="AZ28" i="104"/>
  <c r="BF28" i="104" s="1"/>
  <c r="BH28" i="104" s="1"/>
  <c r="X17" i="104"/>
  <c r="X23" i="104" s="1"/>
  <c r="E43" i="80"/>
  <c r="D38" i="80"/>
  <c r="D43" i="80" s="1"/>
  <c r="E44" i="80" s="1"/>
  <c r="F10" i="94"/>
  <c r="A11" i="94"/>
  <c r="AZ43" i="103"/>
  <c r="AL42" i="103"/>
  <c r="AL14" i="103" s="1"/>
  <c r="AL17" i="103" s="1"/>
  <c r="AL23" i="103" s="1"/>
  <c r="H121" i="77"/>
  <c r="H120" i="77"/>
  <c r="H119" i="77"/>
  <c r="H118" i="77"/>
  <c r="H117" i="77"/>
  <c r="H116" i="77"/>
  <c r="H115" i="77"/>
  <c r="H114" i="77"/>
  <c r="H113" i="77"/>
  <c r="H112" i="77"/>
  <c r="H111" i="77"/>
  <c r="H110" i="77"/>
  <c r="A16" i="79"/>
  <c r="J15" i="79"/>
  <c r="A20" i="75"/>
  <c r="J19" i="75"/>
  <c r="F82" i="47"/>
  <c r="G127" i="1"/>
  <c r="A128" i="1"/>
  <c r="L18" i="5"/>
  <c r="A19" i="5"/>
  <c r="D120" i="77"/>
  <c r="P86" i="77"/>
  <c r="AR65" i="104"/>
  <c r="BB65" i="104"/>
  <c r="BF65" i="104" s="1"/>
  <c r="BH65" i="104" s="1"/>
  <c r="AL26" i="104"/>
  <c r="AL12" i="104" s="1"/>
  <c r="A30" i="104"/>
  <c r="BJ29" i="104"/>
  <c r="AZ64" i="103"/>
  <c r="BD64" i="103" s="1"/>
  <c r="BF64" i="103" s="1"/>
  <c r="AP64" i="103"/>
  <c r="AZ80" i="103"/>
  <c r="BD80" i="103" s="1"/>
  <c r="BF80" i="103" s="1"/>
  <c r="AP80" i="103"/>
  <c r="BB42" i="103"/>
  <c r="BB14" i="103" s="1"/>
  <c r="X15" i="103"/>
  <c r="I121" i="77"/>
  <c r="I120" i="77"/>
  <c r="I119" i="77"/>
  <c r="I118" i="77"/>
  <c r="I117" i="77"/>
  <c r="I116" i="77"/>
  <c r="I115" i="77"/>
  <c r="I114" i="77"/>
  <c r="I113" i="77"/>
  <c r="I112" i="77"/>
  <c r="I111" i="77"/>
  <c r="I110" i="77"/>
  <c r="E84" i="47"/>
  <c r="D130" i="1"/>
  <c r="H9" i="70"/>
  <c r="A10" i="70"/>
  <c r="A65" i="73"/>
  <c r="R64" i="73"/>
  <c r="Q14" i="73"/>
  <c r="D23" i="89"/>
  <c r="D17" i="89" s="1"/>
  <c r="E23" i="89"/>
  <c r="M15" i="78"/>
  <c r="H15" i="78"/>
  <c r="J15" i="78" s="1"/>
  <c r="D29" i="87"/>
  <c r="G99" i="1"/>
  <c r="E117" i="1"/>
  <c r="A102" i="1"/>
  <c r="A17" i="73"/>
  <c r="R16" i="73"/>
  <c r="A17" i="89"/>
  <c r="F24" i="89"/>
  <c r="K15" i="89"/>
  <c r="BB80" i="104"/>
  <c r="BF80" i="104" s="1"/>
  <c r="BH80" i="104" s="1"/>
  <c r="AR80" i="104"/>
  <c r="AX39" i="103"/>
  <c r="BD39" i="103" s="1"/>
  <c r="BF39" i="103" s="1"/>
  <c r="AP39" i="103"/>
  <c r="G30" i="87"/>
  <c r="A31" i="87"/>
  <c r="D31" i="87"/>
  <c r="AZ102" i="104"/>
  <c r="AZ15" i="104" s="1"/>
  <c r="BF103" i="104"/>
  <c r="BF124" i="103"/>
  <c r="BF20" i="103"/>
  <c r="N11" i="80"/>
  <c r="A12" i="80"/>
  <c r="F21" i="78"/>
  <c r="M10" i="78"/>
  <c r="H10" i="78"/>
  <c r="H21" i="78" s="1"/>
  <c r="A37" i="80"/>
  <c r="N36" i="80"/>
  <c r="A92" i="75"/>
  <c r="J91" i="75"/>
  <c r="H83" i="47"/>
  <c r="A84" i="47"/>
  <c r="A160" i="1"/>
  <c r="G160" i="1" s="1"/>
  <c r="G159" i="1"/>
  <c r="E160" i="1"/>
  <c r="A36" i="89"/>
  <c r="K34" i="89"/>
  <c r="BF74" i="104"/>
  <c r="BH74" i="104" s="1"/>
  <c r="BJ126" i="104"/>
  <c r="A127" i="104"/>
  <c r="BF46" i="104"/>
  <c r="BH46" i="104" s="1"/>
  <c r="AZ42" i="104"/>
  <c r="AZ14" i="104" s="1"/>
  <c r="AP102" i="103"/>
  <c r="A129" i="103"/>
  <c r="BH129" i="103" s="1"/>
  <c r="BH128" i="103"/>
  <c r="AX102" i="103"/>
  <c r="AX15" i="103" s="1"/>
  <c r="K48" i="86"/>
  <c r="A49" i="86"/>
  <c r="A20" i="106"/>
  <c r="N18" i="106"/>
  <c r="AZ123" i="104"/>
  <c r="BF124" i="104"/>
  <c r="AR55" i="104"/>
  <c r="AR26" i="104"/>
  <c r="BJ37" i="104"/>
  <c r="A38" i="104"/>
  <c r="AP20" i="103"/>
  <c r="BF103" i="103"/>
  <c r="AP104" i="103"/>
  <c r="BB104" i="103"/>
  <c r="AP14" i="103"/>
  <c r="AP106" i="103"/>
  <c r="BB106" i="103"/>
  <c r="BD106" i="103" s="1"/>
  <c r="BF106" i="103" s="1"/>
  <c r="R17" i="103"/>
  <c r="R23" i="103" s="1"/>
  <c r="X12" i="103"/>
  <c r="X17" i="103" s="1"/>
  <c r="X23" i="103" s="1"/>
  <c r="A37" i="83"/>
  <c r="K36" i="83"/>
  <c r="AJ34" i="103"/>
  <c r="AJ13" i="103" s="1"/>
  <c r="G14" i="82"/>
  <c r="A15" i="82"/>
  <c r="A56" i="83"/>
  <c r="K55" i="83"/>
  <c r="K110" i="77"/>
  <c r="K121" i="77"/>
  <c r="K119" i="77"/>
  <c r="K117" i="77"/>
  <c r="K115" i="77"/>
  <c r="K113" i="77"/>
  <c r="K111" i="77"/>
  <c r="K120" i="77"/>
  <c r="K118" i="77"/>
  <c r="K116" i="77"/>
  <c r="K114" i="77"/>
  <c r="K112" i="77"/>
  <c r="A59" i="80"/>
  <c r="N58" i="80"/>
  <c r="A15" i="78"/>
  <c r="Q14" i="78"/>
  <c r="M17" i="78"/>
  <c r="J17" i="78"/>
  <c r="H17" i="78"/>
  <c r="L122" i="77"/>
  <c r="R42" i="76"/>
  <c r="A43" i="76"/>
  <c r="Q17" i="76"/>
  <c r="A79" i="80"/>
  <c r="N78" i="80"/>
  <c r="A12" i="71"/>
  <c r="K11" i="71"/>
  <c r="A23" i="72"/>
  <c r="J22" i="72"/>
  <c r="E56" i="1"/>
  <c r="G41" i="1"/>
  <c r="A42" i="1"/>
  <c r="A14" i="47"/>
  <c r="H13" i="47"/>
  <c r="A10" i="1"/>
  <c r="G9" i="1"/>
  <c r="E10" i="1"/>
  <c r="BB43" i="104"/>
  <c r="AR43" i="104"/>
  <c r="AN42" i="104"/>
  <c r="AN14" i="104" s="1"/>
  <c r="BJ15" i="104"/>
  <c r="A16" i="104"/>
  <c r="AR48" i="104"/>
  <c r="AP26" i="103"/>
  <c r="AZ58" i="103"/>
  <c r="BD58" i="103" s="1"/>
  <c r="BF58" i="103" s="1"/>
  <c r="AP58" i="103"/>
  <c r="G63" i="83"/>
  <c r="A17" i="81"/>
  <c r="F16" i="81"/>
  <c r="P87" i="77"/>
  <c r="M121" i="77"/>
  <c r="M119" i="77"/>
  <c r="M117" i="77"/>
  <c r="M115" i="77"/>
  <c r="M113" i="77"/>
  <c r="M111" i="77"/>
  <c r="M120" i="77"/>
  <c r="M118" i="77"/>
  <c r="M116" i="77"/>
  <c r="M114" i="77"/>
  <c r="M112" i="77"/>
  <c r="M110" i="77"/>
  <c r="Q79" i="77"/>
  <c r="A80" i="77"/>
  <c r="A114" i="77"/>
  <c r="Q113" i="77"/>
  <c r="M14" i="78"/>
  <c r="H14" i="78"/>
  <c r="J14" i="78" s="1"/>
  <c r="C35" i="90"/>
  <c r="C37" i="90" s="1"/>
  <c r="C40" i="90"/>
  <c r="C43" i="90" s="1"/>
  <c r="D7" i="1"/>
  <c r="D9" i="2"/>
  <c r="D11" i="2" s="1"/>
  <c r="M19" i="78"/>
  <c r="H19" i="78"/>
  <c r="J19" i="78" s="1"/>
  <c r="K39" i="71"/>
  <c r="A40" i="71"/>
  <c r="A63" i="47"/>
  <c r="F87" i="47"/>
  <c r="H61" i="47"/>
  <c r="C119" i="5"/>
  <c r="C57" i="5"/>
  <c r="H13" i="102"/>
  <c r="M17" i="102"/>
  <c r="D13" i="102" s="1"/>
  <c r="N17" i="102"/>
  <c r="E12" i="102" s="1"/>
  <c r="H12" i="102"/>
  <c r="G24" i="72"/>
  <c r="G150" i="1"/>
  <c r="E151" i="1"/>
  <c r="A151" i="1"/>
  <c r="A11" i="68"/>
  <c r="G10" i="68"/>
  <c r="D34" i="89"/>
  <c r="D36" i="89" s="1"/>
  <c r="BD104" i="104"/>
  <c r="AR104" i="104"/>
  <c r="H10" i="86"/>
  <c r="D134" i="1" s="1"/>
  <c r="E88" i="47" s="1"/>
  <c r="L32" i="106"/>
  <c r="K32" i="106"/>
  <c r="AR15" i="104"/>
  <c r="AZ119" i="104"/>
  <c r="BF119" i="104" s="1"/>
  <c r="BH119" i="104" s="1"/>
  <c r="AR119" i="104"/>
  <c r="AR115" i="104" s="1"/>
  <c r="T17" i="104"/>
  <c r="T23" i="104" s="1"/>
  <c r="BF116" i="104"/>
  <c r="AR20" i="104"/>
  <c r="AZ20" i="104"/>
  <c r="BF20" i="104" s="1"/>
  <c r="AL115" i="104"/>
  <c r="AL16" i="104" s="1"/>
  <c r="AR16" i="104" s="1"/>
  <c r="BJ46" i="104"/>
  <c r="A47" i="104"/>
  <c r="BD46" i="103"/>
  <c r="BF46" i="103" s="1"/>
  <c r="AX42" i="103"/>
  <c r="AX14" i="103" s="1"/>
  <c r="AX116" i="103"/>
  <c r="AX16" i="103" s="1"/>
  <c r="BD16" i="103" s="1"/>
  <c r="BD117" i="103"/>
  <c r="AP124" i="103"/>
  <c r="BD94" i="103"/>
  <c r="BF94" i="103" s="1"/>
  <c r="F121" i="77"/>
  <c r="F120" i="77"/>
  <c r="F119" i="77"/>
  <c r="F118" i="77"/>
  <c r="F117" i="77"/>
  <c r="F116" i="77"/>
  <c r="F115" i="77"/>
  <c r="P115" i="77" s="1"/>
  <c r="F114" i="77"/>
  <c r="F113" i="77"/>
  <c r="F112" i="77"/>
  <c r="F111" i="77"/>
  <c r="F110" i="77"/>
  <c r="A70" i="76"/>
  <c r="R69" i="76"/>
  <c r="AZ93" i="103"/>
  <c r="BD93" i="103" s="1"/>
  <c r="BF93" i="103" s="1"/>
  <c r="AP93" i="103"/>
  <c r="F11" i="92"/>
  <c r="J122" i="77"/>
  <c r="E90" i="75"/>
  <c r="E16" i="75"/>
  <c r="H13" i="78"/>
  <c r="J13" i="78"/>
  <c r="M13" i="78"/>
  <c r="A61" i="75"/>
  <c r="J60" i="75"/>
  <c r="P27" i="76"/>
  <c r="E19" i="47" s="1"/>
  <c r="A17" i="102"/>
  <c r="Q14" i="102"/>
  <c r="A41" i="73"/>
  <c r="R40" i="73"/>
  <c r="Q15" i="73"/>
  <c r="C36" i="87"/>
  <c r="C32" i="87"/>
  <c r="C39" i="87" s="1"/>
  <c r="D135" i="1" s="1"/>
  <c r="E89" i="47" s="1"/>
  <c r="A48" i="5"/>
  <c r="L47" i="5"/>
  <c r="A84" i="5"/>
  <c r="L83" i="5"/>
  <c r="G50" i="89"/>
  <c r="H49" i="89"/>
  <c r="I49" i="89" s="1"/>
  <c r="BF27" i="104"/>
  <c r="V17" i="104"/>
  <c r="V23" i="104" s="1"/>
  <c r="K40" i="106"/>
  <c r="L40" i="106"/>
  <c r="AR74" i="104"/>
  <c r="AN17" i="104"/>
  <c r="AN23" i="104" s="1"/>
  <c r="AX124" i="103"/>
  <c r="AX20" i="103" s="1"/>
  <c r="BD20" i="103" s="1"/>
  <c r="BD125" i="103"/>
  <c r="BD124" i="103" s="1"/>
  <c r="AP94" i="103"/>
  <c r="AZ50" i="103"/>
  <c r="BD50" i="103" s="1"/>
  <c r="BF50" i="103" s="1"/>
  <c r="AP50" i="103"/>
  <c r="AZ61" i="103"/>
  <c r="BD61" i="103" s="1"/>
  <c r="BF61" i="103" s="1"/>
  <c r="AP61" i="103"/>
  <c r="AP34" i="103"/>
  <c r="A19" i="105"/>
  <c r="N17" i="105"/>
  <c r="I39" i="92"/>
  <c r="A40" i="92"/>
  <c r="A55" i="85"/>
  <c r="N54" i="85"/>
  <c r="A12" i="90"/>
  <c r="F10" i="90"/>
  <c r="Q14" i="84"/>
  <c r="A15" i="84"/>
  <c r="A17" i="86"/>
  <c r="K17" i="86" s="1"/>
  <c r="K16" i="86"/>
  <c r="BF93" i="104"/>
  <c r="BH93" i="104" s="1"/>
  <c r="AP16" i="103"/>
  <c r="A119" i="103"/>
  <c r="BH118" i="103"/>
  <c r="X34" i="103"/>
  <c r="BD35" i="103"/>
  <c r="AX34" i="103"/>
  <c r="AX13" i="103" s="1"/>
  <c r="BD13" i="103" s="1"/>
  <c r="A17" i="103"/>
  <c r="BH16" i="103"/>
  <c r="N135" i="80"/>
  <c r="A136" i="80"/>
  <c r="G20" i="87"/>
  <c r="A21" i="87"/>
  <c r="F36" i="89"/>
  <c r="K21" i="86"/>
  <c r="A22" i="86"/>
  <c r="AR90" i="104"/>
  <c r="A106" i="104"/>
  <c r="BJ105" i="104"/>
  <c r="AP43" i="103"/>
  <c r="AZ85" i="103"/>
  <c r="BD85" i="103" s="1"/>
  <c r="BF85" i="103" s="1"/>
  <c r="AP85" i="103"/>
  <c r="X42" i="103"/>
  <c r="BH30" i="103"/>
  <c r="A31" i="103"/>
  <c r="BH31" i="103" s="1"/>
  <c r="G115" i="80"/>
  <c r="A102" i="80"/>
  <c r="N102" i="80" s="1"/>
  <c r="E12" i="80"/>
  <c r="N99" i="80"/>
  <c r="A114" i="80"/>
  <c r="N113" i="80"/>
  <c r="N121" i="77"/>
  <c r="N120" i="77"/>
  <c r="N119" i="77"/>
  <c r="N118" i="77"/>
  <c r="N117" i="77"/>
  <c r="N116" i="77"/>
  <c r="N115" i="77"/>
  <c r="N114" i="77"/>
  <c r="N113" i="77"/>
  <c r="N112" i="77"/>
  <c r="N111" i="77"/>
  <c r="N110" i="77"/>
  <c r="A33" i="78"/>
  <c r="Q32" i="78"/>
  <c r="E17" i="75"/>
  <c r="E55" i="75"/>
  <c r="P112" i="77"/>
  <c r="H12" i="78"/>
  <c r="J12" i="78" s="1"/>
  <c r="M12" i="78"/>
  <c r="J11" i="78"/>
  <c r="H11" i="78"/>
  <c r="M11" i="78"/>
  <c r="A19" i="69"/>
  <c r="Q17" i="69"/>
  <c r="D119" i="77"/>
  <c r="P85" i="77"/>
  <c r="D26" i="68"/>
  <c r="D30" i="68" s="1"/>
  <c r="D45" i="1" s="1"/>
  <c r="D40" i="1"/>
  <c r="D42" i="1" s="1"/>
  <c r="L110" i="5"/>
  <c r="A111" i="5"/>
  <c r="AR14" i="104"/>
  <c r="BD27" i="103"/>
  <c r="AX26" i="103"/>
  <c r="AX12" i="103" s="1"/>
  <c r="AZ72" i="103"/>
  <c r="BD72" i="103" s="1"/>
  <c r="BF72" i="103" s="1"/>
  <c r="AP72" i="103"/>
  <c r="A45" i="103"/>
  <c r="BH44" i="103"/>
  <c r="J48" i="89"/>
  <c r="J49" i="89" s="1"/>
  <c r="K37" i="86"/>
  <c r="A38" i="86"/>
  <c r="I18" i="92"/>
  <c r="A19" i="92"/>
  <c r="A28" i="85"/>
  <c r="N27" i="85"/>
  <c r="A50" i="89"/>
  <c r="K49" i="89"/>
  <c r="Z102" i="104"/>
  <c r="AP17" i="104"/>
  <c r="AP23" i="104" s="1"/>
  <c r="AZ39" i="104"/>
  <c r="AR39" i="104"/>
  <c r="AR34" i="104" s="1"/>
  <c r="AN23" i="103"/>
  <c r="A108" i="103"/>
  <c r="BH107" i="103"/>
  <c r="G121" i="77"/>
  <c r="G120" i="77"/>
  <c r="G119" i="77"/>
  <c r="G118" i="77"/>
  <c r="G117" i="77"/>
  <c r="G116" i="77"/>
  <c r="P116" i="77" s="1"/>
  <c r="G115" i="77"/>
  <c r="G114" i="77"/>
  <c r="G113" i="77"/>
  <c r="G112" i="77"/>
  <c r="G111" i="77"/>
  <c r="G110" i="77"/>
  <c r="M18" i="78"/>
  <c r="J18" i="78"/>
  <c r="H18" i="78"/>
  <c r="M16" i="78"/>
  <c r="J16" i="78"/>
  <c r="H16" i="78"/>
  <c r="A37" i="103"/>
  <c r="BH36" i="103"/>
  <c r="A18" i="76"/>
  <c r="R17" i="76"/>
  <c r="D117" i="77"/>
  <c r="P83" i="77"/>
  <c r="F144" i="80"/>
  <c r="F163" i="80" s="1"/>
  <c r="D118" i="77"/>
  <c r="P84" i="77"/>
  <c r="D37" i="1"/>
  <c r="A27" i="2"/>
  <c r="G26" i="2"/>
  <c r="P25" i="73"/>
  <c r="E7" i="47" s="1"/>
  <c r="D110" i="77"/>
  <c r="P76" i="77"/>
  <c r="K29" i="71"/>
  <c r="A30" i="71"/>
  <c r="A17" i="2"/>
  <c r="G16" i="2"/>
  <c r="AR102" i="104"/>
  <c r="Z17" i="104"/>
  <c r="Z23" i="104" s="1"/>
  <c r="O121" i="77"/>
  <c r="O120" i="77"/>
  <c r="O119" i="77"/>
  <c r="O118" i="77"/>
  <c r="O117" i="77"/>
  <c r="O116" i="77"/>
  <c r="O115" i="77"/>
  <c r="O114" i="77"/>
  <c r="O113" i="77"/>
  <c r="O112" i="77"/>
  <c r="O111" i="77"/>
  <c r="O110" i="77"/>
  <c r="D111" i="77"/>
  <c r="P77" i="77"/>
  <c r="G158" i="80"/>
  <c r="G150" i="80"/>
  <c r="G153" i="80"/>
  <c r="D163" i="80"/>
  <c r="G156" i="80"/>
  <c r="G155" i="80"/>
  <c r="G151" i="80"/>
  <c r="G160" i="80"/>
  <c r="G159" i="80"/>
  <c r="G152" i="80"/>
  <c r="G157" i="80"/>
  <c r="G154" i="80"/>
  <c r="G149" i="80"/>
  <c r="A42" i="47"/>
  <c r="H41" i="47"/>
  <c r="G84" i="1"/>
  <c r="A85" i="1"/>
  <c r="N8" i="85" l="1"/>
  <c r="A9" i="85"/>
  <c r="H14" i="102"/>
  <c r="F18" i="79"/>
  <c r="F22" i="79"/>
  <c r="F14" i="79"/>
  <c r="F17" i="79"/>
  <c r="F15" i="79"/>
  <c r="F21" i="79"/>
  <c r="F19" i="79"/>
  <c r="F25" i="79"/>
  <c r="D17" i="92" s="1"/>
  <c r="F23" i="79"/>
  <c r="F16" i="79"/>
  <c r="F24" i="79"/>
  <c r="F20" i="79"/>
  <c r="F13" i="79"/>
  <c r="F26" i="79" s="1"/>
  <c r="P110" i="77"/>
  <c r="D122" i="77"/>
  <c r="A115" i="77"/>
  <c r="Q114" i="77"/>
  <c r="BH103" i="104"/>
  <c r="BD43" i="103"/>
  <c r="AZ42" i="103"/>
  <c r="AZ14" i="103" s="1"/>
  <c r="AZ17" i="103" s="1"/>
  <c r="AZ23" i="103" s="1"/>
  <c r="BD12" i="103"/>
  <c r="AX17" i="103"/>
  <c r="AX23" i="103" s="1"/>
  <c r="A23" i="86"/>
  <c r="K22" i="86"/>
  <c r="A19" i="103"/>
  <c r="BH17" i="103"/>
  <c r="N55" i="85"/>
  <c r="A56" i="85"/>
  <c r="A18" i="102"/>
  <c r="Q18" i="102" s="1"/>
  <c r="Q17" i="102"/>
  <c r="BD116" i="103"/>
  <c r="BF117" i="103"/>
  <c r="BF116" i="103" s="1"/>
  <c r="BF16" i="103" s="1"/>
  <c r="A41" i="71"/>
  <c r="K40" i="71"/>
  <c r="M33" i="84"/>
  <c r="M20" i="84"/>
  <c r="M34" i="84"/>
  <c r="M25" i="84"/>
  <c r="M22" i="84"/>
  <c r="M14" i="84"/>
  <c r="M15" i="84"/>
  <c r="M36" i="84"/>
  <c r="M35" i="84"/>
  <c r="M32" i="84"/>
  <c r="M31" i="84"/>
  <c r="M26" i="84"/>
  <c r="M18" i="84"/>
  <c r="M13" i="84"/>
  <c r="M30" i="84"/>
  <c r="M23" i="84"/>
  <c r="M17" i="84"/>
  <c r="M16" i="84"/>
  <c r="M37" i="84"/>
  <c r="M27" i="84"/>
  <c r="M29" i="84"/>
  <c r="M28" i="84"/>
  <c r="M19" i="84"/>
  <c r="M12" i="84"/>
  <c r="M21" i="84"/>
  <c r="M11" i="84"/>
  <c r="F98" i="80"/>
  <c r="F99" i="80" s="1"/>
  <c r="F63" i="80"/>
  <c r="F64" i="80" s="1"/>
  <c r="Q80" i="77"/>
  <c r="A81" i="77"/>
  <c r="A18" i="81"/>
  <c r="F17" i="81"/>
  <c r="BJ16" i="104"/>
  <c r="A17" i="104"/>
  <c r="A44" i="76"/>
  <c r="R43" i="76"/>
  <c r="Q18" i="76"/>
  <c r="F18" i="82"/>
  <c r="A18" i="82"/>
  <c r="G18" i="82" s="1"/>
  <c r="G15" i="82"/>
  <c r="A50" i="86"/>
  <c r="K49" i="86"/>
  <c r="A128" i="104"/>
  <c r="BJ128" i="104" s="1"/>
  <c r="BJ127" i="104"/>
  <c r="A85" i="47"/>
  <c r="H84" i="47"/>
  <c r="J10" i="78"/>
  <c r="J21" i="78" s="1"/>
  <c r="BF15" i="104"/>
  <c r="A66" i="73"/>
  <c r="Q16" i="73" s="1"/>
  <c r="R65" i="73"/>
  <c r="I122" i="77"/>
  <c r="P120" i="77"/>
  <c r="A39" i="104"/>
  <c r="BJ39" i="104" s="1"/>
  <c r="BJ38" i="104"/>
  <c r="G161" i="80"/>
  <c r="G163" i="80" s="1"/>
  <c r="P117" i="77"/>
  <c r="A39" i="86"/>
  <c r="K38" i="86"/>
  <c r="BD26" i="103"/>
  <c r="BF27" i="103"/>
  <c r="BF26" i="103" s="1"/>
  <c r="BF12" i="103" s="1"/>
  <c r="A34" i="78"/>
  <c r="Q33" i="78"/>
  <c r="N114" i="80"/>
  <c r="A115" i="80"/>
  <c r="A41" i="92"/>
  <c r="I40" i="92"/>
  <c r="A49" i="5"/>
  <c r="L48" i="5"/>
  <c r="E91" i="75"/>
  <c r="A71" i="76"/>
  <c r="R70" i="76"/>
  <c r="BH116" i="104"/>
  <c r="BH115" i="104" s="1"/>
  <c r="BH16" i="104" s="1"/>
  <c r="BF115" i="104"/>
  <c r="E13" i="102"/>
  <c r="E14" i="102" s="1"/>
  <c r="A13" i="1"/>
  <c r="G10" i="1"/>
  <c r="J23" i="72"/>
  <c r="A24" i="72"/>
  <c r="J24" i="72" s="1"/>
  <c r="A60" i="80"/>
  <c r="N59" i="80"/>
  <c r="M21" i="78"/>
  <c r="N21" i="78" s="1"/>
  <c r="F55" i="75" s="1"/>
  <c r="A11" i="70"/>
  <c r="H10" i="70"/>
  <c r="L19" i="5"/>
  <c r="A20" i="5"/>
  <c r="J16" i="79"/>
  <c r="A17" i="79"/>
  <c r="A12" i="94"/>
  <c r="F11" i="94"/>
  <c r="A20" i="92"/>
  <c r="I19" i="92"/>
  <c r="G20" i="92"/>
  <c r="G151" i="1"/>
  <c r="E157" i="1"/>
  <c r="E159" i="1"/>
  <c r="K56" i="83"/>
  <c r="A57" i="83"/>
  <c r="C44" i="90"/>
  <c r="A86" i="1"/>
  <c r="G85" i="1"/>
  <c r="A28" i="2"/>
  <c r="G27" i="2"/>
  <c r="E28" i="2"/>
  <c r="P119" i="77"/>
  <c r="BF35" i="103"/>
  <c r="BF34" i="103" s="1"/>
  <c r="BF13" i="103" s="1"/>
  <c r="BD34" i="103"/>
  <c r="BH27" i="104"/>
  <c r="BH26" i="104" s="1"/>
  <c r="BH12" i="104" s="1"/>
  <c r="BF26" i="104"/>
  <c r="F122" i="77"/>
  <c r="AZ115" i="104"/>
  <c r="AZ16" i="104" s="1"/>
  <c r="BF16" i="104" s="1"/>
  <c r="M122" i="77"/>
  <c r="G62" i="83"/>
  <c r="AP13" i="103"/>
  <c r="AP17" i="103" s="1"/>
  <c r="AP23" i="103" s="1"/>
  <c r="C46" i="83" s="1"/>
  <c r="AJ17" i="103"/>
  <c r="AJ23" i="103" s="1"/>
  <c r="BB102" i="103"/>
  <c r="BB15" i="103" s="1"/>
  <c r="BB17" i="103" s="1"/>
  <c r="BB23" i="103" s="1"/>
  <c r="BD104" i="103"/>
  <c r="BD15" i="103"/>
  <c r="A32" i="87"/>
  <c r="D32" i="87"/>
  <c r="D36" i="87"/>
  <c r="G31" i="87"/>
  <c r="K17" i="89"/>
  <c r="A22" i="89"/>
  <c r="H122" i="77"/>
  <c r="D12" i="94"/>
  <c r="BJ119" i="104"/>
  <c r="A120" i="104"/>
  <c r="BJ120" i="104" s="1"/>
  <c r="K42" i="106"/>
  <c r="E18" i="2"/>
  <c r="A18" i="2"/>
  <c r="G17" i="2"/>
  <c r="D47" i="1"/>
  <c r="R18" i="76"/>
  <c r="A19" i="76"/>
  <c r="A109" i="103"/>
  <c r="BH108" i="103"/>
  <c r="A112" i="5"/>
  <c r="L111" i="5"/>
  <c r="A22" i="87"/>
  <c r="G21" i="87"/>
  <c r="A16" i="84"/>
  <c r="Q15" i="84"/>
  <c r="AZ26" i="104"/>
  <c r="AZ12" i="104" s="1"/>
  <c r="C38" i="87"/>
  <c r="C37" i="87"/>
  <c r="A62" i="75"/>
  <c r="J61" i="75"/>
  <c r="BF104" i="104"/>
  <c r="BH104" i="104" s="1"/>
  <c r="BD102" i="104"/>
  <c r="BD15" i="104" s="1"/>
  <c r="BD17" i="104" s="1"/>
  <c r="BD23" i="104" s="1"/>
  <c r="D12" i="102"/>
  <c r="C66" i="5"/>
  <c r="C58" i="5"/>
  <c r="C67" i="5"/>
  <c r="C59" i="5"/>
  <c r="C68" i="5"/>
  <c r="C60" i="5"/>
  <c r="C61" i="5"/>
  <c r="C62" i="5"/>
  <c r="C63" i="5"/>
  <c r="C64" i="5"/>
  <c r="C65" i="5"/>
  <c r="AR42" i="104"/>
  <c r="BF123" i="104"/>
  <c r="BH124" i="104"/>
  <c r="A93" i="75"/>
  <c r="J92" i="75"/>
  <c r="E13" i="80"/>
  <c r="A13" i="80"/>
  <c r="N12" i="80"/>
  <c r="A31" i="104"/>
  <c r="BJ31" i="104" s="1"/>
  <c r="BJ30" i="104"/>
  <c r="G128" i="1"/>
  <c r="F83" i="47"/>
  <c r="A129" i="1"/>
  <c r="H63" i="47"/>
  <c r="A66" i="47"/>
  <c r="F61" i="47"/>
  <c r="O122" i="77"/>
  <c r="F10" i="71"/>
  <c r="F6" i="71"/>
  <c r="K30" i="71"/>
  <c r="F11" i="71"/>
  <c r="G122" i="77"/>
  <c r="A51" i="89"/>
  <c r="K50" i="89"/>
  <c r="A21" i="69"/>
  <c r="Q19" i="69"/>
  <c r="N122" i="77"/>
  <c r="AP42" i="103"/>
  <c r="N19" i="105"/>
  <c r="A21" i="105"/>
  <c r="BJ47" i="104"/>
  <c r="A48" i="104"/>
  <c r="BB42" i="104"/>
  <c r="BB14" i="104" s="1"/>
  <c r="BB17" i="104" s="1"/>
  <c r="BB23" i="104" s="1"/>
  <c r="BF43" i="104"/>
  <c r="A15" i="47"/>
  <c r="H14" i="47"/>
  <c r="A14" i="71"/>
  <c r="K14" i="71" s="1"/>
  <c r="K12" i="71"/>
  <c r="F14" i="71"/>
  <c r="K37" i="83"/>
  <c r="A38" i="83"/>
  <c r="A38" i="89"/>
  <c r="K38" i="89" s="1"/>
  <c r="F38" i="89"/>
  <c r="K36" i="89"/>
  <c r="A18" i="73"/>
  <c r="R17" i="73"/>
  <c r="AR12" i="104"/>
  <c r="AR17" i="104" s="1"/>
  <c r="AR23" i="104" s="1"/>
  <c r="AL17" i="104"/>
  <c r="AL23" i="104" s="1"/>
  <c r="A16" i="78"/>
  <c r="Q15" i="78"/>
  <c r="A22" i="106"/>
  <c r="N20" i="106"/>
  <c r="P111" i="77"/>
  <c r="A137" i="80"/>
  <c r="N136" i="80"/>
  <c r="A120" i="103"/>
  <c r="BH119" i="103"/>
  <c r="H50" i="89"/>
  <c r="I50" i="89" s="1"/>
  <c r="J50" i="89" s="1"/>
  <c r="G51" i="89"/>
  <c r="P113" i="77"/>
  <c r="P121" i="77"/>
  <c r="A45" i="1"/>
  <c r="G42" i="1"/>
  <c r="K122" i="77"/>
  <c r="E103" i="1"/>
  <c r="A103" i="1"/>
  <c r="G102" i="1"/>
  <c r="D38" i="89"/>
  <c r="D158" i="1" s="1"/>
  <c r="A85" i="5"/>
  <c r="L84" i="5"/>
  <c r="A21" i="75"/>
  <c r="J20" i="75"/>
  <c r="A43" i="47"/>
  <c r="H42" i="47"/>
  <c r="F43" i="47"/>
  <c r="A38" i="103"/>
  <c r="BH37" i="103"/>
  <c r="BH45" i="103"/>
  <c r="A46" i="103"/>
  <c r="F45" i="47"/>
  <c r="P118" i="77"/>
  <c r="BF39" i="104"/>
  <c r="AZ34" i="104"/>
  <c r="AZ13" i="104" s="1"/>
  <c r="BF13" i="104" s="1"/>
  <c r="N28" i="85"/>
  <c r="A29" i="85"/>
  <c r="E56" i="75"/>
  <c r="G114" i="80"/>
  <c r="A107" i="104"/>
  <c r="BJ106" i="104"/>
  <c r="F12" i="90"/>
  <c r="A13" i="90"/>
  <c r="A42" i="73"/>
  <c r="R41" i="73"/>
  <c r="P114" i="77"/>
  <c r="A12" i="68"/>
  <c r="G11" i="68"/>
  <c r="N79" i="80"/>
  <c r="A81" i="80"/>
  <c r="A38" i="80"/>
  <c r="N37" i="80"/>
  <c r="A10" i="85" l="1"/>
  <c r="N9" i="85"/>
  <c r="J51" i="89"/>
  <c r="F18" i="75"/>
  <c r="A130" i="1"/>
  <c r="G129" i="1"/>
  <c r="E55" i="83"/>
  <c r="D59" i="83"/>
  <c r="F56" i="75"/>
  <c r="E57" i="75"/>
  <c r="A47" i="103"/>
  <c r="BH46" i="103"/>
  <c r="A22" i="75"/>
  <c r="J21" i="75"/>
  <c r="A121" i="103"/>
  <c r="BH121" i="103" s="1"/>
  <c r="BH120" i="103"/>
  <c r="A16" i="47"/>
  <c r="H15" i="47"/>
  <c r="F16" i="47"/>
  <c r="E15" i="2"/>
  <c r="A110" i="103"/>
  <c r="BH109" i="103"/>
  <c r="G61" i="83"/>
  <c r="G21" i="79"/>
  <c r="G13" i="79"/>
  <c r="G25" i="79"/>
  <c r="E17" i="92" s="1"/>
  <c r="G17" i="79"/>
  <c r="G19" i="79"/>
  <c r="G23" i="79"/>
  <c r="G16" i="79"/>
  <c r="G14" i="79"/>
  <c r="G20" i="79"/>
  <c r="G18" i="79"/>
  <c r="G24" i="79"/>
  <c r="G15" i="79"/>
  <c r="G22" i="79"/>
  <c r="A23" i="92"/>
  <c r="I20" i="92"/>
  <c r="A14" i="1"/>
  <c r="G13" i="1"/>
  <c r="E92" i="75"/>
  <c r="E19" i="75" s="1"/>
  <c r="F91" i="75"/>
  <c r="O12" i="84"/>
  <c r="N12" i="84"/>
  <c r="P12" i="84" s="1"/>
  <c r="N23" i="84"/>
  <c r="O23" i="84"/>
  <c r="O36" i="84"/>
  <c r="N36" i="84"/>
  <c r="P36" i="84" s="1"/>
  <c r="A47" i="1"/>
  <c r="G45" i="1"/>
  <c r="E47" i="1"/>
  <c r="BH43" i="104"/>
  <c r="BH42" i="104" s="1"/>
  <c r="BH14" i="104" s="1"/>
  <c r="BF42" i="104"/>
  <c r="A94" i="75"/>
  <c r="J93" i="75"/>
  <c r="Q16" i="84"/>
  <c r="A17" i="84"/>
  <c r="A20" i="76"/>
  <c r="R19" i="76"/>
  <c r="A58" i="83"/>
  <c r="K57" i="83"/>
  <c r="H11" i="70"/>
  <c r="A12" i="70"/>
  <c r="A20" i="81"/>
  <c r="F20" i="81" s="1"/>
  <c r="F18" i="81"/>
  <c r="D17" i="81"/>
  <c r="O19" i="84"/>
  <c r="N19" i="84"/>
  <c r="P19" i="84" s="1"/>
  <c r="O30" i="84"/>
  <c r="N30" i="84"/>
  <c r="P30" i="84" s="1"/>
  <c r="N15" i="84"/>
  <c r="O15" i="84"/>
  <c r="A42" i="71"/>
  <c r="K41" i="71"/>
  <c r="P122" i="77"/>
  <c r="F129" i="77" s="1"/>
  <c r="F131" i="77" s="1"/>
  <c r="D129" i="1" s="1"/>
  <c r="A86" i="5"/>
  <c r="L85" i="5"/>
  <c r="A23" i="69"/>
  <c r="Q21" i="69"/>
  <c r="O28" i="84"/>
  <c r="N28" i="84"/>
  <c r="P28" i="84" s="1"/>
  <c r="N14" i="84"/>
  <c r="O14" i="84"/>
  <c r="A108" i="104"/>
  <c r="BJ107" i="104"/>
  <c r="BH38" i="103"/>
  <c r="A39" i="103"/>
  <c r="BH39" i="103" s="1"/>
  <c r="A49" i="104"/>
  <c r="BJ48" i="104"/>
  <c r="G22" i="87"/>
  <c r="A23" i="87"/>
  <c r="F12" i="94"/>
  <c r="D11" i="93"/>
  <c r="D6" i="93"/>
  <c r="A86" i="47"/>
  <c r="H85" i="47"/>
  <c r="N29" i="84"/>
  <c r="O29" i="84"/>
  <c r="O18" i="84"/>
  <c r="N18" i="84"/>
  <c r="O22" i="84"/>
  <c r="N22" i="84"/>
  <c r="BD42" i="103"/>
  <c r="BF43" i="103"/>
  <c r="BF42" i="103" s="1"/>
  <c r="BF14" i="103" s="1"/>
  <c r="BF17" i="103" s="1"/>
  <c r="BF23" i="103" s="1"/>
  <c r="G12" i="68"/>
  <c r="A13" i="68"/>
  <c r="N137" i="80"/>
  <c r="A138" i="80"/>
  <c r="G32" i="87"/>
  <c r="D39" i="87"/>
  <c r="P21" i="78"/>
  <c r="E134" i="80"/>
  <c r="H134" i="80" s="1"/>
  <c r="J134" i="80" s="1"/>
  <c r="F88" i="75"/>
  <c r="H88" i="75" s="1"/>
  <c r="F52" i="75"/>
  <c r="E137" i="80"/>
  <c r="H137" i="80" s="1"/>
  <c r="J137" i="80" s="1"/>
  <c r="E143" i="80"/>
  <c r="H143" i="80" s="1"/>
  <c r="J143" i="80" s="1"/>
  <c r="E142" i="80"/>
  <c r="H142" i="80" s="1"/>
  <c r="J142" i="80" s="1"/>
  <c r="E138" i="80"/>
  <c r="H138" i="80" s="1"/>
  <c r="J138" i="80" s="1"/>
  <c r="E133" i="80"/>
  <c r="H133" i="80" s="1"/>
  <c r="J133" i="80" s="1"/>
  <c r="E132" i="80"/>
  <c r="E135" i="80"/>
  <c r="H135" i="80" s="1"/>
  <c r="J135" i="80" s="1"/>
  <c r="F53" i="75"/>
  <c r="F16" i="75" s="1"/>
  <c r="E136" i="80"/>
  <c r="H136" i="80" s="1"/>
  <c r="J136" i="80" s="1"/>
  <c r="E141" i="80"/>
  <c r="H141" i="80" s="1"/>
  <c r="J141" i="80" s="1"/>
  <c r="E139" i="80"/>
  <c r="H139" i="80" s="1"/>
  <c r="J139" i="80" s="1"/>
  <c r="E140" i="80"/>
  <c r="H140" i="80" s="1"/>
  <c r="J140" i="80" s="1"/>
  <c r="E151" i="80"/>
  <c r="H151" i="80" s="1"/>
  <c r="J151" i="80" s="1"/>
  <c r="E149" i="80"/>
  <c r="E153" i="80"/>
  <c r="H153" i="80" s="1"/>
  <c r="J153" i="80" s="1"/>
  <c r="E152" i="80"/>
  <c r="H152" i="80" s="1"/>
  <c r="J152" i="80" s="1"/>
  <c r="E160" i="80"/>
  <c r="H160" i="80" s="1"/>
  <c r="J160" i="80" s="1"/>
  <c r="F54" i="75"/>
  <c r="E155" i="80"/>
  <c r="H155" i="80" s="1"/>
  <c r="J155" i="80" s="1"/>
  <c r="E157" i="80"/>
  <c r="H157" i="80" s="1"/>
  <c r="J157" i="80" s="1"/>
  <c r="E154" i="80"/>
  <c r="H154" i="80" s="1"/>
  <c r="J154" i="80" s="1"/>
  <c r="E159" i="80"/>
  <c r="H159" i="80" s="1"/>
  <c r="J159" i="80" s="1"/>
  <c r="F89" i="75"/>
  <c r="E156" i="80"/>
  <c r="H156" i="80" s="1"/>
  <c r="J156" i="80" s="1"/>
  <c r="E150" i="80"/>
  <c r="H150" i="80" s="1"/>
  <c r="J150" i="80" s="1"/>
  <c r="E158" i="80"/>
  <c r="H158" i="80" s="1"/>
  <c r="J158" i="80" s="1"/>
  <c r="K51" i="89"/>
  <c r="A52" i="89"/>
  <c r="A63" i="75"/>
  <c r="J62" i="75"/>
  <c r="BF104" i="103"/>
  <c r="BF102" i="103" s="1"/>
  <c r="BF15" i="103" s="1"/>
  <c r="BD102" i="103"/>
  <c r="BD14" i="103"/>
  <c r="A18" i="79"/>
  <c r="J17" i="79"/>
  <c r="N60" i="80"/>
  <c r="A62" i="80"/>
  <c r="A50" i="5"/>
  <c r="L49" i="5"/>
  <c r="N27" i="84"/>
  <c r="P27" i="84" s="1"/>
  <c r="O27" i="84"/>
  <c r="N26" i="84"/>
  <c r="P26" i="84" s="1"/>
  <c r="O26" i="84"/>
  <c r="N25" i="84"/>
  <c r="O25" i="84"/>
  <c r="K23" i="86"/>
  <c r="A24" i="86"/>
  <c r="BH102" i="104"/>
  <c r="BH15" i="104" s="1"/>
  <c r="BF14" i="104"/>
  <c r="G113" i="80"/>
  <c r="BH39" i="104"/>
  <c r="BH34" i="104" s="1"/>
  <c r="BH13" i="104" s="1"/>
  <c r="BH17" i="104" s="1"/>
  <c r="BH23" i="104" s="1"/>
  <c r="BF34" i="104"/>
  <c r="F70" i="47"/>
  <c r="E119" i="1"/>
  <c r="A106" i="1"/>
  <c r="G103" i="1"/>
  <c r="G52" i="89"/>
  <c r="H51" i="89"/>
  <c r="I51" i="89" s="1"/>
  <c r="A24" i="106"/>
  <c r="N22" i="106"/>
  <c r="A19" i="73"/>
  <c r="R18" i="73"/>
  <c r="A23" i="105"/>
  <c r="N21" i="105"/>
  <c r="L112" i="5"/>
  <c r="A113" i="5"/>
  <c r="G18" i="2"/>
  <c r="E23" i="2"/>
  <c r="K22" i="89"/>
  <c r="A23" i="89"/>
  <c r="A30" i="2"/>
  <c r="G28" i="2"/>
  <c r="R44" i="76"/>
  <c r="Q19" i="76"/>
  <c r="A45" i="76"/>
  <c r="O37" i="84"/>
  <c r="N37" i="84"/>
  <c r="N31" i="84"/>
  <c r="P31" i="84" s="1"/>
  <c r="O31" i="84"/>
  <c r="O34" i="84"/>
  <c r="N34" i="84"/>
  <c r="P34" i="84" s="1"/>
  <c r="BF102" i="104"/>
  <c r="A14" i="90"/>
  <c r="F13" i="90"/>
  <c r="A17" i="78"/>
  <c r="Q16" i="78"/>
  <c r="A30" i="85"/>
  <c r="N29" i="85"/>
  <c r="A39" i="83"/>
  <c r="K39" i="83" s="1"/>
  <c r="K38" i="83"/>
  <c r="BH123" i="104"/>
  <c r="BH20" i="104"/>
  <c r="Q34" i="78"/>
  <c r="A35" i="78"/>
  <c r="Q81" i="77"/>
  <c r="A82" i="77"/>
  <c r="O13" i="84"/>
  <c r="N13" i="84"/>
  <c r="BH19" i="103"/>
  <c r="A20" i="103"/>
  <c r="A39" i="80"/>
  <c r="N38" i="80"/>
  <c r="H66" i="47"/>
  <c r="A67" i="47"/>
  <c r="N81" i="80"/>
  <c r="A82" i="80"/>
  <c r="E86" i="80"/>
  <c r="I83" i="80"/>
  <c r="A43" i="73"/>
  <c r="R42" i="73"/>
  <c r="E18" i="75"/>
  <c r="A45" i="47"/>
  <c r="H43" i="47"/>
  <c r="A17" i="80"/>
  <c r="N13" i="80"/>
  <c r="A21" i="5"/>
  <c r="L20" i="5"/>
  <c r="A72" i="76"/>
  <c r="R71" i="76"/>
  <c r="A42" i="92"/>
  <c r="I41" i="92"/>
  <c r="K39" i="86"/>
  <c r="A40" i="86"/>
  <c r="A19" i="104"/>
  <c r="BJ17" i="104"/>
  <c r="O11" i="84"/>
  <c r="N11" i="84"/>
  <c r="N16" i="84"/>
  <c r="O16" i="84"/>
  <c r="O32" i="84"/>
  <c r="N32" i="84"/>
  <c r="O20" i="84"/>
  <c r="N20" i="84"/>
  <c r="BD17" i="103"/>
  <c r="BD23" i="103" s="1"/>
  <c r="C47" i="83" s="1"/>
  <c r="D62" i="83" s="1"/>
  <c r="AZ17" i="104"/>
  <c r="AZ23" i="104" s="1"/>
  <c r="BF12" i="104"/>
  <c r="BF17" i="104" s="1"/>
  <c r="BF23" i="104" s="1"/>
  <c r="G86" i="1"/>
  <c r="A87" i="1"/>
  <c r="F90" i="75"/>
  <c r="A116" i="80"/>
  <c r="N115" i="80"/>
  <c r="A67" i="73"/>
  <c r="R66" i="73"/>
  <c r="K50" i="86"/>
  <c r="A51" i="86"/>
  <c r="N21" i="84"/>
  <c r="O21" i="84"/>
  <c r="N17" i="84"/>
  <c r="O17" i="84"/>
  <c r="N35" i="84"/>
  <c r="P35" i="84" s="1"/>
  <c r="O35" i="84"/>
  <c r="O33" i="84"/>
  <c r="N33" i="84"/>
  <c r="P33" i="84" s="1"/>
  <c r="A57" i="85"/>
  <c r="N56" i="85"/>
  <c r="A116" i="77"/>
  <c r="Q115" i="77"/>
  <c r="F17" i="92"/>
  <c r="A11" i="85" l="1"/>
  <c r="N10" i="85"/>
  <c r="A51" i="5"/>
  <c r="L50" i="5"/>
  <c r="Q17" i="84"/>
  <c r="A18" i="84"/>
  <c r="A113" i="103"/>
  <c r="BH113" i="103" s="1"/>
  <c r="A111" i="103"/>
  <c r="BH110" i="103"/>
  <c r="A87" i="47"/>
  <c r="H86" i="47"/>
  <c r="A50" i="104"/>
  <c r="BJ49" i="104"/>
  <c r="D56" i="83"/>
  <c r="D65" i="83"/>
  <c r="P17" i="84"/>
  <c r="A117" i="80"/>
  <c r="N116" i="80"/>
  <c r="P20" i="84"/>
  <c r="A31" i="85"/>
  <c r="G32" i="85" s="1"/>
  <c r="N30" i="85"/>
  <c r="A114" i="5"/>
  <c r="L113" i="5"/>
  <c r="A53" i="89"/>
  <c r="K52" i="89"/>
  <c r="P22" i="84"/>
  <c r="P15" i="84"/>
  <c r="H12" i="70"/>
  <c r="A13" i="70"/>
  <c r="G14" i="70"/>
  <c r="A48" i="103"/>
  <c r="BH47" i="103"/>
  <c r="D67" i="83"/>
  <c r="D58" i="83"/>
  <c r="A117" i="77"/>
  <c r="Q116" i="77"/>
  <c r="A68" i="73"/>
  <c r="R67" i="73"/>
  <c r="A46" i="47"/>
  <c r="H45" i="47"/>
  <c r="F67" i="47"/>
  <c r="O10" i="84"/>
  <c r="H67" i="47"/>
  <c r="A68" i="47"/>
  <c r="A64" i="75"/>
  <c r="J63" i="75"/>
  <c r="BJ19" i="104"/>
  <c r="A20" i="104"/>
  <c r="A22" i="5"/>
  <c r="L21" i="5"/>
  <c r="Q17" i="73"/>
  <c r="A36" i="78"/>
  <c r="Q35" i="78"/>
  <c r="H52" i="89"/>
  <c r="I52" i="89" s="1"/>
  <c r="G53" i="89"/>
  <c r="G112" i="80"/>
  <c r="A25" i="69"/>
  <c r="Q23" i="69"/>
  <c r="A95" i="75"/>
  <c r="J94" i="75"/>
  <c r="G14" i="1"/>
  <c r="A15" i="1"/>
  <c r="G26" i="79"/>
  <c r="D60" i="83"/>
  <c r="D66" i="83"/>
  <c r="N57" i="85"/>
  <c r="A58" i="85"/>
  <c r="P21" i="84"/>
  <c r="A88" i="1"/>
  <c r="G87" i="1"/>
  <c r="E88" i="1"/>
  <c r="P32" i="84"/>
  <c r="A41" i="86"/>
  <c r="K41" i="86" s="1"/>
  <c r="K40" i="86"/>
  <c r="A44" i="73"/>
  <c r="R43" i="73"/>
  <c r="A40" i="80"/>
  <c r="N39" i="80"/>
  <c r="Q17" i="78"/>
  <c r="A18" i="78"/>
  <c r="P37" i="84"/>
  <c r="A19" i="79"/>
  <c r="J18" i="79"/>
  <c r="F17" i="75"/>
  <c r="A139" i="80"/>
  <c r="N138" i="80"/>
  <c r="P18" i="84"/>
  <c r="P23" i="84"/>
  <c r="A19" i="47"/>
  <c r="H16" i="47"/>
  <c r="D63" i="83"/>
  <c r="N10" i="84"/>
  <c r="C21" i="90" s="1"/>
  <c r="P11" i="84"/>
  <c r="P10" i="84" s="1"/>
  <c r="E144" i="80"/>
  <c r="H132" i="80"/>
  <c r="E161" i="80"/>
  <c r="H149" i="80"/>
  <c r="K42" i="71"/>
  <c r="F7" i="71"/>
  <c r="A23" i="75"/>
  <c r="J22" i="75"/>
  <c r="Q82" i="77"/>
  <c r="A83" i="77"/>
  <c r="P25" i="84"/>
  <c r="A21" i="80"/>
  <c r="N17" i="80"/>
  <c r="A21" i="103"/>
  <c r="BH20" i="103"/>
  <c r="A31" i="2"/>
  <c r="G30" i="2"/>
  <c r="G106" i="1"/>
  <c r="A107" i="1"/>
  <c r="D61" i="83"/>
  <c r="A24" i="89"/>
  <c r="K23" i="89"/>
  <c r="K24" i="86"/>
  <c r="A25" i="86"/>
  <c r="F15" i="75"/>
  <c r="H52" i="75"/>
  <c r="A14" i="68"/>
  <c r="G13" i="68"/>
  <c r="A24" i="87"/>
  <c r="G24" i="87" s="1"/>
  <c r="G23" i="87"/>
  <c r="E68" i="83"/>
  <c r="D24" i="1"/>
  <c r="A73" i="76"/>
  <c r="R72" i="76"/>
  <c r="A26" i="106"/>
  <c r="N24" i="106"/>
  <c r="E69" i="80"/>
  <c r="I64" i="80"/>
  <c r="N62" i="80"/>
  <c r="A63" i="80"/>
  <c r="A52" i="86"/>
  <c r="K51" i="86"/>
  <c r="N23" i="105"/>
  <c r="A25" i="105"/>
  <c r="A109" i="104"/>
  <c r="BJ108" i="104"/>
  <c r="A87" i="5"/>
  <c r="L86" i="5"/>
  <c r="A59" i="83"/>
  <c r="K58" i="83"/>
  <c r="G60" i="83"/>
  <c r="F57" i="75"/>
  <c r="E58" i="75"/>
  <c r="A131" i="1"/>
  <c r="G130" i="1"/>
  <c r="A15" i="90"/>
  <c r="F14" i="90"/>
  <c r="P16" i="84"/>
  <c r="I42" i="92"/>
  <c r="A43" i="92"/>
  <c r="N82" i="80"/>
  <c r="A83" i="80"/>
  <c r="P13" i="84"/>
  <c r="A46" i="76"/>
  <c r="R45" i="76"/>
  <c r="Q20" i="76"/>
  <c r="A20" i="73"/>
  <c r="R19" i="73"/>
  <c r="H89" i="75"/>
  <c r="I88" i="75"/>
  <c r="P29" i="84"/>
  <c r="P14" i="84"/>
  <c r="R20" i="76"/>
  <c r="A21" i="76"/>
  <c r="I23" i="92"/>
  <c r="A24" i="92"/>
  <c r="D64" i="83"/>
  <c r="E56" i="83"/>
  <c r="E57" i="83" s="1"/>
  <c r="E58" i="83" s="1"/>
  <c r="E59" i="83" s="1"/>
  <c r="E60" i="83" s="1"/>
  <c r="E61" i="83" s="1"/>
  <c r="E62" i="83" s="1"/>
  <c r="E63" i="83" s="1"/>
  <c r="E64" i="83" s="1"/>
  <c r="E65" i="83" s="1"/>
  <c r="E66" i="83" s="1"/>
  <c r="E67" i="83" s="1"/>
  <c r="J55" i="83"/>
  <c r="D15" i="90"/>
  <c r="A50" i="1"/>
  <c r="G47" i="1"/>
  <c r="E93" i="75"/>
  <c r="F92" i="75"/>
  <c r="F19" i="75" s="1"/>
  <c r="D57" i="83"/>
  <c r="J52" i="89"/>
  <c r="N11" i="85" l="1"/>
  <c r="A12" i="85"/>
  <c r="A25" i="89"/>
  <c r="K24" i="89"/>
  <c r="A110" i="104"/>
  <c r="BJ109" i="104"/>
  <c r="A112" i="104"/>
  <c r="BJ112" i="104" s="1"/>
  <c r="A64" i="80"/>
  <c r="N63" i="80"/>
  <c r="H15" i="75"/>
  <c r="H53" i="75"/>
  <c r="I52" i="75"/>
  <c r="I15" i="75" s="1"/>
  <c r="A24" i="75"/>
  <c r="J23" i="75"/>
  <c r="C23" i="90"/>
  <c r="C24" i="90"/>
  <c r="A140" i="80"/>
  <c r="N139" i="80"/>
  <c r="A19" i="78"/>
  <c r="Q18" i="78"/>
  <c r="A27" i="69"/>
  <c r="Q25" i="69"/>
  <c r="J64" i="75"/>
  <c r="A65" i="75"/>
  <c r="BH111" i="103"/>
  <c r="A112" i="103"/>
  <c r="BH112" i="103" s="1"/>
  <c r="G14" i="68"/>
  <c r="A15" i="68"/>
  <c r="A48" i="47"/>
  <c r="F49" i="47"/>
  <c r="G59" i="83"/>
  <c r="Q18" i="84"/>
  <c r="A19" i="84"/>
  <c r="A32" i="2"/>
  <c r="G31" i="2"/>
  <c r="E32" i="2"/>
  <c r="A37" i="78"/>
  <c r="Q36" i="78"/>
  <c r="A32" i="85"/>
  <c r="N31" i="85"/>
  <c r="H90" i="75"/>
  <c r="I89" i="75"/>
  <c r="G15" i="1"/>
  <c r="A16" i="1"/>
  <c r="E16" i="1"/>
  <c r="A69" i="73"/>
  <c r="R68" i="73"/>
  <c r="A88" i="47"/>
  <c r="H87" i="47"/>
  <c r="A132" i="1"/>
  <c r="G131" i="1"/>
  <c r="A20" i="47"/>
  <c r="F21" i="47" s="1"/>
  <c r="H19" i="47"/>
  <c r="Q18" i="73"/>
  <c r="A90" i="1"/>
  <c r="G88" i="1"/>
  <c r="G111" i="80"/>
  <c r="A23" i="5"/>
  <c r="L22" i="5"/>
  <c r="H13" i="70"/>
  <c r="A14" i="70"/>
  <c r="A54" i="89"/>
  <c r="K53" i="89"/>
  <c r="A118" i="80"/>
  <c r="N117" i="80"/>
  <c r="F4" i="84"/>
  <c r="D125" i="1"/>
  <c r="A49" i="103"/>
  <c r="BH48" i="103"/>
  <c r="A25" i="92"/>
  <c r="I24" i="92"/>
  <c r="N25" i="105"/>
  <c r="A27" i="105"/>
  <c r="A108" i="1"/>
  <c r="G107" i="1"/>
  <c r="A22" i="80"/>
  <c r="N21" i="80"/>
  <c r="A60" i="83"/>
  <c r="K59" i="83"/>
  <c r="K25" i="86"/>
  <c r="A26" i="86"/>
  <c r="G25" i="92"/>
  <c r="F58" i="75"/>
  <c r="E59" i="75"/>
  <c r="A28" i="106"/>
  <c r="N26" i="106"/>
  <c r="Q83" i="77"/>
  <c r="A84" i="77"/>
  <c r="H144" i="80"/>
  <c r="J132" i="80"/>
  <c r="A21" i="104"/>
  <c r="BJ20" i="104"/>
  <c r="A118" i="77"/>
  <c r="Q117" i="77"/>
  <c r="A52" i="5"/>
  <c r="L51" i="5"/>
  <c r="R20" i="73"/>
  <c r="A21" i="73"/>
  <c r="A74" i="76"/>
  <c r="R73" i="76"/>
  <c r="A22" i="103"/>
  <c r="BH21" i="103"/>
  <c r="H68" i="47"/>
  <c r="A69" i="47"/>
  <c r="A51" i="104"/>
  <c r="BJ50" i="104"/>
  <c r="R46" i="76"/>
  <c r="A47" i="76"/>
  <c r="Q21" i="76"/>
  <c r="D17" i="90"/>
  <c r="D20" i="90"/>
  <c r="F15" i="90"/>
  <c r="A17" i="90"/>
  <c r="E94" i="75"/>
  <c r="F93" i="75"/>
  <c r="F20" i="75" s="1"/>
  <c r="H161" i="80"/>
  <c r="J149" i="80"/>
  <c r="A41" i="80"/>
  <c r="N40" i="80"/>
  <c r="E11" i="80"/>
  <c r="A86" i="80"/>
  <c r="N86" i="80" s="1"/>
  <c r="N83" i="80"/>
  <c r="E108" i="1"/>
  <c r="G50" i="1"/>
  <c r="A51" i="1"/>
  <c r="A22" i="76"/>
  <c r="R21" i="76"/>
  <c r="A44" i="92"/>
  <c r="I43" i="92"/>
  <c r="E20" i="75"/>
  <c r="A88" i="5"/>
  <c r="L87" i="5"/>
  <c r="A53" i="86"/>
  <c r="K52" i="86"/>
  <c r="E163" i="80"/>
  <c r="A20" i="79"/>
  <c r="J19" i="79"/>
  <c r="Q19" i="73"/>
  <c r="A45" i="73"/>
  <c r="R44" i="73"/>
  <c r="A59" i="85"/>
  <c r="N58" i="85"/>
  <c r="A96" i="75"/>
  <c r="J95" i="75"/>
  <c r="G54" i="89"/>
  <c r="H53" i="89"/>
  <c r="I53" i="89" s="1"/>
  <c r="J53" i="89" s="1"/>
  <c r="L114" i="5"/>
  <c r="A115" i="5"/>
  <c r="N12" i="85" l="1"/>
  <c r="A13" i="85"/>
  <c r="A54" i="86"/>
  <c r="K53" i="86"/>
  <c r="A53" i="5"/>
  <c r="L52" i="5"/>
  <c r="A27" i="86"/>
  <c r="K27" i="86" s="1"/>
  <c r="K26" i="86"/>
  <c r="A29" i="105"/>
  <c r="N27" i="105"/>
  <c r="A70" i="73"/>
  <c r="R69" i="73"/>
  <c r="A25" i="75"/>
  <c r="J24" i="75"/>
  <c r="H69" i="47"/>
  <c r="A70" i="47"/>
  <c r="A33" i="85"/>
  <c r="N32" i="85"/>
  <c r="N118" i="80"/>
  <c r="A119" i="80"/>
  <c r="A24" i="5"/>
  <c r="L23" i="5"/>
  <c r="H20" i="47"/>
  <c r="A21" i="47"/>
  <c r="A38" i="78"/>
  <c r="Q37" i="78"/>
  <c r="G58" i="83"/>
  <c r="BJ110" i="104"/>
  <c r="A111" i="104"/>
  <c r="BJ111" i="104" s="1"/>
  <c r="Q84" i="77"/>
  <c r="A85" i="77"/>
  <c r="Q27" i="69"/>
  <c r="A29" i="69"/>
  <c r="A52" i="1"/>
  <c r="G51" i="1"/>
  <c r="BH22" i="103"/>
  <c r="A23" i="103"/>
  <c r="BH23" i="103" s="1"/>
  <c r="A119" i="77"/>
  <c r="Q118" i="77"/>
  <c r="A30" i="106"/>
  <c r="N28" i="106"/>
  <c r="G110" i="80"/>
  <c r="H111" i="80"/>
  <c r="K132" i="80" s="1"/>
  <c r="K149" i="80" s="1"/>
  <c r="L149" i="80" s="1"/>
  <c r="M149" i="80" s="1"/>
  <c r="A19" i="1"/>
  <c r="G16" i="1"/>
  <c r="A21" i="78"/>
  <c r="Q21" i="78" s="1"/>
  <c r="Q19" i="78"/>
  <c r="R22" i="76"/>
  <c r="A23" i="76"/>
  <c r="A27" i="92"/>
  <c r="I25" i="92"/>
  <c r="F86" i="47"/>
  <c r="A133" i="1"/>
  <c r="G132" i="1"/>
  <c r="H54" i="75"/>
  <c r="H16" i="75"/>
  <c r="I53" i="75"/>
  <c r="I16" i="75" s="1"/>
  <c r="A16" i="68"/>
  <c r="G15" i="68"/>
  <c r="A116" i="5"/>
  <c r="L115" i="5"/>
  <c r="J161" i="80"/>
  <c r="K54" i="89"/>
  <c r="A55" i="89"/>
  <c r="E95" i="75"/>
  <c r="F94" i="75"/>
  <c r="F21" i="75" s="1"/>
  <c r="A75" i="76"/>
  <c r="R74" i="76"/>
  <c r="A22" i="104"/>
  <c r="BJ21" i="104"/>
  <c r="A17" i="70"/>
  <c r="H14" i="70"/>
  <c r="A49" i="47"/>
  <c r="H48" i="47"/>
  <c r="A66" i="75"/>
  <c r="J65" i="75"/>
  <c r="N140" i="80"/>
  <c r="A141" i="80"/>
  <c r="A110" i="1"/>
  <c r="F69" i="47"/>
  <c r="E118" i="1"/>
  <c r="G108" i="1"/>
  <c r="A43" i="80"/>
  <c r="N41" i="80"/>
  <c r="A46" i="73"/>
  <c r="R45" i="73"/>
  <c r="Q20" i="73"/>
  <c r="F59" i="75"/>
  <c r="E60" i="75"/>
  <c r="G55" i="89"/>
  <c r="H54" i="89"/>
  <c r="I54" i="89" s="1"/>
  <c r="J54" i="89" s="1"/>
  <c r="J20" i="79"/>
  <c r="A21" i="79"/>
  <c r="A45" i="92"/>
  <c r="I44" i="92"/>
  <c r="A22" i="73"/>
  <c r="R21" i="73"/>
  <c r="J144" i="80"/>
  <c r="J146" i="80" s="1"/>
  <c r="L146" i="80" s="1"/>
  <c r="M146" i="80" s="1"/>
  <c r="L132" i="80"/>
  <c r="M132" i="80" s="1"/>
  <c r="A23" i="80"/>
  <c r="N23" i="80" s="1"/>
  <c r="N22" i="80"/>
  <c r="A50" i="103"/>
  <c r="BH49" i="103"/>
  <c r="A91" i="1"/>
  <c r="E91" i="1"/>
  <c r="G90" i="1"/>
  <c r="H91" i="75"/>
  <c r="I90" i="75"/>
  <c r="A34" i="2"/>
  <c r="G32" i="2"/>
  <c r="E34" i="2"/>
  <c r="D49" i="82"/>
  <c r="D50" i="82" s="1"/>
  <c r="D14" i="82"/>
  <c r="D15" i="82" s="1"/>
  <c r="E18" i="82" s="1"/>
  <c r="E49" i="82"/>
  <c r="E50" i="82" s="1"/>
  <c r="H98" i="80"/>
  <c r="H99" i="80" s="1"/>
  <c r="H82" i="80"/>
  <c r="H83" i="80" s="1"/>
  <c r="E101" i="76"/>
  <c r="F101" i="76" s="1"/>
  <c r="E102" i="76"/>
  <c r="F102" i="76" s="1"/>
  <c r="I54" i="79"/>
  <c r="E14" i="82"/>
  <c r="E15" i="82" s="1"/>
  <c r="D38" i="77"/>
  <c r="E38" i="77" s="1"/>
  <c r="E101" i="73"/>
  <c r="F101" i="73" s="1"/>
  <c r="H63" i="80"/>
  <c r="H64" i="80" s="1"/>
  <c r="E100" i="73"/>
  <c r="F100" i="73" s="1"/>
  <c r="A60" i="85"/>
  <c r="N59" i="85"/>
  <c r="L88" i="5"/>
  <c r="A89" i="5"/>
  <c r="A48" i="76"/>
  <c r="R47" i="76"/>
  <c r="Q22" i="76"/>
  <c r="K60" i="83"/>
  <c r="A61" i="83"/>
  <c r="A97" i="75"/>
  <c r="J96" i="75"/>
  <c r="A20" i="90"/>
  <c r="F17" i="90"/>
  <c r="A52" i="104"/>
  <c r="BJ51" i="104"/>
  <c r="H163" i="80"/>
  <c r="H146" i="80"/>
  <c r="E21" i="75"/>
  <c r="E80" i="47"/>
  <c r="A89" i="47"/>
  <c r="H88" i="47"/>
  <c r="Q19" i="84"/>
  <c r="A20" i="84"/>
  <c r="F33" i="85"/>
  <c r="F34" i="85" s="1"/>
  <c r="D51" i="77"/>
  <c r="E51" i="77" s="1"/>
  <c r="H44" i="80"/>
  <c r="H45" i="80" s="1"/>
  <c r="E115" i="76"/>
  <c r="F115" i="76" s="1"/>
  <c r="E116" i="76"/>
  <c r="F116" i="76" s="1"/>
  <c r="E115" i="73"/>
  <c r="F115" i="73" s="1"/>
  <c r="D90" i="1"/>
  <c r="D91" i="1" s="1"/>
  <c r="E114" i="73"/>
  <c r="F114" i="73" s="1"/>
  <c r="E10" i="80"/>
  <c r="A67" i="80"/>
  <c r="N64" i="80"/>
  <c r="A26" i="89"/>
  <c r="K26" i="89" s="1"/>
  <c r="K25" i="89"/>
  <c r="A14" i="85" l="1"/>
  <c r="N13" i="85"/>
  <c r="H70" i="47"/>
  <c r="A71" i="47"/>
  <c r="H116" i="76"/>
  <c r="G116" i="76"/>
  <c r="A46" i="92"/>
  <c r="I45" i="92"/>
  <c r="F71" i="47"/>
  <c r="A50" i="47"/>
  <c r="F85" i="47" s="1"/>
  <c r="Q85" i="77"/>
  <c r="A86" i="77"/>
  <c r="A19" i="68"/>
  <c r="G16" i="68"/>
  <c r="A20" i="1"/>
  <c r="G19" i="1"/>
  <c r="F51" i="77"/>
  <c r="G51" i="77"/>
  <c r="D128" i="73"/>
  <c r="H101" i="73"/>
  <c r="G101" i="73"/>
  <c r="H92" i="75"/>
  <c r="I91" i="75"/>
  <c r="A47" i="73"/>
  <c r="R46" i="73"/>
  <c r="K55" i="89"/>
  <c r="A56" i="89"/>
  <c r="I27" i="92"/>
  <c r="A28" i="92"/>
  <c r="L24" i="5"/>
  <c r="B135" i="5"/>
  <c r="A25" i="5"/>
  <c r="L116" i="5"/>
  <c r="A117" i="5"/>
  <c r="A31" i="105"/>
  <c r="N29" i="105"/>
  <c r="A90" i="47"/>
  <c r="H89" i="47"/>
  <c r="G34" i="2"/>
  <c r="E149" i="1"/>
  <c r="A142" i="80"/>
  <c r="N141" i="80"/>
  <c r="H55" i="89"/>
  <c r="I55" i="89" s="1"/>
  <c r="J55" i="89" s="1"/>
  <c r="G56" i="89"/>
  <c r="A24" i="76"/>
  <c r="R23" i="76"/>
  <c r="H122" i="80"/>
  <c r="K143" i="80" s="1"/>
  <c r="H119" i="80"/>
  <c r="K140" i="80" s="1"/>
  <c r="H120" i="80"/>
  <c r="K141" i="80" s="1"/>
  <c r="H121" i="80"/>
  <c r="K142" i="80" s="1"/>
  <c r="H117" i="80"/>
  <c r="K138" i="80" s="1"/>
  <c r="H118" i="80"/>
  <c r="K139" i="80" s="1"/>
  <c r="H116" i="80"/>
  <c r="K137" i="80" s="1"/>
  <c r="H115" i="80"/>
  <c r="K136" i="80" s="1"/>
  <c r="H114" i="80"/>
  <c r="K135" i="80" s="1"/>
  <c r="H113" i="80"/>
  <c r="K134" i="80" s="1"/>
  <c r="H112" i="80"/>
  <c r="K133" i="80" s="1"/>
  <c r="G57" i="83"/>
  <c r="A120" i="80"/>
  <c r="N119" i="80"/>
  <c r="A26" i="75"/>
  <c r="J25" i="75"/>
  <c r="A54" i="5"/>
  <c r="L53" i="5"/>
  <c r="G101" i="76"/>
  <c r="F103" i="76"/>
  <c r="H101" i="76"/>
  <c r="D127" i="76"/>
  <c r="N33" i="85"/>
  <c r="A34" i="85"/>
  <c r="F102" i="73"/>
  <c r="H100" i="73"/>
  <c r="G100" i="73"/>
  <c r="D127" i="73"/>
  <c r="D129" i="73" s="1"/>
  <c r="E8" i="47" s="1"/>
  <c r="E10" i="47" s="1"/>
  <c r="E133" i="1"/>
  <c r="A112" i="1"/>
  <c r="G110" i="1"/>
  <c r="E96" i="75"/>
  <c r="F95" i="75"/>
  <c r="F22" i="75" s="1"/>
  <c r="F20" i="90"/>
  <c r="A21" i="90"/>
  <c r="E22" i="75"/>
  <c r="I45" i="80"/>
  <c r="E48" i="80"/>
  <c r="N43" i="80"/>
  <c r="A44" i="80"/>
  <c r="J66" i="75"/>
  <c r="A67" i="75"/>
  <c r="A23" i="104"/>
  <c r="BJ23" i="104" s="1"/>
  <c r="BJ22" i="104"/>
  <c r="H55" i="75"/>
  <c r="H17" i="75"/>
  <c r="I54" i="75"/>
  <c r="I17" i="75" s="1"/>
  <c r="F42" i="47"/>
  <c r="A55" i="1"/>
  <c r="G52" i="1"/>
  <c r="A61" i="85"/>
  <c r="N60" i="85"/>
  <c r="A51" i="103"/>
  <c r="BH50" i="103"/>
  <c r="A120" i="77"/>
  <c r="Q119" i="77"/>
  <c r="A68" i="80"/>
  <c r="N67" i="80"/>
  <c r="A53" i="104"/>
  <c r="BJ52" i="104"/>
  <c r="G38" i="77"/>
  <c r="E61" i="77" s="1"/>
  <c r="E39" i="92" s="1"/>
  <c r="F38" i="77"/>
  <c r="D61" i="77" s="1"/>
  <c r="D39" i="92" s="1"/>
  <c r="C61" i="77"/>
  <c r="D128" i="1" s="1"/>
  <c r="A90" i="5"/>
  <c r="L89" i="5"/>
  <c r="E52" i="82"/>
  <c r="Q20" i="84"/>
  <c r="A21" i="84"/>
  <c r="I57" i="79"/>
  <c r="I60" i="79"/>
  <c r="A93" i="1"/>
  <c r="G91" i="1"/>
  <c r="E93" i="1"/>
  <c r="A23" i="73"/>
  <c r="R22" i="73"/>
  <c r="E23" i="75"/>
  <c r="F60" i="75"/>
  <c r="E61" i="75"/>
  <c r="F50" i="47"/>
  <c r="N30" i="106"/>
  <c r="A32" i="106"/>
  <c r="A31" i="69"/>
  <c r="Q29" i="69"/>
  <c r="G34" i="85"/>
  <c r="A71" i="73"/>
  <c r="R70" i="73"/>
  <c r="K54" i="86"/>
  <c r="A55" i="86"/>
  <c r="K61" i="83"/>
  <c r="A62" i="83"/>
  <c r="H21" i="47"/>
  <c r="A23" i="47"/>
  <c r="F117" i="76"/>
  <c r="H115" i="76"/>
  <c r="H117" i="76" s="1"/>
  <c r="G115" i="76"/>
  <c r="G117" i="76" s="1"/>
  <c r="J21" i="79"/>
  <c r="A22" i="79"/>
  <c r="H17" i="70"/>
  <c r="A18" i="70"/>
  <c r="R48" i="76"/>
  <c r="Q23" i="76"/>
  <c r="A49" i="76"/>
  <c r="H114" i="73"/>
  <c r="H116" i="73" s="1"/>
  <c r="G114" i="73"/>
  <c r="F116" i="73"/>
  <c r="H115" i="73"/>
  <c r="G115" i="73"/>
  <c r="A98" i="75"/>
  <c r="J97" i="75"/>
  <c r="H102" i="76"/>
  <c r="F128" i="76" s="1"/>
  <c r="E24" i="92" s="1"/>
  <c r="E25" i="92" s="1"/>
  <c r="G102" i="76"/>
  <c r="E128" i="76" s="1"/>
  <c r="D24" i="92" s="1"/>
  <c r="D128" i="76"/>
  <c r="A76" i="76"/>
  <c r="R75" i="76"/>
  <c r="A134" i="1"/>
  <c r="G133" i="1"/>
  <c r="A39" i="78"/>
  <c r="Q38" i="78"/>
  <c r="A15" i="85" l="1"/>
  <c r="N14" i="85"/>
  <c r="E62" i="75"/>
  <c r="F61" i="75"/>
  <c r="F127" i="76"/>
  <c r="F129" i="76" s="1"/>
  <c r="H103" i="76"/>
  <c r="A121" i="80"/>
  <c r="N120" i="80"/>
  <c r="G57" i="89"/>
  <c r="H56" i="89"/>
  <c r="I56" i="89" s="1"/>
  <c r="J56" i="89" s="1"/>
  <c r="A29" i="92"/>
  <c r="I28" i="92"/>
  <c r="H93" i="75"/>
  <c r="I92" i="75"/>
  <c r="A21" i="1"/>
  <c r="G20" i="1"/>
  <c r="A77" i="76"/>
  <c r="R77" i="76" s="1"/>
  <c r="R76" i="76"/>
  <c r="H18" i="70"/>
  <c r="A19" i="70"/>
  <c r="A69" i="80"/>
  <c r="N69" i="80" s="1"/>
  <c r="N68" i="80"/>
  <c r="G55" i="1"/>
  <c r="A56" i="1"/>
  <c r="E63" i="1"/>
  <c r="D23" i="90"/>
  <c r="A23" i="90"/>
  <c r="F21" i="90"/>
  <c r="D24" i="90"/>
  <c r="K155" i="80"/>
  <c r="L155" i="80" s="1"/>
  <c r="L138" i="80"/>
  <c r="E128" i="73"/>
  <c r="D12" i="92" s="1"/>
  <c r="K156" i="80"/>
  <c r="L156" i="80" s="1"/>
  <c r="L139" i="80"/>
  <c r="A91" i="47"/>
  <c r="H90" i="47"/>
  <c r="F91" i="47"/>
  <c r="A72" i="73"/>
  <c r="R71" i="73"/>
  <c r="H23" i="47"/>
  <c r="F25" i="47"/>
  <c r="A26" i="47"/>
  <c r="A91" i="5"/>
  <c r="L90" i="5"/>
  <c r="A68" i="75"/>
  <c r="J67" i="75"/>
  <c r="G102" i="73"/>
  <c r="E127" i="73"/>
  <c r="E129" i="73" s="1"/>
  <c r="E127" i="76"/>
  <c r="E129" i="76" s="1"/>
  <c r="G103" i="76"/>
  <c r="G56" i="83"/>
  <c r="K159" i="80"/>
  <c r="L159" i="80" s="1"/>
  <c r="L142" i="80"/>
  <c r="A33" i="105"/>
  <c r="N31" i="105"/>
  <c r="K56" i="89"/>
  <c r="A57" i="89"/>
  <c r="F128" i="73"/>
  <c r="E12" i="92" s="1"/>
  <c r="E14" i="92" s="1"/>
  <c r="A20" i="68"/>
  <c r="G19" i="68"/>
  <c r="A47" i="92"/>
  <c r="I46" i="92"/>
  <c r="E83" i="47"/>
  <c r="D15" i="2"/>
  <c r="H102" i="73"/>
  <c r="F127" i="73"/>
  <c r="F129" i="73" s="1"/>
  <c r="K150" i="80"/>
  <c r="L150" i="80" s="1"/>
  <c r="M150" i="80" s="1"/>
  <c r="L133" i="80"/>
  <c r="M133" i="80" s="1"/>
  <c r="K158" i="80"/>
  <c r="L158" i="80" s="1"/>
  <c r="L141" i="80"/>
  <c r="A118" i="5"/>
  <c r="L117" i="5"/>
  <c r="D8" i="1"/>
  <c r="D10" i="1" s="1"/>
  <c r="C31" i="90"/>
  <c r="C27" i="90"/>
  <c r="C29" i="90" s="1"/>
  <c r="E132" i="1"/>
  <c r="G93" i="1"/>
  <c r="D20" i="1"/>
  <c r="D21" i="1" s="1"/>
  <c r="C60" i="90"/>
  <c r="A121" i="77"/>
  <c r="Q120" i="77"/>
  <c r="F24" i="92"/>
  <c r="F25" i="92" s="1"/>
  <c r="D25" i="92"/>
  <c r="G116" i="73"/>
  <c r="A23" i="79"/>
  <c r="J22" i="79"/>
  <c r="A63" i="83"/>
  <c r="K62" i="83"/>
  <c r="Q31" i="69"/>
  <c r="A33" i="69"/>
  <c r="F39" i="92"/>
  <c r="A45" i="80"/>
  <c r="N44" i="80"/>
  <c r="E97" i="75"/>
  <c r="F96" i="75"/>
  <c r="F23" i="75" s="1"/>
  <c r="A55" i="5"/>
  <c r="L54" i="5"/>
  <c r="K151" i="80"/>
  <c r="L151" i="80" s="1"/>
  <c r="L134" i="80"/>
  <c r="M134" i="80" s="1"/>
  <c r="K157" i="80"/>
  <c r="L157" i="80" s="1"/>
  <c r="L140" i="80"/>
  <c r="A143" i="80"/>
  <c r="N142" i="80"/>
  <c r="A40" i="78"/>
  <c r="Q39" i="78"/>
  <c r="A34" i="106"/>
  <c r="N32" i="106"/>
  <c r="A24" i="73"/>
  <c r="R23" i="73"/>
  <c r="A22" i="84"/>
  <c r="Q21" i="84"/>
  <c r="A52" i="103"/>
  <c r="BH51" i="103"/>
  <c r="A35" i="85"/>
  <c r="N34" i="85"/>
  <c r="K152" i="80"/>
  <c r="L152" i="80" s="1"/>
  <c r="L135" i="80"/>
  <c r="M135" i="80" s="1"/>
  <c r="K160" i="80"/>
  <c r="L160" i="80" s="1"/>
  <c r="L143" i="80"/>
  <c r="A27" i="5"/>
  <c r="L25" i="5"/>
  <c r="A48" i="73"/>
  <c r="R47" i="73"/>
  <c r="Q86" i="77"/>
  <c r="A87" i="77"/>
  <c r="Q87" i="77" s="1"/>
  <c r="Q98" i="77" s="1"/>
  <c r="A27" i="75"/>
  <c r="J26" i="75"/>
  <c r="K153" i="80"/>
  <c r="L153" i="80" s="1"/>
  <c r="L136" i="80"/>
  <c r="Q21" i="73"/>
  <c r="E21" i="1"/>
  <c r="A50" i="76"/>
  <c r="R49" i="76"/>
  <c r="Q24" i="76"/>
  <c r="A56" i="86"/>
  <c r="K55" i="86"/>
  <c r="F88" i="47"/>
  <c r="G134" i="1"/>
  <c r="A135" i="1"/>
  <c r="A99" i="75"/>
  <c r="J98" i="75"/>
  <c r="A54" i="104"/>
  <c r="BJ53" i="104"/>
  <c r="N61" i="85"/>
  <c r="A62" i="85"/>
  <c r="H56" i="75"/>
  <c r="H18" i="75"/>
  <c r="I55" i="75"/>
  <c r="I18" i="75" s="1"/>
  <c r="A115" i="1"/>
  <c r="G112" i="1"/>
  <c r="E110" i="1"/>
  <c r="D129" i="76"/>
  <c r="E20" i="47" s="1"/>
  <c r="E21" i="47" s="1"/>
  <c r="K154" i="80"/>
  <c r="L154" i="80" s="1"/>
  <c r="L137" i="80"/>
  <c r="A25" i="76"/>
  <c r="R24" i="76"/>
  <c r="N15" i="85" l="1"/>
  <c r="A16" i="85"/>
  <c r="A73" i="73"/>
  <c r="R72" i="73"/>
  <c r="A122" i="77"/>
  <c r="Q122" i="77" s="1"/>
  <c r="Q121" i="77"/>
  <c r="C33" i="90"/>
  <c r="C62" i="90"/>
  <c r="C64" i="90" s="1"/>
  <c r="D79" i="1" s="1"/>
  <c r="D80" i="1" s="1"/>
  <c r="D93" i="1" s="1"/>
  <c r="D132" i="1" s="1"/>
  <c r="E86" i="47" s="1"/>
  <c r="G55" i="83"/>
  <c r="H56" i="83"/>
  <c r="I56" i="83" s="1"/>
  <c r="J56" i="83" s="1"/>
  <c r="C95" i="5"/>
  <c r="L91" i="5"/>
  <c r="B72" i="5"/>
  <c r="L27" i="5"/>
  <c r="B7" i="5"/>
  <c r="A28" i="75"/>
  <c r="J27" i="75"/>
  <c r="A23" i="84"/>
  <c r="Q22" i="84"/>
  <c r="A64" i="83"/>
  <c r="K63" i="83"/>
  <c r="A58" i="89"/>
  <c r="K57" i="89"/>
  <c r="A27" i="47"/>
  <c r="H26" i="47"/>
  <c r="H94" i="75"/>
  <c r="I93" i="75"/>
  <c r="A53" i="103"/>
  <c r="BH52" i="103"/>
  <c r="A94" i="47"/>
  <c r="H91" i="47"/>
  <c r="A20" i="70"/>
  <c r="H19" i="70"/>
  <c r="F24" i="75"/>
  <c r="A41" i="78"/>
  <c r="Q40" i="78"/>
  <c r="A122" i="80"/>
  <c r="N121" i="80"/>
  <c r="BJ54" i="104"/>
  <c r="A55" i="104"/>
  <c r="R50" i="76"/>
  <c r="Q25" i="76"/>
  <c r="A51" i="76"/>
  <c r="A136" i="1"/>
  <c r="G135" i="1"/>
  <c r="F89" i="47"/>
  <c r="Q22" i="73"/>
  <c r="M152" i="80"/>
  <c r="R24" i="73"/>
  <c r="A25" i="73"/>
  <c r="R25" i="73" s="1"/>
  <c r="A24" i="79"/>
  <c r="J23" i="79"/>
  <c r="L118" i="5"/>
  <c r="A119" i="5"/>
  <c r="A24" i="90"/>
  <c r="F23" i="90"/>
  <c r="A30" i="92"/>
  <c r="I29" i="92"/>
  <c r="G63" i="80"/>
  <c r="G64" i="80" s="1"/>
  <c r="D64" i="80" s="1"/>
  <c r="D10" i="80" s="1"/>
  <c r="E24" i="82"/>
  <c r="G54" i="79"/>
  <c r="G98" i="80"/>
  <c r="G99" i="80" s="1"/>
  <c r="D99" i="80" s="1"/>
  <c r="D12" i="80" s="1"/>
  <c r="G82" i="80"/>
  <c r="G83" i="80" s="1"/>
  <c r="D83" i="80" s="1"/>
  <c r="D11" i="80" s="1"/>
  <c r="C56" i="90"/>
  <c r="A23" i="1"/>
  <c r="G21" i="1"/>
  <c r="G115" i="1"/>
  <c r="A116" i="1"/>
  <c r="E98" i="75"/>
  <c r="E25" i="75" s="1"/>
  <c r="F97" i="75"/>
  <c r="A100" i="75"/>
  <c r="J99" i="75"/>
  <c r="R25" i="76"/>
  <c r="A26" i="76"/>
  <c r="H57" i="75"/>
  <c r="H19" i="75"/>
  <c r="I56" i="75"/>
  <c r="I19" i="75" s="1"/>
  <c r="A35" i="105"/>
  <c r="N33" i="105"/>
  <c r="E24" i="75"/>
  <c r="A63" i="85"/>
  <c r="N62" i="85"/>
  <c r="M136" i="80"/>
  <c r="A49" i="73"/>
  <c r="R48" i="73"/>
  <c r="Q23" i="73"/>
  <c r="N35" i="85"/>
  <c r="A36" i="85"/>
  <c r="A36" i="106"/>
  <c r="N34" i="106"/>
  <c r="M151" i="80"/>
  <c r="G48" i="92"/>
  <c r="I47" i="92"/>
  <c r="A48" i="92"/>
  <c r="F12" i="92"/>
  <c r="F14" i="92" s="1"/>
  <c r="D14" i="92"/>
  <c r="G58" i="89"/>
  <c r="H58" i="89" s="1"/>
  <c r="I58" i="89" s="1"/>
  <c r="H57" i="89"/>
  <c r="I57" i="89" s="1"/>
  <c r="J57" i="89" s="1"/>
  <c r="J58" i="89" s="1"/>
  <c r="J60" i="89" s="1"/>
  <c r="E9" i="89" s="1"/>
  <c r="E63" i="75"/>
  <c r="F62" i="75"/>
  <c r="K56" i="86"/>
  <c r="A57" i="86"/>
  <c r="A56" i="5"/>
  <c r="L55" i="5"/>
  <c r="A21" i="68"/>
  <c r="G20" i="68"/>
  <c r="N143" i="80"/>
  <c r="A144" i="80"/>
  <c r="M137" i="80"/>
  <c r="E9" i="80"/>
  <c r="A48" i="80"/>
  <c r="N48" i="80" s="1"/>
  <c r="N45" i="80"/>
  <c r="M153" i="80"/>
  <c r="M154" i="80" s="1"/>
  <c r="M155" i="80" s="1"/>
  <c r="M156" i="80" s="1"/>
  <c r="M157" i="80" s="1"/>
  <c r="M158" i="80" s="1"/>
  <c r="M159" i="80" s="1"/>
  <c r="M160" i="80" s="1"/>
  <c r="M163" i="80" s="1"/>
  <c r="M164" i="80" s="1"/>
  <c r="D27" i="2" s="1"/>
  <c r="Q33" i="69"/>
  <c r="A35" i="69"/>
  <c r="A69" i="75"/>
  <c r="J68" i="75"/>
  <c r="M138" i="80"/>
  <c r="M139" i="80" s="1"/>
  <c r="M140" i="80" s="1"/>
  <c r="M141" i="80" s="1"/>
  <c r="M142" i="80" s="1"/>
  <c r="M143" i="80" s="1"/>
  <c r="G56" i="1"/>
  <c r="A58" i="1"/>
  <c r="E64" i="1"/>
  <c r="N16" i="85" l="1"/>
  <c r="A17" i="85"/>
  <c r="E36" i="89"/>
  <c r="E22" i="89"/>
  <c r="E17" i="89" s="1"/>
  <c r="E38" i="89" s="1"/>
  <c r="E108" i="47" s="1"/>
  <c r="A59" i="89"/>
  <c r="K58" i="89"/>
  <c r="A38" i="106"/>
  <c r="N36" i="106"/>
  <c r="A59" i="1"/>
  <c r="G58" i="1"/>
  <c r="E65" i="1"/>
  <c r="F63" i="75"/>
  <c r="E64" i="75"/>
  <c r="E26" i="75"/>
  <c r="A37" i="85"/>
  <c r="N36" i="85"/>
  <c r="H58" i="75"/>
  <c r="H20" i="75"/>
  <c r="I57" i="75"/>
  <c r="I20" i="75" s="1"/>
  <c r="A117" i="1"/>
  <c r="G116" i="1"/>
  <c r="G57" i="79"/>
  <c r="G60" i="79"/>
  <c r="F36" i="85"/>
  <c r="F38" i="85" s="1"/>
  <c r="G44" i="80"/>
  <c r="G45" i="80" s="1"/>
  <c r="D45" i="80" s="1"/>
  <c r="D9" i="80" s="1"/>
  <c r="D13" i="80" s="1"/>
  <c r="C57" i="90"/>
  <c r="F41" i="85" s="1"/>
  <c r="F42" i="85" s="1"/>
  <c r="A42" i="78"/>
  <c r="Q41" i="78"/>
  <c r="A27" i="76"/>
  <c r="R27" i="76" s="1"/>
  <c r="R26" i="76"/>
  <c r="E25" i="82"/>
  <c r="D24" i="82"/>
  <c r="D25" i="82" s="1"/>
  <c r="E27" i="82" s="1"/>
  <c r="E5" i="82" s="1"/>
  <c r="E27" i="47" s="1"/>
  <c r="A120" i="5"/>
  <c r="L120" i="5" s="1"/>
  <c r="L119" i="5"/>
  <c r="B134" i="5"/>
  <c r="A56" i="104"/>
  <c r="BJ55" i="104"/>
  <c r="A21" i="70"/>
  <c r="H20" i="70"/>
  <c r="G22" i="70"/>
  <c r="BH53" i="103"/>
  <c r="A54" i="103"/>
  <c r="A29" i="75"/>
  <c r="J28" i="75"/>
  <c r="K64" i="83"/>
  <c r="A65" i="83"/>
  <c r="H95" i="75"/>
  <c r="I94" i="75"/>
  <c r="A37" i="69"/>
  <c r="Q35" i="69"/>
  <c r="N63" i="85"/>
  <c r="A64" i="85"/>
  <c r="A22" i="68"/>
  <c r="G21" i="68"/>
  <c r="A57" i="5"/>
  <c r="L56" i="5"/>
  <c r="A58" i="86"/>
  <c r="K57" i="86"/>
  <c r="A50" i="73"/>
  <c r="R50" i="73" s="1"/>
  <c r="R49" i="73"/>
  <c r="A37" i="105"/>
  <c r="N35" i="105"/>
  <c r="A101" i="75"/>
  <c r="J100" i="75"/>
  <c r="A26" i="1"/>
  <c r="E25" i="1"/>
  <c r="G23" i="1"/>
  <c r="I30" i="92"/>
  <c r="A32" i="92"/>
  <c r="I32" i="92" s="1"/>
  <c r="G32" i="92"/>
  <c r="J24" i="79"/>
  <c r="A25" i="79"/>
  <c r="F90" i="47"/>
  <c r="A137" i="1"/>
  <c r="G136" i="1"/>
  <c r="E137" i="1"/>
  <c r="A123" i="80"/>
  <c r="N122" i="80"/>
  <c r="A95" i="47"/>
  <c r="H94" i="47"/>
  <c r="A24" i="84"/>
  <c r="Q23" i="84"/>
  <c r="A74" i="73"/>
  <c r="R73" i="73"/>
  <c r="E99" i="75"/>
  <c r="F98" i="75"/>
  <c r="F25" i="75" s="1"/>
  <c r="A50" i="92"/>
  <c r="I48" i="92"/>
  <c r="A27" i="90"/>
  <c r="F24" i="90"/>
  <c r="F14" i="82"/>
  <c r="F49" i="82"/>
  <c r="A70" i="75"/>
  <c r="J69" i="75"/>
  <c r="A146" i="80"/>
  <c r="N144" i="80"/>
  <c r="E40" i="82"/>
  <c r="E41" i="82" s="1"/>
  <c r="D40" i="82"/>
  <c r="D41" i="82" s="1"/>
  <c r="E43" i="82" s="1"/>
  <c r="H54" i="79"/>
  <c r="Q26" i="76"/>
  <c r="A52" i="76"/>
  <c r="R52" i="76" s="1"/>
  <c r="R51" i="76"/>
  <c r="A28" i="47"/>
  <c r="H27" i="47"/>
  <c r="H67" i="83"/>
  <c r="I67" i="83" s="1"/>
  <c r="H65" i="83"/>
  <c r="I65" i="83" s="1"/>
  <c r="H66" i="83"/>
  <c r="I66" i="83" s="1"/>
  <c r="H64" i="83"/>
  <c r="I64" i="83" s="1"/>
  <c r="H63" i="83"/>
  <c r="I63" i="83" s="1"/>
  <c r="H62" i="83"/>
  <c r="I62" i="83" s="1"/>
  <c r="H61" i="83"/>
  <c r="I61" i="83" s="1"/>
  <c r="H60" i="83"/>
  <c r="I60" i="83" s="1"/>
  <c r="H59" i="83"/>
  <c r="I59" i="83" s="1"/>
  <c r="H58" i="83"/>
  <c r="I58" i="83" s="1"/>
  <c r="H57" i="83"/>
  <c r="I57" i="83" s="1"/>
  <c r="J57" i="83" s="1"/>
  <c r="J58" i="83" s="1"/>
  <c r="J59" i="83" s="1"/>
  <c r="J60" i="83" s="1"/>
  <c r="J61" i="83" s="1"/>
  <c r="J62" i="83" s="1"/>
  <c r="J63" i="83" s="1"/>
  <c r="J64" i="83" s="1"/>
  <c r="J65" i="83" s="1"/>
  <c r="J66" i="83" s="1"/>
  <c r="J67" i="83" s="1"/>
  <c r="J69" i="83" s="1"/>
  <c r="C48" i="83" s="1"/>
  <c r="E24" i="47" s="1"/>
  <c r="N17" i="85" l="1"/>
  <c r="A18" i="85"/>
  <c r="G22" i="68"/>
  <c r="A25" i="68"/>
  <c r="E6" i="82"/>
  <c r="D27" i="1" s="1"/>
  <c r="F60" i="79"/>
  <c r="A38" i="85"/>
  <c r="N37" i="85"/>
  <c r="A60" i="1"/>
  <c r="G59" i="1"/>
  <c r="A71" i="75"/>
  <c r="J70" i="75"/>
  <c r="A52" i="92"/>
  <c r="I50" i="92"/>
  <c r="E14" i="2"/>
  <c r="A140" i="1"/>
  <c r="G137" i="1"/>
  <c r="A65" i="85"/>
  <c r="N65" i="85" s="1"/>
  <c r="N64" i="85"/>
  <c r="A66" i="83"/>
  <c r="K65" i="83"/>
  <c r="H21" i="70"/>
  <c r="A22" i="70"/>
  <c r="R74" i="73"/>
  <c r="A75" i="73"/>
  <c r="R75" i="73" s="1"/>
  <c r="A25" i="84"/>
  <c r="Q24" i="84"/>
  <c r="N38" i="106"/>
  <c r="A40" i="106"/>
  <c r="H57" i="79"/>
  <c r="F57" i="79" s="1"/>
  <c r="E14" i="47" s="1"/>
  <c r="H60" i="79"/>
  <c r="E100" i="75"/>
  <c r="F99" i="75"/>
  <c r="A26" i="79"/>
  <c r="J26" i="79" s="1"/>
  <c r="J25" i="79"/>
  <c r="A57" i="104"/>
  <c r="BJ56" i="104"/>
  <c r="G117" i="1"/>
  <c r="A118" i="1"/>
  <c r="A149" i="80"/>
  <c r="N146" i="80"/>
  <c r="A27" i="1"/>
  <c r="G26" i="1"/>
  <c r="A96" i="47"/>
  <c r="H95" i="47"/>
  <c r="A102" i="75"/>
  <c r="J101" i="75"/>
  <c r="K58" i="86"/>
  <c r="A59" i="86"/>
  <c r="A39" i="69"/>
  <c r="Q39" i="69" s="1"/>
  <c r="Q37" i="69"/>
  <c r="A30" i="75"/>
  <c r="J29" i="75"/>
  <c r="A43" i="78"/>
  <c r="Q42" i="78"/>
  <c r="F64" i="75"/>
  <c r="E65" i="75"/>
  <c r="E27" i="75"/>
  <c r="A60" i="89"/>
  <c r="K59" i="89"/>
  <c r="A30" i="47"/>
  <c r="H28" i="47"/>
  <c r="F30" i="47"/>
  <c r="F44" i="85"/>
  <c r="F46" i="85" s="1"/>
  <c r="D126" i="1" s="1"/>
  <c r="F26" i="75"/>
  <c r="Q24" i="73"/>
  <c r="F27" i="90"/>
  <c r="A28" i="90"/>
  <c r="BH54" i="103"/>
  <c r="A55" i="103"/>
  <c r="F96" i="47"/>
  <c r="A124" i="80"/>
  <c r="N123" i="80"/>
  <c r="A39" i="105"/>
  <c r="N37" i="105"/>
  <c r="A58" i="5"/>
  <c r="L57" i="5"/>
  <c r="H96" i="75"/>
  <c r="I95" i="75"/>
  <c r="D120" i="80"/>
  <c r="I120" i="80" s="1"/>
  <c r="D112" i="80"/>
  <c r="I112" i="80" s="1"/>
  <c r="D116" i="80"/>
  <c r="I116" i="80" s="1"/>
  <c r="D115" i="80"/>
  <c r="I115" i="80" s="1"/>
  <c r="D122" i="80"/>
  <c r="I122" i="80" s="1"/>
  <c r="D118" i="80"/>
  <c r="I118" i="80" s="1"/>
  <c r="D119" i="80"/>
  <c r="I119" i="80" s="1"/>
  <c r="E123" i="80"/>
  <c r="D113" i="80"/>
  <c r="I113" i="80" s="1"/>
  <c r="D117" i="80"/>
  <c r="I117" i="80" s="1"/>
  <c r="D114" i="80"/>
  <c r="I114" i="80" s="1"/>
  <c r="D121" i="80"/>
  <c r="I121" i="80" s="1"/>
  <c r="D111" i="80"/>
  <c r="D23" i="1"/>
  <c r="D25" i="1" s="1"/>
  <c r="H59" i="75"/>
  <c r="H21" i="75"/>
  <c r="I58" i="75"/>
  <c r="I21" i="75" s="1"/>
  <c r="N18" i="85" l="1"/>
  <c r="A19" i="85"/>
  <c r="A42" i="106"/>
  <c r="N40" i="106"/>
  <c r="G24" i="70"/>
  <c r="A24" i="70"/>
  <c r="H24" i="70" s="1"/>
  <c r="H22" i="70"/>
  <c r="F94" i="47"/>
  <c r="A141" i="1"/>
  <c r="E30" i="2"/>
  <c r="G140" i="1"/>
  <c r="G60" i="1"/>
  <c r="A63" i="1"/>
  <c r="E69" i="1"/>
  <c r="A31" i="75"/>
  <c r="J30" i="75"/>
  <c r="G27" i="1"/>
  <c r="A28" i="1"/>
  <c r="E81" i="47"/>
  <c r="D15" i="1"/>
  <c r="A39" i="85"/>
  <c r="N38" i="85"/>
  <c r="A58" i="104"/>
  <c r="BJ57" i="104"/>
  <c r="H97" i="75"/>
  <c r="I96" i="75"/>
  <c r="D16" i="2"/>
  <c r="F65" i="75"/>
  <c r="E28" i="75"/>
  <c r="E66" i="75"/>
  <c r="N149" i="80"/>
  <c r="A150" i="80"/>
  <c r="E101" i="75"/>
  <c r="F100" i="75"/>
  <c r="F27" i="75" s="1"/>
  <c r="A67" i="83"/>
  <c r="K66" i="83"/>
  <c r="D14" i="1"/>
  <c r="N124" i="80"/>
  <c r="E21" i="80"/>
  <c r="A98" i="47"/>
  <c r="H96" i="47"/>
  <c r="F98" i="47"/>
  <c r="A60" i="86"/>
  <c r="K59" i="86"/>
  <c r="I111" i="80"/>
  <c r="J111" i="80" s="1"/>
  <c r="J112" i="80" s="1"/>
  <c r="J113" i="80" s="1"/>
  <c r="J114" i="80" s="1"/>
  <c r="J115" i="80" s="1"/>
  <c r="J116" i="80" s="1"/>
  <c r="J117" i="80" s="1"/>
  <c r="J118" i="80" s="1"/>
  <c r="J119" i="80" s="1"/>
  <c r="J120" i="80" s="1"/>
  <c r="J121" i="80" s="1"/>
  <c r="J122" i="80" s="1"/>
  <c r="J124" i="80" s="1"/>
  <c r="D21" i="80" s="1"/>
  <c r="D23" i="80" s="1"/>
  <c r="E23" i="47" s="1"/>
  <c r="E25" i="47" s="1"/>
  <c r="E111" i="80"/>
  <c r="E112" i="80" s="1"/>
  <c r="E113" i="80" s="1"/>
  <c r="E114" i="80" s="1"/>
  <c r="E115" i="80" s="1"/>
  <c r="E116" i="80" s="1"/>
  <c r="E117" i="80" s="1"/>
  <c r="E118" i="80" s="1"/>
  <c r="E119" i="80" s="1"/>
  <c r="E120" i="80" s="1"/>
  <c r="E121" i="80" s="1"/>
  <c r="E122" i="80" s="1"/>
  <c r="A119" i="1"/>
  <c r="G118" i="1"/>
  <c r="I52" i="92"/>
  <c r="A53" i="92"/>
  <c r="F9" i="89"/>
  <c r="K60" i="89"/>
  <c r="N39" i="105"/>
  <c r="A41" i="105"/>
  <c r="F66" i="47"/>
  <c r="H30" i="47"/>
  <c r="F48" i="47"/>
  <c r="A44" i="78"/>
  <c r="Q43" i="78"/>
  <c r="A103" i="75"/>
  <c r="J102" i="75"/>
  <c r="A26" i="68"/>
  <c r="G25" i="68"/>
  <c r="H22" i="75"/>
  <c r="H60" i="75"/>
  <c r="I59" i="75"/>
  <c r="I22" i="75" s="1"/>
  <c r="A56" i="103"/>
  <c r="BH55" i="103"/>
  <c r="A59" i="5"/>
  <c r="L58" i="5"/>
  <c r="A29" i="90"/>
  <c r="F28" i="90"/>
  <c r="D29" i="90"/>
  <c r="A26" i="84"/>
  <c r="Q25" i="84"/>
  <c r="A72" i="75"/>
  <c r="J71" i="75"/>
  <c r="N19" i="85" l="1"/>
  <c r="A20" i="85"/>
  <c r="A60" i="5"/>
  <c r="L59" i="5"/>
  <c r="A59" i="104"/>
  <c r="BJ58" i="104"/>
  <c r="A57" i="103"/>
  <c r="BH56" i="103"/>
  <c r="A104" i="75"/>
  <c r="J103" i="75"/>
  <c r="A32" i="75"/>
  <c r="J31" i="75"/>
  <c r="H23" i="75"/>
  <c r="H61" i="75"/>
  <c r="I60" i="75"/>
  <c r="I23" i="75" s="1"/>
  <c r="A45" i="78"/>
  <c r="Q44" i="78"/>
  <c r="D16" i="1"/>
  <c r="D30" i="1" s="1"/>
  <c r="A101" i="47"/>
  <c r="H98" i="47"/>
  <c r="A151" i="80"/>
  <c r="N150" i="80"/>
  <c r="A64" i="1"/>
  <c r="G63" i="1"/>
  <c r="A43" i="105"/>
  <c r="N41" i="105"/>
  <c r="A30" i="1"/>
  <c r="G28" i="1"/>
  <c r="E30" i="1"/>
  <c r="G119" i="1"/>
  <c r="A120" i="1"/>
  <c r="G120" i="1" s="1"/>
  <c r="A61" i="86"/>
  <c r="K60" i="86"/>
  <c r="A31" i="90"/>
  <c r="F29" i="90"/>
  <c r="F24" i="82"/>
  <c r="D56" i="90"/>
  <c r="A55" i="92"/>
  <c r="I53" i="92"/>
  <c r="G55" i="92"/>
  <c r="E15" i="47"/>
  <c r="E16" i="47" s="1"/>
  <c r="E30" i="47" s="1"/>
  <c r="E102" i="75"/>
  <c r="F101" i="75"/>
  <c r="F28" i="75" s="1"/>
  <c r="G141" i="1"/>
  <c r="F95" i="47"/>
  <c r="E31" i="2"/>
  <c r="A142" i="1"/>
  <c r="A27" i="84"/>
  <c r="Q26" i="84"/>
  <c r="A40" i="85"/>
  <c r="N39" i="85"/>
  <c r="J72" i="75"/>
  <c r="A73" i="75"/>
  <c r="G26" i="68"/>
  <c r="A27" i="68"/>
  <c r="A68" i="83"/>
  <c r="K67" i="83"/>
  <c r="E29" i="75"/>
  <c r="F66" i="75"/>
  <c r="E67" i="75"/>
  <c r="H98" i="75"/>
  <c r="I97" i="75"/>
  <c r="E142" i="1"/>
  <c r="A45" i="106"/>
  <c r="N42" i="106"/>
  <c r="N20" i="85" l="1"/>
  <c r="A21" i="85"/>
  <c r="E103" i="75"/>
  <c r="F102" i="75"/>
  <c r="A47" i="106"/>
  <c r="N45" i="106"/>
  <c r="A69" i="83"/>
  <c r="K69" i="83" s="1"/>
  <c r="K68" i="83"/>
  <c r="Q27" i="84"/>
  <c r="A28" i="84"/>
  <c r="A152" i="80"/>
  <c r="N151" i="80"/>
  <c r="H62" i="75"/>
  <c r="H24" i="75"/>
  <c r="I61" i="75"/>
  <c r="I24" i="75" s="1"/>
  <c r="BH57" i="103"/>
  <c r="A58" i="103"/>
  <c r="A28" i="68"/>
  <c r="G27" i="68"/>
  <c r="D33" i="90"/>
  <c r="A32" i="90"/>
  <c r="F31" i="90"/>
  <c r="A103" i="47"/>
  <c r="H101" i="47"/>
  <c r="C75" i="47"/>
  <c r="A60" i="104"/>
  <c r="BJ59" i="104"/>
  <c r="A56" i="92"/>
  <c r="I55" i="92"/>
  <c r="A46" i="78"/>
  <c r="Q45" i="78"/>
  <c r="A105" i="75"/>
  <c r="J104" i="75"/>
  <c r="E66" i="47"/>
  <c r="E61" i="47" s="1"/>
  <c r="E87" i="47" s="1"/>
  <c r="E48" i="47"/>
  <c r="E50" i="47" s="1"/>
  <c r="E85" i="47" s="1"/>
  <c r="N43" i="105"/>
  <c r="A45" i="105"/>
  <c r="F103" i="47"/>
  <c r="A33" i="75"/>
  <c r="J32" i="75"/>
  <c r="G142" i="1"/>
  <c r="A144" i="1"/>
  <c r="E144" i="1"/>
  <c r="F67" i="75"/>
  <c r="E68" i="75"/>
  <c r="E30" i="75"/>
  <c r="A74" i="75"/>
  <c r="J73" i="75"/>
  <c r="F29" i="75"/>
  <c r="A62" i="86"/>
  <c r="K61" i="86"/>
  <c r="D115" i="1"/>
  <c r="D110" i="1" s="1"/>
  <c r="D133" i="1" s="1"/>
  <c r="D71" i="1"/>
  <c r="D73" i="1" s="1"/>
  <c r="D131" i="1" s="1"/>
  <c r="A61" i="5"/>
  <c r="L60" i="5"/>
  <c r="A41" i="85"/>
  <c r="N40" i="85"/>
  <c r="G30" i="1"/>
  <c r="E115" i="1"/>
  <c r="H99" i="75"/>
  <c r="I98" i="75"/>
  <c r="G64" i="1"/>
  <c r="F41" i="47"/>
  <c r="A65" i="1"/>
  <c r="E68" i="1" s="1"/>
  <c r="A22" i="85" l="1"/>
  <c r="N21" i="85"/>
  <c r="E91" i="47"/>
  <c r="E96" i="47" s="1"/>
  <c r="E98" i="47" s="1"/>
  <c r="E103" i="47" s="1"/>
  <c r="E107" i="47" s="1"/>
  <c r="E110" i="47" s="1"/>
  <c r="B36" i="5" s="1"/>
  <c r="D137" i="1"/>
  <c r="D142" i="1" s="1"/>
  <c r="D144" i="1" s="1"/>
  <c r="D148" i="1" s="1"/>
  <c r="A33" i="90"/>
  <c r="F32" i="90"/>
  <c r="H25" i="75"/>
  <c r="H63" i="75"/>
  <c r="I62" i="75"/>
  <c r="I25" i="75" s="1"/>
  <c r="A153" i="80"/>
  <c r="N152" i="80"/>
  <c r="A49" i="106"/>
  <c r="N47" i="106"/>
  <c r="A57" i="92"/>
  <c r="I56" i="92"/>
  <c r="A29" i="68"/>
  <c r="G28" i="68"/>
  <c r="A59" i="103"/>
  <c r="BH58" i="103"/>
  <c r="A66" i="1"/>
  <c r="G65" i="1"/>
  <c r="E66" i="1"/>
  <c r="J74" i="75"/>
  <c r="A75" i="75"/>
  <c r="A29" i="84"/>
  <c r="Q28" i="84"/>
  <c r="E104" i="75"/>
  <c r="F103" i="75"/>
  <c r="F30" i="75" s="1"/>
  <c r="E148" i="1"/>
  <c r="G144" i="1"/>
  <c r="A42" i="85"/>
  <c r="N41" i="85"/>
  <c r="BJ60" i="104"/>
  <c r="A61" i="104"/>
  <c r="D14" i="2"/>
  <c r="D17" i="2" s="1"/>
  <c r="D18" i="2" s="1"/>
  <c r="D23" i="2" s="1"/>
  <c r="E31" i="75"/>
  <c r="E69" i="75"/>
  <c r="F68" i="75"/>
  <c r="Q46" i="78"/>
  <c r="A47" i="78"/>
  <c r="A106" i="47"/>
  <c r="H103" i="47"/>
  <c r="A63" i="86"/>
  <c r="K63" i="86" s="1"/>
  <c r="K62" i="86"/>
  <c r="A106" i="75"/>
  <c r="J105" i="75"/>
  <c r="A62" i="5"/>
  <c r="L61" i="5"/>
  <c r="A34" i="75"/>
  <c r="J33" i="75"/>
  <c r="H100" i="75"/>
  <c r="I99" i="75"/>
  <c r="A47" i="105"/>
  <c r="N45" i="105"/>
  <c r="N22" i="85" l="1"/>
  <c r="A23" i="85"/>
  <c r="N23" i="85" s="1"/>
  <c r="D56" i="5"/>
  <c r="F56" i="5" s="1"/>
  <c r="D52" i="5"/>
  <c r="F52" i="5" s="1"/>
  <c r="D48" i="5"/>
  <c r="F48" i="5" s="1"/>
  <c r="D55" i="5"/>
  <c r="F55" i="5" s="1"/>
  <c r="D51" i="5"/>
  <c r="F51" i="5" s="1"/>
  <c r="D47" i="5"/>
  <c r="F47" i="5" s="1"/>
  <c r="D54" i="5"/>
  <c r="F54" i="5" s="1"/>
  <c r="D50" i="5"/>
  <c r="F50" i="5" s="1"/>
  <c r="D46" i="5"/>
  <c r="F46" i="5" s="1"/>
  <c r="D53" i="5"/>
  <c r="F53" i="5" s="1"/>
  <c r="D49" i="5"/>
  <c r="F49" i="5" s="1"/>
  <c r="D45" i="5"/>
  <c r="F45" i="5" s="1"/>
  <c r="E70" i="75"/>
  <c r="E32" i="75"/>
  <c r="F69" i="75"/>
  <c r="H101" i="75"/>
  <c r="I100" i="75"/>
  <c r="A30" i="84"/>
  <c r="Q29" i="84"/>
  <c r="N42" i="85"/>
  <c r="A43" i="85"/>
  <c r="A59" i="92"/>
  <c r="I59" i="92" s="1"/>
  <c r="I57" i="92"/>
  <c r="G59" i="92"/>
  <c r="H64" i="75"/>
  <c r="H26" i="75"/>
  <c r="I63" i="75"/>
  <c r="A76" i="75"/>
  <c r="J76" i="75" s="1"/>
  <c r="J75" i="75"/>
  <c r="E105" i="75"/>
  <c r="F104" i="75"/>
  <c r="F31" i="75"/>
  <c r="A30" i="68"/>
  <c r="G30" i="68" s="1"/>
  <c r="G29" i="68"/>
  <c r="A35" i="75"/>
  <c r="J34" i="75"/>
  <c r="H106" i="47"/>
  <c r="A107" i="47"/>
  <c r="F107" i="47"/>
  <c r="A49" i="105"/>
  <c r="N49" i="105" s="1"/>
  <c r="N47" i="105"/>
  <c r="A48" i="78"/>
  <c r="Q47" i="78"/>
  <c r="G66" i="1"/>
  <c r="E71" i="1"/>
  <c r="A68" i="1"/>
  <c r="A51" i="106"/>
  <c r="N49" i="106"/>
  <c r="A107" i="75"/>
  <c r="J106" i="75"/>
  <c r="A62" i="104"/>
  <c r="BJ61" i="104"/>
  <c r="A35" i="90"/>
  <c r="F33" i="90"/>
  <c r="D57" i="90"/>
  <c r="A63" i="5"/>
  <c r="L62" i="5"/>
  <c r="A60" i="103"/>
  <c r="BH59" i="103"/>
  <c r="A154" i="80"/>
  <c r="N153" i="80"/>
  <c r="L63" i="5" l="1"/>
  <c r="A64" i="5"/>
  <c r="I26" i="75"/>
  <c r="BH60" i="103"/>
  <c r="A61" i="103"/>
  <c r="A63" i="104"/>
  <c r="BJ62" i="104"/>
  <c r="A36" i="75"/>
  <c r="J35" i="75"/>
  <c r="A49" i="78"/>
  <c r="Q48" i="78"/>
  <c r="A44" i="85"/>
  <c r="N43" i="85"/>
  <c r="A108" i="75"/>
  <c r="J107" i="75"/>
  <c r="E33" i="75"/>
  <c r="E71" i="75"/>
  <c r="F70" i="75"/>
  <c r="I45" i="5"/>
  <c r="J45" i="5" s="1"/>
  <c r="G45" i="5"/>
  <c r="Q30" i="84"/>
  <c r="A31" i="84"/>
  <c r="A54" i="106"/>
  <c r="N51" i="106"/>
  <c r="A69" i="1"/>
  <c r="G68" i="1"/>
  <c r="E116" i="1"/>
  <c r="A108" i="47"/>
  <c r="H107" i="47"/>
  <c r="F110" i="47"/>
  <c r="H65" i="75"/>
  <c r="H27" i="75"/>
  <c r="I64" i="75"/>
  <c r="I27" i="75" s="1"/>
  <c r="A155" i="80"/>
  <c r="N154" i="80"/>
  <c r="A36" i="90"/>
  <c r="F35" i="90"/>
  <c r="E106" i="75"/>
  <c r="F105" i="75"/>
  <c r="F32" i="75" s="1"/>
  <c r="H102" i="75"/>
  <c r="I101" i="75"/>
  <c r="K45" i="5" l="1"/>
  <c r="I46" i="5" s="1"/>
  <c r="J46" i="5" s="1"/>
  <c r="A56" i="106"/>
  <c r="N56" i="106" s="1"/>
  <c r="N54" i="106"/>
  <c r="A50" i="78"/>
  <c r="Q49" i="78"/>
  <c r="N155" i="80"/>
  <c r="A156" i="80"/>
  <c r="A109" i="75"/>
  <c r="J108" i="75"/>
  <c r="H66" i="75"/>
  <c r="H28" i="75"/>
  <c r="I65" i="75"/>
  <c r="I28" i="75" s="1"/>
  <c r="A37" i="75"/>
  <c r="J36" i="75"/>
  <c r="E107" i="75"/>
  <c r="F106" i="75"/>
  <c r="A110" i="47"/>
  <c r="H108" i="47"/>
  <c r="H103" i="75"/>
  <c r="I102" i="75"/>
  <c r="A64" i="104"/>
  <c r="BJ63" i="104"/>
  <c r="A65" i="5"/>
  <c r="L64" i="5"/>
  <c r="F33" i="75"/>
  <c r="BH61" i="103"/>
  <c r="A62" i="103"/>
  <c r="G46" i="5"/>
  <c r="A37" i="90"/>
  <c r="F36" i="90"/>
  <c r="G69" i="1"/>
  <c r="F46" i="47"/>
  <c r="A71" i="1"/>
  <c r="E72" i="1"/>
  <c r="A45" i="85"/>
  <c r="N44" i="85"/>
  <c r="D37" i="90"/>
  <c r="A32" i="84"/>
  <c r="Q31" i="84"/>
  <c r="F71" i="75"/>
  <c r="E72" i="75"/>
  <c r="E34" i="75"/>
  <c r="A157" i="80" l="1"/>
  <c r="N156" i="80"/>
  <c r="K46" i="5"/>
  <c r="I47" i="5" s="1"/>
  <c r="J47" i="5" s="1"/>
  <c r="G47" i="5"/>
  <c r="A46" i="85"/>
  <c r="N46" i="85" s="1"/>
  <c r="N45" i="85"/>
  <c r="A65" i="104"/>
  <c r="BJ64" i="104"/>
  <c r="A40" i="90"/>
  <c r="F37" i="90"/>
  <c r="A63" i="103"/>
  <c r="BH62" i="103"/>
  <c r="H104" i="75"/>
  <c r="I103" i="75"/>
  <c r="A38" i="75"/>
  <c r="J37" i="75"/>
  <c r="F72" i="75"/>
  <c r="E73" i="75"/>
  <c r="A72" i="1"/>
  <c r="G71" i="1"/>
  <c r="C36" i="5"/>
  <c r="H110" i="47"/>
  <c r="H67" i="75"/>
  <c r="H29" i="75"/>
  <c r="I66" i="75"/>
  <c r="Q50" i="78"/>
  <c r="A51" i="78"/>
  <c r="A66" i="5"/>
  <c r="L65" i="5"/>
  <c r="A33" i="84"/>
  <c r="Q32" i="84"/>
  <c r="E108" i="75"/>
  <c r="F107" i="75"/>
  <c r="F34" i="75" s="1"/>
  <c r="A110" i="75"/>
  <c r="J109" i="75"/>
  <c r="H105" i="75" l="1"/>
  <c r="I104" i="75"/>
  <c r="E109" i="75"/>
  <c r="F108" i="75"/>
  <c r="F35" i="75" s="1"/>
  <c r="I29" i="75"/>
  <c r="E35" i="75"/>
  <c r="BH63" i="103"/>
  <c r="A64" i="103"/>
  <c r="A41" i="90"/>
  <c r="F40" i="90"/>
  <c r="G72" i="1"/>
  <c r="E120" i="1"/>
  <c r="A73" i="1"/>
  <c r="K47" i="5"/>
  <c r="I48" i="5" s="1"/>
  <c r="J48" i="5" s="1"/>
  <c r="G48" i="5"/>
  <c r="H30" i="75"/>
  <c r="H68" i="75"/>
  <c r="I67" i="75"/>
  <c r="I30" i="75" s="1"/>
  <c r="F73" i="75"/>
  <c r="E36" i="75"/>
  <c r="E74" i="75"/>
  <c r="Q33" i="84"/>
  <c r="A34" i="84"/>
  <c r="A158" i="80"/>
  <c r="N157" i="80"/>
  <c r="A67" i="5"/>
  <c r="L66" i="5"/>
  <c r="E73" i="1"/>
  <c r="A39" i="75"/>
  <c r="J39" i="75" s="1"/>
  <c r="J38" i="75"/>
  <c r="A111" i="75"/>
  <c r="J110" i="75"/>
  <c r="A52" i="78"/>
  <c r="Q51" i="78"/>
  <c r="A66" i="104"/>
  <c r="BJ65" i="104"/>
  <c r="F74" i="75" l="1"/>
  <c r="E75" i="75"/>
  <c r="A67" i="104"/>
  <c r="BJ66" i="104"/>
  <c r="E131" i="1"/>
  <c r="G73" i="1"/>
  <c r="A68" i="5"/>
  <c r="L67" i="5"/>
  <c r="A53" i="78"/>
  <c r="Q52" i="78"/>
  <c r="A159" i="80"/>
  <c r="N158" i="80"/>
  <c r="E110" i="75"/>
  <c r="F109" i="75"/>
  <c r="F36" i="75" s="1"/>
  <c r="A112" i="75"/>
  <c r="J112" i="75" s="1"/>
  <c r="J111" i="75"/>
  <c r="H31" i="75"/>
  <c r="H69" i="75"/>
  <c r="I68" i="75"/>
  <c r="A42" i="90"/>
  <c r="F41" i="90"/>
  <c r="D43" i="90"/>
  <c r="Q34" i="84"/>
  <c r="A35" i="84"/>
  <c r="A65" i="103"/>
  <c r="BH64" i="103"/>
  <c r="K48" i="5"/>
  <c r="I49" i="5" s="1"/>
  <c r="J49" i="5" s="1"/>
  <c r="G49" i="5"/>
  <c r="H106" i="75"/>
  <c r="I105" i="75"/>
  <c r="I31" i="75" l="1"/>
  <c r="N159" i="80"/>
  <c r="A160" i="80"/>
  <c r="H70" i="75"/>
  <c r="H32" i="75"/>
  <c r="I69" i="75"/>
  <c r="I32" i="75" s="1"/>
  <c r="A36" i="84"/>
  <c r="Q35" i="84"/>
  <c r="A54" i="78"/>
  <c r="Q53" i="78"/>
  <c r="A68" i="104"/>
  <c r="BJ67" i="104"/>
  <c r="A66" i="103"/>
  <c r="BH65" i="103"/>
  <c r="F37" i="75"/>
  <c r="C47" i="90"/>
  <c r="C49" i="90" s="1"/>
  <c r="F75" i="75"/>
  <c r="E38" i="75"/>
  <c r="E39" i="75" s="1"/>
  <c r="E76" i="75"/>
  <c r="H107" i="75"/>
  <c r="I106" i="75"/>
  <c r="K49" i="5"/>
  <c r="I50" i="5" s="1"/>
  <c r="J50" i="5" s="1"/>
  <c r="G50" i="5"/>
  <c r="E111" i="75"/>
  <c r="F110" i="75"/>
  <c r="A43" i="90"/>
  <c r="F42" i="90"/>
  <c r="D44" i="90"/>
  <c r="B145" i="5"/>
  <c r="B142" i="5"/>
  <c r="L68" i="5"/>
  <c r="E37" i="75"/>
  <c r="Q36" i="84" l="1"/>
  <c r="A37" i="84"/>
  <c r="Q37" i="84" s="1"/>
  <c r="A44" i="90"/>
  <c r="F43" i="90"/>
  <c r="H108" i="75"/>
  <c r="I107" i="75"/>
  <c r="A67" i="103"/>
  <c r="BH66" i="103"/>
  <c r="H71" i="75"/>
  <c r="H33" i="75"/>
  <c r="I70" i="75"/>
  <c r="I33" i="75" s="1"/>
  <c r="C48" i="90"/>
  <c r="C50" i="90" s="1"/>
  <c r="F111" i="75"/>
  <c r="E112" i="75"/>
  <c r="F38" i="75"/>
  <c r="F40" i="75" s="1"/>
  <c r="D26" i="2" s="1"/>
  <c r="BJ68" i="104"/>
  <c r="A69" i="104"/>
  <c r="N160" i="80"/>
  <c r="A161" i="80"/>
  <c r="A55" i="78"/>
  <c r="Q54" i="78"/>
  <c r="K50" i="5"/>
  <c r="I51" i="5" s="1"/>
  <c r="J51" i="5" s="1"/>
  <c r="G51" i="5"/>
  <c r="A68" i="103" l="1"/>
  <c r="BH67" i="103"/>
  <c r="A56" i="78"/>
  <c r="Q55" i="78"/>
  <c r="H109" i="75"/>
  <c r="I108" i="75"/>
  <c r="A163" i="80"/>
  <c r="N161" i="80"/>
  <c r="C51" i="90"/>
  <c r="C52" i="90" s="1"/>
  <c r="D6" i="92" s="1"/>
  <c r="C53" i="90"/>
  <c r="E6" i="92" s="1"/>
  <c r="F44" i="90"/>
  <c r="A47" i="90"/>
  <c r="A70" i="104"/>
  <c r="BJ69" i="104"/>
  <c r="K51" i="5"/>
  <c r="I52" i="5" s="1"/>
  <c r="J52" i="5" s="1"/>
  <c r="G52" i="5"/>
  <c r="H72" i="75"/>
  <c r="H34" i="75"/>
  <c r="I71" i="75"/>
  <c r="I34" i="75" s="1"/>
  <c r="K52" i="5" l="1"/>
  <c r="I53" i="5" s="1"/>
  <c r="J53" i="5" s="1"/>
  <c r="G53" i="5"/>
  <c r="N163" i="80"/>
  <c r="A164" i="80"/>
  <c r="A71" i="104"/>
  <c r="BJ70" i="104"/>
  <c r="H110" i="75"/>
  <c r="I109" i="75"/>
  <c r="A48" i="90"/>
  <c r="F47" i="90"/>
  <c r="D49" i="90"/>
  <c r="A57" i="78"/>
  <c r="Q56" i="78"/>
  <c r="E44" i="92"/>
  <c r="E36" i="92"/>
  <c r="E47" i="92"/>
  <c r="E37" i="92"/>
  <c r="E53" i="92"/>
  <c r="E40" i="92"/>
  <c r="E43" i="92"/>
  <c r="E46" i="92"/>
  <c r="E38" i="92"/>
  <c r="E28" i="92"/>
  <c r="E30" i="92"/>
  <c r="E27" i="92"/>
  <c r="E18" i="92"/>
  <c r="E29" i="92"/>
  <c r="H73" i="75"/>
  <c r="H35" i="75"/>
  <c r="I72" i="75"/>
  <c r="I35" i="75" s="1"/>
  <c r="D44" i="92"/>
  <c r="F44" i="92" s="1"/>
  <c r="D36" i="92"/>
  <c r="D47" i="92"/>
  <c r="F47" i="92" s="1"/>
  <c r="D37" i="92"/>
  <c r="D53" i="92"/>
  <c r="D40" i="92"/>
  <c r="D46" i="92"/>
  <c r="F46" i="92" s="1"/>
  <c r="D38" i="92"/>
  <c r="F38" i="92" s="1"/>
  <c r="D43" i="92"/>
  <c r="F43" i="92" s="1"/>
  <c r="D28" i="92"/>
  <c r="F28" i="92" s="1"/>
  <c r="D30" i="92"/>
  <c r="D29" i="92"/>
  <c r="F29" i="92" s="1"/>
  <c r="D27" i="92"/>
  <c r="D18" i="92"/>
  <c r="A69" i="103"/>
  <c r="BH68" i="103"/>
  <c r="F18" i="92" l="1"/>
  <c r="A168" i="80"/>
  <c r="N164" i="80"/>
  <c r="E27" i="2"/>
  <c r="F36" i="92"/>
  <c r="D19" i="92"/>
  <c r="F19" i="92" s="1"/>
  <c r="K53" i="5"/>
  <c r="I54" i="5" s="1"/>
  <c r="J54" i="5" s="1"/>
  <c r="G54" i="5"/>
  <c r="F48" i="90"/>
  <c r="A49" i="90"/>
  <c r="D50" i="90"/>
  <c r="F40" i="92"/>
  <c r="E19" i="92"/>
  <c r="E20" i="92" s="1"/>
  <c r="E32" i="92" s="1"/>
  <c r="E42" i="92" s="1"/>
  <c r="E48" i="92" s="1"/>
  <c r="H111" i="75"/>
  <c r="I111" i="75" s="1"/>
  <c r="I110" i="75"/>
  <c r="A58" i="78"/>
  <c r="Q57" i="78"/>
  <c r="BH69" i="103"/>
  <c r="A70" i="103"/>
  <c r="F53" i="92"/>
  <c r="H74" i="75"/>
  <c r="H36" i="75"/>
  <c r="I73" i="75"/>
  <c r="I36" i="75" s="1"/>
  <c r="F27" i="92"/>
  <c r="F30" i="92"/>
  <c r="F37" i="92"/>
  <c r="A72" i="104"/>
  <c r="BJ71" i="104"/>
  <c r="E50" i="92" l="1"/>
  <c r="A73" i="104"/>
  <c r="BJ72" i="104"/>
  <c r="A71" i="103"/>
  <c r="BH70" i="103"/>
  <c r="N168" i="80"/>
  <c r="A169" i="80"/>
  <c r="A59" i="78"/>
  <c r="Q58" i="78"/>
  <c r="A50" i="90"/>
  <c r="F49" i="90"/>
  <c r="D51" i="90"/>
  <c r="K54" i="5"/>
  <c r="I55" i="5" s="1"/>
  <c r="J55" i="5" s="1"/>
  <c r="G55" i="5"/>
  <c r="D20" i="92"/>
  <c r="D32" i="92" s="1"/>
  <c r="D42" i="92" s="1"/>
  <c r="H75" i="75"/>
  <c r="H37" i="75"/>
  <c r="I74" i="75"/>
  <c r="I37" i="75" s="1"/>
  <c r="I112" i="75"/>
  <c r="F20" i="92"/>
  <c r="F32" i="92" s="1"/>
  <c r="K55" i="5" l="1"/>
  <c r="I56" i="5" s="1"/>
  <c r="J56" i="5" s="1"/>
  <c r="G56" i="5"/>
  <c r="A170" i="80"/>
  <c r="N169" i="80"/>
  <c r="BH71" i="103"/>
  <c r="A72" i="103"/>
  <c r="F50" i="90"/>
  <c r="A51" i="90"/>
  <c r="BJ73" i="104"/>
  <c r="A74" i="104"/>
  <c r="H38" i="75"/>
  <c r="I75" i="75"/>
  <c r="F42" i="92"/>
  <c r="D48" i="92"/>
  <c r="A60" i="78"/>
  <c r="Q59" i="78"/>
  <c r="A52" i="90" l="1"/>
  <c r="F51" i="90"/>
  <c r="D52" i="90"/>
  <c r="F48" i="92"/>
  <c r="D50" i="92"/>
  <c r="F50" i="92" s="1"/>
  <c r="A73" i="103"/>
  <c r="BH72" i="103"/>
  <c r="I38" i="75"/>
  <c r="I39" i="75" s="1"/>
  <c r="D22" i="2" s="1"/>
  <c r="D25" i="2" s="1"/>
  <c r="D28" i="2" s="1"/>
  <c r="D32" i="2" s="1"/>
  <c r="D34" i="2" s="1"/>
  <c r="D149" i="1" s="1"/>
  <c r="I76" i="75"/>
  <c r="A75" i="104"/>
  <c r="BJ74" i="104"/>
  <c r="A171" i="80"/>
  <c r="N170" i="80"/>
  <c r="K56" i="5"/>
  <c r="I57" i="5" s="1"/>
  <c r="J57" i="5" s="1"/>
  <c r="G57" i="5"/>
  <c r="A61" i="78"/>
  <c r="Q60" i="78"/>
  <c r="D53" i="90"/>
  <c r="K57" i="5" l="1"/>
  <c r="I58" i="5" s="1"/>
  <c r="J58" i="5" s="1"/>
  <c r="G58" i="5"/>
  <c r="A74" i="103"/>
  <c r="BH73" i="103"/>
  <c r="A76" i="104"/>
  <c r="BJ75" i="104"/>
  <c r="A172" i="80"/>
  <c r="N171" i="80"/>
  <c r="A62" i="78"/>
  <c r="Q61" i="78"/>
  <c r="D151" i="1"/>
  <c r="D52" i="92"/>
  <c r="E52" i="92"/>
  <c r="E55" i="92" s="1"/>
  <c r="F52" i="90"/>
  <c r="A53" i="90"/>
  <c r="F52" i="92" l="1"/>
  <c r="A75" i="103"/>
  <c r="BH74" i="103"/>
  <c r="BJ76" i="104"/>
  <c r="A77" i="104"/>
  <c r="G59" i="5"/>
  <c r="K58" i="5"/>
  <c r="I59" i="5" s="1"/>
  <c r="J59" i="5" s="1"/>
  <c r="A56" i="90"/>
  <c r="F53" i="90"/>
  <c r="N172" i="80"/>
  <c r="A173" i="80"/>
  <c r="D159" i="1"/>
  <c r="D157" i="1"/>
  <c r="Q62" i="78"/>
  <c r="A63" i="78"/>
  <c r="D55" i="92"/>
  <c r="F55" i="92" s="1"/>
  <c r="D160" i="1" l="1"/>
  <c r="M56" i="106" s="1"/>
  <c r="M32" i="106" s="1"/>
  <c r="F31" i="105" s="1"/>
  <c r="J31" i="105" s="1"/>
  <c r="A64" i="78"/>
  <c r="Q63" i="78"/>
  <c r="G60" i="5"/>
  <c r="K59" i="5"/>
  <c r="I60" i="5" s="1"/>
  <c r="J60" i="5" s="1"/>
  <c r="A174" i="80"/>
  <c r="N173" i="80"/>
  <c r="F56" i="90"/>
  <c r="A57" i="90"/>
  <c r="F40" i="82"/>
  <c r="M51" i="106"/>
  <c r="F47" i="105" s="1"/>
  <c r="M42" i="106"/>
  <c r="M24" i="106"/>
  <c r="F23" i="105" s="1"/>
  <c r="J23" i="105" s="1"/>
  <c r="BJ77" i="104"/>
  <c r="A78" i="104"/>
  <c r="A76" i="103"/>
  <c r="BH75" i="103"/>
  <c r="M40" i="106" l="1"/>
  <c r="F39" i="105" s="1"/>
  <c r="J39" i="105" s="1"/>
  <c r="M35" i="105" s="1"/>
  <c r="M12" i="106"/>
  <c r="F11" i="105" s="1"/>
  <c r="M26" i="106"/>
  <c r="F25" i="105" s="1"/>
  <c r="M25" i="105" s="1"/>
  <c r="M14" i="106"/>
  <c r="F13" i="105" s="1"/>
  <c r="M54" i="106"/>
  <c r="M11" i="105"/>
  <c r="J11" i="105"/>
  <c r="M13" i="105"/>
  <c r="J13" i="105"/>
  <c r="M19" i="105"/>
  <c r="M15" i="105"/>
  <c r="M21" i="105"/>
  <c r="M17" i="105"/>
  <c r="A79" i="104"/>
  <c r="BJ78" i="104"/>
  <c r="G61" i="5"/>
  <c r="K60" i="5"/>
  <c r="I61" i="5" s="1"/>
  <c r="J61" i="5" s="1"/>
  <c r="J46" i="105"/>
  <c r="J44" i="105"/>
  <c r="E57" i="92"/>
  <c r="E59" i="92" s="1"/>
  <c r="C10" i="93" s="1"/>
  <c r="C12" i="93" s="1"/>
  <c r="D57" i="92"/>
  <c r="A60" i="90"/>
  <c r="F57" i="90"/>
  <c r="M29" i="105"/>
  <c r="M27" i="105"/>
  <c r="A175" i="80"/>
  <c r="N174" i="80"/>
  <c r="A77" i="103"/>
  <c r="BH76" i="103"/>
  <c r="A65" i="78"/>
  <c r="Q64" i="78"/>
  <c r="M37" i="105" l="1"/>
  <c r="M33" i="105"/>
  <c r="J25" i="105"/>
  <c r="F49" i="105"/>
  <c r="M49" i="105" s="1"/>
  <c r="A66" i="78"/>
  <c r="Q65" i="78"/>
  <c r="M43" i="105"/>
  <c r="M45" i="105"/>
  <c r="M47" i="105"/>
  <c r="M41" i="105"/>
  <c r="A61" i="90"/>
  <c r="F60" i="90"/>
  <c r="A176" i="80"/>
  <c r="N175" i="80"/>
  <c r="A80" i="104"/>
  <c r="BJ79" i="104"/>
  <c r="G62" i="5"/>
  <c r="K61" i="5"/>
  <c r="I62" i="5" s="1"/>
  <c r="J62" i="5" s="1"/>
  <c r="D59" i="92"/>
  <c r="C5" i="93" s="1"/>
  <c r="C7" i="93" s="1"/>
  <c r="F57" i="92"/>
  <c r="F59" i="92" s="1"/>
  <c r="BH77" i="103"/>
  <c r="A78" i="103"/>
  <c r="K62" i="5" l="1"/>
  <c r="I63" i="5" s="1"/>
  <c r="J63" i="5" s="1"/>
  <c r="G63" i="5"/>
  <c r="A81" i="104"/>
  <c r="BJ80" i="104"/>
  <c r="F61" i="90"/>
  <c r="A62" i="90"/>
  <c r="A79" i="103"/>
  <c r="BH78" i="103"/>
  <c r="N176" i="80"/>
  <c r="A177" i="80"/>
  <c r="Q66" i="78"/>
  <c r="A67" i="78"/>
  <c r="A63" i="90" l="1"/>
  <c r="F62" i="90"/>
  <c r="A80" i="103"/>
  <c r="BH79" i="103"/>
  <c r="K63" i="5"/>
  <c r="I64" i="5" s="1"/>
  <c r="J64" i="5" s="1"/>
  <c r="G64" i="5"/>
  <c r="A68" i="78"/>
  <c r="Q67" i="78"/>
  <c r="A82" i="104"/>
  <c r="BJ81" i="104"/>
  <c r="A178" i="80"/>
  <c r="N177" i="80"/>
  <c r="A69" i="78" l="1"/>
  <c r="Q68" i="78"/>
  <c r="K64" i="5"/>
  <c r="I65" i="5" s="1"/>
  <c r="J65" i="5" s="1"/>
  <c r="G65" i="5"/>
  <c r="A179" i="80"/>
  <c r="N178" i="80"/>
  <c r="A81" i="103"/>
  <c r="BH80" i="103"/>
  <c r="A83" i="104"/>
  <c r="BJ82" i="104"/>
  <c r="A64" i="90"/>
  <c r="F64" i="90" s="1"/>
  <c r="F63" i="90"/>
  <c r="BH81" i="103" l="1"/>
  <c r="A82" i="103"/>
  <c r="N179" i="80"/>
  <c r="A180" i="80"/>
  <c r="K65" i="5"/>
  <c r="I66" i="5" s="1"/>
  <c r="J66" i="5" s="1"/>
  <c r="G66" i="5"/>
  <c r="A84" i="104"/>
  <c r="BJ83" i="104"/>
  <c r="A70" i="78"/>
  <c r="Q69" i="78"/>
  <c r="G67" i="5" l="1"/>
  <c r="K66" i="5"/>
  <c r="I67" i="5" s="1"/>
  <c r="J67" i="5" s="1"/>
  <c r="BJ84" i="104"/>
  <c r="A85" i="104"/>
  <c r="N180" i="80"/>
  <c r="A181" i="80"/>
  <c r="A83" i="103"/>
  <c r="BH82" i="103"/>
  <c r="A71" i="78"/>
  <c r="Q70" i="78"/>
  <c r="A182" i="80" l="1"/>
  <c r="N181" i="80"/>
  <c r="A84" i="103"/>
  <c r="BH83" i="103"/>
  <c r="A86" i="104"/>
  <c r="BJ85" i="104"/>
  <c r="A72" i="78"/>
  <c r="Q71" i="78"/>
  <c r="G68" i="5"/>
  <c r="K67" i="5"/>
  <c r="I68" i="5" s="1"/>
  <c r="J68" i="5" s="1"/>
  <c r="A87" i="104" l="1"/>
  <c r="BJ86" i="104"/>
  <c r="BH84" i="103"/>
  <c r="A85" i="103"/>
  <c r="A73" i="78"/>
  <c r="Q72" i="78"/>
  <c r="K68" i="5"/>
  <c r="D79" i="5" s="1"/>
  <c r="A183" i="80"/>
  <c r="N183" i="80" s="1"/>
  <c r="N182" i="80"/>
  <c r="F79" i="5" l="1"/>
  <c r="G79" i="5" s="1"/>
  <c r="I79" i="5" s="1"/>
  <c r="D80" i="5" s="1"/>
  <c r="A74" i="78"/>
  <c r="Q73" i="78"/>
  <c r="BH85" i="103"/>
  <c r="A86" i="103"/>
  <c r="A88" i="104"/>
  <c r="BJ87" i="104"/>
  <c r="F80" i="5" l="1"/>
  <c r="G80" i="5" s="1"/>
  <c r="I80" i="5" s="1"/>
  <c r="D81" i="5" s="1"/>
  <c r="A87" i="103"/>
  <c r="BH86" i="103"/>
  <c r="A89" i="104"/>
  <c r="BJ88" i="104"/>
  <c r="A75" i="78"/>
  <c r="A76" i="78" s="1"/>
  <c r="Q74" i="78"/>
  <c r="F81" i="5" l="1"/>
  <c r="G81" i="5" s="1"/>
  <c r="I81" i="5" s="1"/>
  <c r="D82" i="5" s="1"/>
  <c r="A90" i="104"/>
  <c r="BJ89" i="104"/>
  <c r="A88" i="103"/>
  <c r="BH87" i="103"/>
  <c r="F82" i="5" l="1"/>
  <c r="G82" i="5" s="1"/>
  <c r="I82" i="5" s="1"/>
  <c r="D83" i="5" s="1"/>
  <c r="A89" i="103"/>
  <c r="BH88" i="103"/>
  <c r="A91" i="104"/>
  <c r="BJ90" i="104"/>
  <c r="F83" i="5" l="1"/>
  <c r="G83" i="5" s="1"/>
  <c r="I83" i="5" s="1"/>
  <c r="D84" i="5" s="1"/>
  <c r="A92" i="104"/>
  <c r="BJ91" i="104"/>
  <c r="A90" i="103"/>
  <c r="BH89" i="103"/>
  <c r="F84" i="5" l="1"/>
  <c r="G84" i="5" s="1"/>
  <c r="I84" i="5" s="1"/>
  <c r="D85" i="5" s="1"/>
  <c r="A91" i="103"/>
  <c r="BH90" i="103"/>
  <c r="BJ92" i="104"/>
  <c r="A93" i="104"/>
  <c r="BJ93" i="104" l="1"/>
  <c r="A94" i="104"/>
  <c r="A92" i="103"/>
  <c r="BH91" i="103"/>
  <c r="F85" i="5"/>
  <c r="G85" i="5" s="1"/>
  <c r="I85" i="5" s="1"/>
  <c r="D86" i="5" s="1"/>
  <c r="F86" i="5" l="1"/>
  <c r="G86" i="5" s="1"/>
  <c r="I86" i="5" s="1"/>
  <c r="D87" i="5" s="1"/>
  <c r="BH92" i="103"/>
  <c r="A93" i="103"/>
  <c r="A95" i="104"/>
  <c r="BJ94" i="104"/>
  <c r="F87" i="5" l="1"/>
  <c r="G87" i="5" s="1"/>
  <c r="I87" i="5" s="1"/>
  <c r="D88" i="5" s="1"/>
  <c r="A96" i="104"/>
  <c r="BJ95" i="104"/>
  <c r="A94" i="103"/>
  <c r="BH93" i="103"/>
  <c r="F88" i="5" l="1"/>
  <c r="G88" i="5" s="1"/>
  <c r="I88" i="5" s="1"/>
  <c r="D89" i="5" s="1"/>
  <c r="A95" i="103"/>
  <c r="BH94" i="103"/>
  <c r="A97" i="104"/>
  <c r="BJ96" i="104"/>
  <c r="F89" i="5" l="1"/>
  <c r="G89" i="5" s="1"/>
  <c r="I89" i="5" s="1"/>
  <c r="D90" i="5" s="1"/>
  <c r="A98" i="104"/>
  <c r="BJ97" i="104"/>
  <c r="A96" i="103"/>
  <c r="BH95" i="103"/>
  <c r="F90" i="5" l="1"/>
  <c r="G90" i="5" s="1"/>
  <c r="I90" i="5" s="1"/>
  <c r="A97" i="103"/>
  <c r="BH96" i="103"/>
  <c r="A99" i="104"/>
  <c r="BJ99" i="104" s="1"/>
  <c r="BJ98" i="104"/>
  <c r="A98" i="103" l="1"/>
  <c r="BH97" i="103"/>
  <c r="BH98" i="103" l="1"/>
  <c r="A99" i="103"/>
  <c r="BH99" i="103" s="1"/>
</calcChain>
</file>

<file path=xl/sharedStrings.xml><?xml version="1.0" encoding="utf-8"?>
<sst xmlns="http://schemas.openxmlformats.org/spreadsheetml/2006/main" count="5143" uniqueCount="2036">
  <si>
    <t>Rate Base</t>
  </si>
  <si>
    <t>Transmission Plant</t>
  </si>
  <si>
    <t>Common + General + Intangible Plant</t>
  </si>
  <si>
    <t>Abandoned Plant</t>
  </si>
  <si>
    <t>Plant</t>
  </si>
  <si>
    <t>Working Capital</t>
  </si>
  <si>
    <t>Materials and Supplies</t>
  </si>
  <si>
    <t>Cash Working Capital</t>
  </si>
  <si>
    <t>Transmission Depreciation Reserve</t>
  </si>
  <si>
    <t>Accumulated Depreciation Reserve</t>
  </si>
  <si>
    <t>Accumulated Deferred Income Taxes</t>
  </si>
  <si>
    <t>Notes</t>
  </si>
  <si>
    <t>Total Plant</t>
  </si>
  <si>
    <t>Total Working Capital</t>
  </si>
  <si>
    <t>Total Accumulated Depreciation Reserve</t>
  </si>
  <si>
    <t>Customer Advances</t>
  </si>
  <si>
    <t>Other Regulatory Assets or Liabilities</t>
  </si>
  <si>
    <t>Common + General + Intangible Depreciation Reserve</t>
  </si>
  <si>
    <t>Other Taxes</t>
  </si>
  <si>
    <t>Property Taxes</t>
  </si>
  <si>
    <t>Sub-Total Local Taxes</t>
  </si>
  <si>
    <t>Payroll Tax Expense</t>
  </si>
  <si>
    <t>Fed Ins Cont Amt -- Current</t>
  </si>
  <si>
    <t>CA SUI Current</t>
  </si>
  <si>
    <t>Fed Unemp Tax Act- Current</t>
  </si>
  <si>
    <t xml:space="preserve">SF Pyrl Exp Tx </t>
  </si>
  <si>
    <t>Total Electric Payroll Tax Expense</t>
  </si>
  <si>
    <t>Total Other Taxes</t>
  </si>
  <si>
    <t>Total Transmission Payroll Tax Expense</t>
  </si>
  <si>
    <t>Total Transmission Property Taxes</t>
  </si>
  <si>
    <t>Debt</t>
  </si>
  <si>
    <t>Long Term Debt Amount</t>
  </si>
  <si>
    <t xml:space="preserve">Long Term Debt Cost Percentage </t>
  </si>
  <si>
    <t>Cost of Long Term Debt</t>
  </si>
  <si>
    <t>Preferred Stock</t>
  </si>
  <si>
    <t>Preferred Stock Amount</t>
  </si>
  <si>
    <t>Cost of Preferred Stock</t>
  </si>
  <si>
    <t>Preferred Stock Cost Percentage</t>
  </si>
  <si>
    <t>Equity</t>
  </si>
  <si>
    <t>Common Stock Equity Amount</t>
  </si>
  <si>
    <t>Total Capital</t>
  </si>
  <si>
    <t>Capital Percentages</t>
  </si>
  <si>
    <t>Long Term Debt Capital Percentage</t>
  </si>
  <si>
    <t>Preferred Stock Capital Percentage</t>
  </si>
  <si>
    <t>Common Stock Capital Percentage</t>
  </si>
  <si>
    <t>Annual Cost of Capital Components</t>
  </si>
  <si>
    <t>Long Term Debt Cost Percentage</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</si>
  <si>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</si>
  <si>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</si>
  <si>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</si>
  <si>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</si>
  <si>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</si>
  <si>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</si>
  <si>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Return on Capital: Rate Base times Cost of Capital Rate</t>
  </si>
  <si>
    <t>Source</t>
  </si>
  <si>
    <t>Income Taxes</t>
  </si>
  <si>
    <t>Federal Income Tax Rate</t>
  </si>
  <si>
    <t>State Income Tax Rate</t>
  </si>
  <si>
    <t>Composite Tax Rate</t>
  </si>
  <si>
    <t>Credits and Other</t>
  </si>
  <si>
    <t>Income Taxes:</t>
  </si>
  <si>
    <t>Where:</t>
  </si>
  <si>
    <t>RB = Rate Base</t>
  </si>
  <si>
    <t>ER = Equity Rate of Return Including Common and Preferred Stock</t>
  </si>
  <si>
    <t>CTR = Composite Tax Rate</t>
  </si>
  <si>
    <t>CO = Credits and Other</t>
  </si>
  <si>
    <t>O&amp;M Expense</t>
  </si>
  <si>
    <t>A&amp;G Expense</t>
  </si>
  <si>
    <t>Network Upgrade Interest Expense</t>
  </si>
  <si>
    <t>Abandoned Plant Amortization Expense</t>
  </si>
  <si>
    <t>Revenue Credits</t>
  </si>
  <si>
    <t>Return on Capital</t>
  </si>
  <si>
    <t>Amortization and Regulatory Debits/Credits</t>
  </si>
  <si>
    <t>SFGR Tax and Franchise Fees</t>
  </si>
  <si>
    <t>Determination of Net Plant:</t>
  </si>
  <si>
    <t>Net Plant:</t>
  </si>
  <si>
    <t>AFCR:</t>
  </si>
  <si>
    <t>Incremental Forecast Period TRR:</t>
  </si>
  <si>
    <t>Total without FF, Uncollectibles, and South Georgia</t>
  </si>
  <si>
    <t>Values</t>
  </si>
  <si>
    <t>True-up Transmission Revenue Requirement</t>
  </si>
  <si>
    <t>Month</t>
  </si>
  <si>
    <t>Distribution</t>
  </si>
  <si>
    <t>Generation</t>
  </si>
  <si>
    <t>Other</t>
  </si>
  <si>
    <t>Jan</t>
  </si>
  <si>
    <t>Feb</t>
  </si>
  <si>
    <t>Mar</t>
  </si>
  <si>
    <t>Apr</t>
  </si>
  <si>
    <t>May</t>
  </si>
  <si>
    <t>Jun</t>
  </si>
  <si>
    <t>Jul</t>
  </si>
  <si>
    <t>Aug</t>
  </si>
  <si>
    <t>Sep</t>
  </si>
  <si>
    <t>Nov</t>
  </si>
  <si>
    <t>Dec</t>
  </si>
  <si>
    <t>Totals:</t>
  </si>
  <si>
    <t>True Up TRR:</t>
  </si>
  <si>
    <t>Col 1</t>
  </si>
  <si>
    <t>Col 2</t>
  </si>
  <si>
    <t>Col 3</t>
  </si>
  <si>
    <t>Col 4</t>
  </si>
  <si>
    <t>Col 5</t>
  </si>
  <si>
    <t>Col 6</t>
  </si>
  <si>
    <t>Col 7</t>
  </si>
  <si>
    <t>Col 8</t>
  </si>
  <si>
    <t>Col 9</t>
  </si>
  <si>
    <t>Monthly</t>
  </si>
  <si>
    <t>Interest</t>
  </si>
  <si>
    <t>Year</t>
  </si>
  <si>
    <t>with Interest</t>
  </si>
  <si>
    <t>December</t>
  </si>
  <si>
    <t>January</t>
  </si>
  <si>
    <t>February</t>
  </si>
  <si>
    <t>March</t>
  </si>
  <si>
    <t>April</t>
  </si>
  <si>
    <t xml:space="preserve">June </t>
  </si>
  <si>
    <t>July</t>
  </si>
  <si>
    <t>August</t>
  </si>
  <si>
    <t>September</t>
  </si>
  <si>
    <t>October</t>
  </si>
  <si>
    <t>November</t>
  </si>
  <si>
    <t>Line</t>
  </si>
  <si>
    <t>Note 1</t>
  </si>
  <si>
    <t>Note 2</t>
  </si>
  <si>
    <t>Notes:</t>
  </si>
  <si>
    <t>Prior Year:</t>
  </si>
  <si>
    <t>Description</t>
  </si>
  <si>
    <t>Prior Year TRR Components</t>
  </si>
  <si>
    <t>Prior Year TRR</t>
  </si>
  <si>
    <t>NP&amp;S Credit</t>
  </si>
  <si>
    <t>Base Transmission Revenue Requirement</t>
  </si>
  <si>
    <t>Prior Year</t>
  </si>
  <si>
    <t>Instructions:</t>
  </si>
  <si>
    <t>Book Depreciation of AFUDC Equity Book Basis</t>
  </si>
  <si>
    <t>Federal and State Tax Credits</t>
  </si>
  <si>
    <t>Calculation of Credits and Other (CO):</t>
  </si>
  <si>
    <t>FPD = Flowback and Permanent Tax Deductions</t>
  </si>
  <si>
    <t>Flowthrough and Permanent Tax Deductions</t>
  </si>
  <si>
    <t>SFGR Tax Factor</t>
  </si>
  <si>
    <t>Depreciation Expense (incl. Common + General + Intangible)</t>
  </si>
  <si>
    <t>Balance</t>
  </si>
  <si>
    <t>Prepayments</t>
  </si>
  <si>
    <t>Allocation Factor</t>
  </si>
  <si>
    <t>Franchise Fees Factor</t>
  </si>
  <si>
    <t>Total SFGR Tax and Franchise Fees</t>
  </si>
  <si>
    <t>Retail (South Georgia) Tax Adjustment</t>
  </si>
  <si>
    <t>ITRR</t>
  </si>
  <si>
    <t>Wholesale Base Transmission Revenue Requirement</t>
  </si>
  <si>
    <t>2) Calculation of ITRR</t>
  </si>
  <si>
    <t>Incremental Transmission Revenue Requirement</t>
  </si>
  <si>
    <t>AFCR = Prior Year TRR / Net Plant</t>
  </si>
  <si>
    <t>Determination of AFCR:</t>
  </si>
  <si>
    <t>ITRR without RF&amp;U:</t>
  </si>
  <si>
    <t>Prior Year TRR wo RF&amp;U:</t>
  </si>
  <si>
    <t>13-Month Avg</t>
  </si>
  <si>
    <t>Business Taxes</t>
  </si>
  <si>
    <t>Uncollectibles Factor</t>
  </si>
  <si>
    <t>End of Year Value</t>
  </si>
  <si>
    <t>Pacific Gas and Electric Company</t>
  </si>
  <si>
    <t>N/A</t>
  </si>
  <si>
    <t>Rate Year:</t>
  </si>
  <si>
    <t>Total Revenue</t>
  </si>
  <si>
    <t>Source:</t>
  </si>
  <si>
    <t>Interest Rate</t>
  </si>
  <si>
    <t>Annual True-up Adjustment</t>
  </si>
  <si>
    <t>Note 3</t>
  </si>
  <si>
    <t>Depreciation Expense - Rate Adjustment</t>
  </si>
  <si>
    <t>Note 6</t>
  </si>
  <si>
    <t>Transmission Plant:</t>
  </si>
  <si>
    <t>Transmission Dep. Reserve:</t>
  </si>
  <si>
    <t>Retail Base Transmission Revenue Requirement</t>
  </si>
  <si>
    <t>1) Rate Base</t>
  </si>
  <si>
    <t>2) ROE and Capitalization Calculations</t>
  </si>
  <si>
    <t>3) Other Taxes</t>
  </si>
  <si>
    <t>4) Income Taxes</t>
  </si>
  <si>
    <t>5) Prior Year Transmission Revenue Requirement</t>
  </si>
  <si>
    <t>6) Wholesale Base Transmission Revenue Requirement</t>
  </si>
  <si>
    <t>7) Base Transmission Revenue Requirement</t>
  </si>
  <si>
    <t>1) Annual Fixed Charge Rate ("AFCR") Calculation</t>
  </si>
  <si>
    <t>Network Transmission Labor as a % of Total Electric Labor Allocation Factor</t>
  </si>
  <si>
    <t>Total with SFGR Tax and Franchise Fees</t>
  </si>
  <si>
    <t>Uncollectibles and Retail (South Georgia) Tax Adjustment</t>
  </si>
  <si>
    <t>3) Income Taxes</t>
  </si>
  <si>
    <t>4) True-up Transmission Revenue Requirement</t>
  </si>
  <si>
    <t>Negative Value</t>
  </si>
  <si>
    <t>Sum of Col 1 to 7</t>
  </si>
  <si>
    <t>Transmission</t>
  </si>
  <si>
    <t>Property Tax Allocation Factor</t>
  </si>
  <si>
    <t>Total with ATA</t>
  </si>
  <si>
    <t>Retail</t>
  </si>
  <si>
    <t>Revenues</t>
  </si>
  <si>
    <t>True-up TRR</t>
  </si>
  <si>
    <t>Input cells are shaded gold</t>
  </si>
  <si>
    <t>ATA that was included in the Prior Year's Rates</t>
  </si>
  <si>
    <t>without Interest</t>
  </si>
  <si>
    <t xml:space="preserve">Monthly Excess or </t>
  </si>
  <si>
    <t>Public Purpose</t>
  </si>
  <si>
    <t>Nuclear</t>
  </si>
  <si>
    <t>Programs</t>
  </si>
  <si>
    <t>Decommissioning</t>
  </si>
  <si>
    <t>Effective?</t>
  </si>
  <si>
    <t>2) Input the monthly FERC interest rates (18 C.F.R. §35.19a) for the corresponding Month and Year into Col 6.</t>
  </si>
  <si>
    <r>
      <rPr>
        <b/>
        <u/>
        <sz val="11"/>
        <color theme="1"/>
        <rFont val="Calibri"/>
        <family val="2"/>
        <scheme val="minor"/>
      </rPr>
      <t>Instructions:</t>
    </r>
    <r>
      <rPr>
        <u/>
        <sz val="11"/>
        <color theme="1"/>
        <rFont val="Calibri"/>
        <family val="2"/>
        <scheme val="minor"/>
      </rPr>
      <t xml:space="preserve"> </t>
    </r>
  </si>
  <si>
    <t>Beginning</t>
  </si>
  <si>
    <t>Amortization</t>
  </si>
  <si>
    <t>Ending Balance</t>
  </si>
  <si>
    <t>Interest for</t>
  </si>
  <si>
    <t>Current Month</t>
  </si>
  <si>
    <t>ATA</t>
  </si>
  <si>
    <t>1) Retail Revenues</t>
  </si>
  <si>
    <t>6) Final True-up Adjustment</t>
  </si>
  <si>
    <t>Formula Rate</t>
  </si>
  <si>
    <t>Partial Year True-up?</t>
  </si>
  <si>
    <t>Note 4</t>
  </si>
  <si>
    <t>Note 5</t>
  </si>
  <si>
    <t>Note 7</t>
  </si>
  <si>
    <t>Note 8</t>
  </si>
  <si>
    <t>Note 9</t>
  </si>
  <si>
    <t>Note 10</t>
  </si>
  <si>
    <t>Note 11</t>
  </si>
  <si>
    <t>Note 12</t>
  </si>
  <si>
    <t>2) The Final True Up Adjustment shall be calculated using the same methodology as above, with interest through the date of the termination of the Formula Rate.</t>
  </si>
  <si>
    <t>Total Amortization:</t>
  </si>
  <si>
    <t>Accumulated</t>
  </si>
  <si>
    <t>Network Upgrade Credits (Customer Advances)</t>
  </si>
  <si>
    <t>BOY EOY Avg</t>
  </si>
  <si>
    <t>Weighted Average</t>
  </si>
  <si>
    <t>3) Amortization of the Balance of the Cumulative Excess or Shortfall in Revenue with Interest Over the Rate Year</t>
  </si>
  <si>
    <t>4) Annual True-up Adjustment</t>
  </si>
  <si>
    <t>Cumulative Excess</t>
  </si>
  <si>
    <t>Shortfall in Revenue</t>
  </si>
  <si>
    <t>1) PG&amp;E shall calculate the Final True-up Adjustment for the period spanning the day after the period covered by the most recent ATA that was included in the Base TRR to the expiration of the Formula Rate.</t>
  </si>
  <si>
    <t>2) Other Transmission Revenues includes: the Transmission Revenue Balancing Account Adjustment (TRBAA) revenues, the Reliability Services Balancing Account Adjustment (RSBAA) revenues, the End-use Customer Refund Balancing Account Adjustment (ECRBAA) revenues, and the Transmission Access Charge Balancing Account Adjustment (TACBAA) revenues.</t>
  </si>
  <si>
    <t xml:space="preserve">7) Monthly Interest is calculated by summing half of the current month's "Excess or Shortfall in Revenue" with last month's "Cumulative Excess or Shortfall in Revenue with Interest" and multiplying by the result by the current month's FERC interest rate.  </t>
  </si>
  <si>
    <t>8) Accumulated Interest is the sum of the current month's "Monthly Interest" with last month's "Accumulated Interest".</t>
  </si>
  <si>
    <t>6) The monthly FERC interest rate as stated in Instruction 2.</t>
  </si>
  <si>
    <t>Calculation of Flowthrough and Permanent Tax Deductions (FPD):</t>
  </si>
  <si>
    <t>Transmission Owner Tariff</t>
  </si>
  <si>
    <t>Uncollectibles Expense</t>
  </si>
  <si>
    <t>PG&amp;E ROE</t>
  </si>
  <si>
    <t>Appendix VIII: Formula Rate</t>
  </si>
  <si>
    <t>Attachment 2: Model</t>
  </si>
  <si>
    <t>Calculation of Components of Cost of Capital Rate</t>
  </si>
  <si>
    <t>1) Return and Capitalization Calculations</t>
  </si>
  <si>
    <t>Calculation of Long Term Debt Amount</t>
  </si>
  <si>
    <t>Bonds -- Account 221</t>
  </si>
  <si>
    <t>Reacquired Bonds -- Account 222</t>
  </si>
  <si>
    <t>Long Term Debt Advances from Associated Companies -- Account 223</t>
  </si>
  <si>
    <t>Other Long Term Debt -- Account 224</t>
  </si>
  <si>
    <t>Unamortized Premium on Long Term Debt -- Account 225</t>
  </si>
  <si>
    <t>Unamortized Discount on Long Term Debt -- Account 226</t>
  </si>
  <si>
    <t>Unamortized Debt Expenses -- Account 181</t>
  </si>
  <si>
    <t>Unamortized Loss on Reacquired Debt -- Account 189</t>
  </si>
  <si>
    <t xml:space="preserve">After tax amount of Unamortized Loss on Reacquired Debt </t>
  </si>
  <si>
    <t>Calculation of Preferred Stock Amount</t>
  </si>
  <si>
    <t>Preferred Stock Amount -- Account 204</t>
  </si>
  <si>
    <t>Unamortized Issuance Costs</t>
  </si>
  <si>
    <t>Net Gain (Loss) From Purchase and Tender Offers</t>
  </si>
  <si>
    <t>Calculation of Common Stock Equity Amount</t>
  </si>
  <si>
    <t>Total Proprietary Capital</t>
  </si>
  <si>
    <t>Less Preferred Stock Amount</t>
  </si>
  <si>
    <t>Minus Net Gain (Loss) From Purchase and Tender Offers</t>
  </si>
  <si>
    <t>Less Unappropriated Undist. Sub. Earnings -- Acct. 216.1</t>
  </si>
  <si>
    <t>Calculation of 13-Month Average Capitalization Balances</t>
  </si>
  <si>
    <t>1) Enter 13 months of balances for capital structure for Prior Year and December previous to Prior Year in Columns 2-14.  Beginning and End of year amounts in Columns 2 and 14 are from FERC Form 1, as referenced in below notes.</t>
  </si>
  <si>
    <t>Col 10</t>
  </si>
  <si>
    <t>Col 11</t>
  </si>
  <si>
    <t>Col 12</t>
  </si>
  <si>
    <t>Col 13</t>
  </si>
  <si>
    <t>Col 14</t>
  </si>
  <si>
    <t>13-Month Avg.</t>
  </si>
  <si>
    <t>June</t>
  </si>
  <si>
    <t>= Sum (Cols. 2-14)/13</t>
  </si>
  <si>
    <t>Bonds -- Account 221 (Note 1):</t>
  </si>
  <si>
    <t xml:space="preserve">Reacquired Bonds -- Account 222 (Note 2): </t>
  </si>
  <si>
    <t>Long Term Debt Advances from Associated Companies -- Account 223 (Note 3):</t>
  </si>
  <si>
    <t>Other Long Term Debt -- Account 224 (Note 4):</t>
  </si>
  <si>
    <t>Unamortized Premium on Long Term Debt -- Account 225 (Note 5)</t>
  </si>
  <si>
    <t xml:space="preserve">Unamortized Debt Expenses -- Account 181 (Note 7): </t>
  </si>
  <si>
    <t xml:space="preserve">Unamortized Loss on Reacquired Debt -- Account 189 (Note 8): </t>
  </si>
  <si>
    <t>Preferred Stock Amount -- Account 204 (Note 9):</t>
  </si>
  <si>
    <t xml:space="preserve">Unappropriated Undist. Sub. Earnings -- Acct. 216.1 (Note 13): </t>
  </si>
  <si>
    <t xml:space="preserve">Accumulated Other Comprehensive Loss -- Account 219 (Note 14): </t>
  </si>
  <si>
    <t>1) Calculation of Cost of Long Term Debt</t>
  </si>
  <si>
    <t>Long-Term Debt Component - Denominator:</t>
  </si>
  <si>
    <t>(Plus) Bonds (Acct. 221)</t>
  </si>
  <si>
    <t>(Less) Reacquired Bonds (Acct. 222)</t>
  </si>
  <si>
    <t>(Plus) Other Long-Term Debt (Acct. 224)</t>
  </si>
  <si>
    <t>LTD = Long Term Debt</t>
  </si>
  <si>
    <t>Long-Term Debt Component - Numerator:</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</si>
  <si>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</si>
  <si>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</si>
  <si>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</si>
  <si>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</si>
  <si>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</si>
  <si>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</si>
  <si>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</si>
  <si>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</si>
  <si>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</si>
  <si>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</si>
  <si>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</si>
  <si>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</si>
  <si>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</si>
  <si>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 Col 5 + Col 6</t>
  </si>
  <si>
    <t>Preferred Stock Series Name</t>
  </si>
  <si>
    <t>Issue Date</t>
  </si>
  <si>
    <t>Dividend Rate</t>
  </si>
  <si>
    <t>Dividend</t>
  </si>
  <si>
    <t>Shares Outstanding</t>
  </si>
  <si>
    <t>3) Reacquired Preferred Stock Information</t>
  </si>
  <si>
    <t>Call Date</t>
  </si>
  <si>
    <t>Total Issuance Cost</t>
  </si>
  <si>
    <t>Amortization Period</t>
  </si>
  <si>
    <t>Notes and Sources</t>
  </si>
  <si>
    <t>---</t>
  </si>
  <si>
    <t>2) Annual dividend calculation consistent with 18 CFR 35.13 (22) (iii)</t>
  </si>
  <si>
    <t>Transmission Plant in FERC Form 1 for Prior Year:</t>
  </si>
  <si>
    <t xml:space="preserve">Transmission Plant balances are Prior Year ending balances from PG&amp;E's FERC Form 1. </t>
  </si>
  <si>
    <t>Col 1 + Col 3 - Col 4</t>
  </si>
  <si>
    <t>FERC Form 1</t>
  </si>
  <si>
    <t>FERC</t>
  </si>
  <si>
    <t>CPUC</t>
  </si>
  <si>
    <t>FERC Account</t>
  </si>
  <si>
    <t>Account Description</t>
  </si>
  <si>
    <t>Source for Col 1</t>
  </si>
  <si>
    <t>Adjustments</t>
  </si>
  <si>
    <t>Source for Col 4</t>
  </si>
  <si>
    <t>Land and Land Rights</t>
  </si>
  <si>
    <t>Structures and Improvements</t>
  </si>
  <si>
    <t>Station Equipment</t>
  </si>
  <si>
    <t>Towers and Fixtures</t>
  </si>
  <si>
    <t>Poles and Fixtures</t>
  </si>
  <si>
    <t>Overhead Conductors and Devices</t>
  </si>
  <si>
    <t>Underground Conduit</t>
  </si>
  <si>
    <t>Underground Conductor and Devices</t>
  </si>
  <si>
    <t>Roads and Trails</t>
  </si>
  <si>
    <t>Total Transmission Plant</t>
  </si>
  <si>
    <t>Network Transmission Plant In Service</t>
  </si>
  <si>
    <t>1) Total Network Transmission Functional Plant</t>
  </si>
  <si>
    <t>Section 2 + 
Section 3</t>
  </si>
  <si>
    <t>FERC Account:</t>
  </si>
  <si>
    <t>ETP35001</t>
  </si>
  <si>
    <t>ETP35002</t>
  </si>
  <si>
    <t>ETP35201</t>
  </si>
  <si>
    <t>ETP35202</t>
  </si>
  <si>
    <t>ETP35301</t>
  </si>
  <si>
    <t>ETP35302</t>
  </si>
  <si>
    <t>ETP35400</t>
  </si>
  <si>
    <t>ETP35500</t>
  </si>
  <si>
    <t>ETP35600</t>
  </si>
  <si>
    <t>ETP35700</t>
  </si>
  <si>
    <t>ETP35800</t>
  </si>
  <si>
    <t>ETP35900</t>
  </si>
  <si>
    <t>Total</t>
  </si>
  <si>
    <t>13-Month Average</t>
  </si>
  <si>
    <t>2) Network Transmission Functional Plant - High Voltage</t>
  </si>
  <si>
    <t>3) Network Transmission Functional Plant - Low Voltage</t>
  </si>
  <si>
    <t>4) Direct Assigned Common, General and Intangible (CGI) Plant</t>
  </si>
  <si>
    <t>Col 2 + Col 3</t>
  </si>
  <si>
    <t>Total Direct</t>
  </si>
  <si>
    <t>Direct Assigned</t>
  </si>
  <si>
    <t>Assigned CGI</t>
  </si>
  <si>
    <t>High Voltage</t>
  </si>
  <si>
    <t>Low Voltage</t>
  </si>
  <si>
    <t>Average</t>
  </si>
  <si>
    <t>5) Corporate Services (Gas and Electric) Residual Common, General and Intangible (CGI) Plant</t>
  </si>
  <si>
    <t>Col 1 * Col 2</t>
  </si>
  <si>
    <t>Network</t>
  </si>
  <si>
    <t>Total PG&amp;E</t>
  </si>
  <si>
    <t>Residual CGI</t>
  </si>
  <si>
    <t>O&amp;M Labor Factor</t>
  </si>
  <si>
    <t>Corporate CGI</t>
  </si>
  <si>
    <t>6) Corporate Services (Electric) Residual Common, General and Intangible (CGI) Plant</t>
  </si>
  <si>
    <t>Corporate Services (Electric) Residual Common, General and Intangible (CGI) Plant is extracted from PowerPlant, PG&amp;E's fixed asset system of record, by querying by Asset Class, FERC Account and UCC.</t>
  </si>
  <si>
    <t>Total Electric</t>
  </si>
  <si>
    <t>7) Total Network Transmission Common, General and Intangible (CGI) Plant</t>
  </si>
  <si>
    <t>Total Network Transmission Common, General and Intangible (CGI) Plant is the total of the Direct Assigned CGI Plant (Section 4) and the residual CGI Plant (Sections 5-6) allocated to Network Transmission using labor allocation factors.</t>
  </si>
  <si>
    <t>Total of 
Sections 4-6</t>
  </si>
  <si>
    <t>Total Network</t>
  </si>
  <si>
    <t>High</t>
  </si>
  <si>
    <t>Low</t>
  </si>
  <si>
    <t>Transmission CGI</t>
  </si>
  <si>
    <t>Voltage CGI</t>
  </si>
  <si>
    <t xml:space="preserve">Abandoned Plant Balance and Amortization </t>
  </si>
  <si>
    <t>Forecast Net Plant Additions for Network Transmission Plant</t>
  </si>
  <si>
    <t>The 13-month average (including Prior Year + 2 and December of Prior Year + 1) of Net Plant Additions is multiplied by the AFCR to calculate the ITRR.</t>
  </si>
  <si>
    <t>1) Total Forecast Net Plant Additions</t>
  </si>
  <si>
    <t>Total Forecast Net Plant Additions are the total of High Voltage Net Plant Additions (Section 2) and Low Voltage Net Plant Additions (Section 3).</t>
  </si>
  <si>
    <t>Section 2 +
Section 3</t>
  </si>
  <si>
    <t>Forecast Period</t>
  </si>
  <si>
    <t>Gross</t>
  </si>
  <si>
    <t>Incremental</t>
  </si>
  <si>
    <t>Depreciation</t>
  </si>
  <si>
    <t>Cost of Removal</t>
  </si>
  <si>
    <t>Net</t>
  </si>
  <si>
    <t>Plant Adds</t>
  </si>
  <si>
    <t>Gross Plant</t>
  </si>
  <si>
    <t>Accrual</t>
  </si>
  <si>
    <t>Spend</t>
  </si>
  <si>
    <t>Reserve</t>
  </si>
  <si>
    <t>Plant Additions</t>
  </si>
  <si>
    <t>13-Month Average:</t>
  </si>
  <si>
    <t>2) High Voltage Net Plant Additions</t>
  </si>
  <si>
    <t xml:space="preserve">High Voltage Net Plant Additions are the total of the forecasted Incremental Gross Plant less the Incremental Reserve. Incremental Gross Plant is the total of forecast Gross Plant Additions. </t>
  </si>
  <si>
    <t>Incremental Reserve is the total of the calculated depreciation related to the Incremental Gross Plant less the forecast Cost of Removal.</t>
  </si>
  <si>
    <t>Prior Month 
+ Col 1</t>
  </si>
  <si>
    <t>Prior Month 
+ Col 3 - Col 4</t>
  </si>
  <si>
    <t xml:space="preserve">Col 2 - Col 5 </t>
  </si>
  <si>
    <t xml:space="preserve">October </t>
  </si>
  <si>
    <t>3) Low Voltage Net Plant Additions</t>
  </si>
  <si>
    <t xml:space="preserve">Low Voltage Net Plant Additions are the total of the forecasted Incremental Gross Plant less the Incremental Reserve. Incremental Gross Plant is the total of forecast Gross Plant Additions. </t>
  </si>
  <si>
    <t>Asset Class</t>
  </si>
  <si>
    <t>Rate</t>
  </si>
  <si>
    <t>(Note 3)</t>
  </si>
  <si>
    <t>Accumulated Depreciation for Network Transmission Assets</t>
  </si>
  <si>
    <t>1) Total Accumulated Depreciation for Network Transmission Functional Plant</t>
  </si>
  <si>
    <t xml:space="preserve">Total Accumulated Depreciation for Network Transmission Functional Plant is the total of the Accumulated Depreciation related to High Voltage (Section 2) and Low Voltage (Section 3) Network Transmission Plant. </t>
  </si>
  <si>
    <t>2) Accumulated Depreciation for Network Transmission Functional Plant - High Voltage</t>
  </si>
  <si>
    <t>3) Accumulated Depreciation for Network Transmission Functional Plant - Low Voltage</t>
  </si>
  <si>
    <t>4) Accumulated Depreciation for Direct Assigned Common, General and Intangible (CGI) Plant</t>
  </si>
  <si>
    <t>Total CGI</t>
  </si>
  <si>
    <t>5) Accumulated Depreciation for Corporate Services (Gas and Electric) Residual Common, General and Intangible (CGI) Plant</t>
  </si>
  <si>
    <t>6) Accumulated Depreciation for Corporate Services (Electric) Residual Common, General and Intangible (CGI) Plant</t>
  </si>
  <si>
    <t>7) Total Accumulated Depreciation for Network Transmission Common, General and Intangible (CGI) Plant</t>
  </si>
  <si>
    <t>Total Accumulated Depreciation balances for Network Transmission CGI Plant is the total of the amount related to Direct Assigned CGI Plant (Section 4) and amounts related to Residual CGI Plant (Sections 5-6) allocated to Network Transmission using labor allocation factors.</t>
  </si>
  <si>
    <t>Network Transmission Depreciation Expense</t>
  </si>
  <si>
    <t>1) Depreciation Expense for Network Transmission Functional Plant</t>
  </si>
  <si>
    <t>Voltage</t>
  </si>
  <si>
    <t>2) Depreciation Expense for Direct Assigned Common, General and Intangible (CGI) Plant</t>
  </si>
  <si>
    <t>3) Depreciation Expense for Corporate Services (Gas and Electric) Residual Common, General and Intangible (CGI) Plant</t>
  </si>
  <si>
    <t>Corporate</t>
  </si>
  <si>
    <t>Allocation of</t>
  </si>
  <si>
    <t>4) Depreciation Expense for Corporate Services (Electric) Residual Common, General and Intangible (CGI) Plant</t>
  </si>
  <si>
    <t>Electric</t>
  </si>
  <si>
    <t>Electric CGI</t>
  </si>
  <si>
    <t>5) Total Depreciation Expense for Network Transmission Common, General and Intangible (CGI) Plant</t>
  </si>
  <si>
    <t>Total of 
Sections 2-4</t>
  </si>
  <si>
    <t>Calculation of Depreciation Expense Rate Adjustment for Proposed Depreciation Rates</t>
  </si>
  <si>
    <t>The following sections (Sections 6-9) are used to calculate the Depreciation Expense Rate Adjustment, which is a method to account for the potential difference in the Base TRR that would result from changing the depreciation rates for Network Transmission Functional Plant.</t>
  </si>
  <si>
    <t xml:space="preserve">The Depreciation Expense Rate Adjustment factors into the Base TRR only in filings where there are proposed depreciation rates for the rate year that are different from the rates used to record depreciation expense in the Prior Year. </t>
  </si>
  <si>
    <t>6) Total Network Transmission Functional Plant</t>
  </si>
  <si>
    <t>7-PlantInService</t>
  </si>
  <si>
    <t>7) Proposed Network Transmission Functional Plant Depreciation Rates</t>
  </si>
  <si>
    <t>The rates listed below are annual rates.</t>
  </si>
  <si>
    <t>Proposed Depreciation Rates</t>
  </si>
  <si>
    <t>8) Calculated Depreciation Expense for Prior Year Recorded Network Transmission Functional Plant Using Proposed Rates</t>
  </si>
  <si>
    <t xml:space="preserve">The Prior Year recorded plant balances are multiplied by the proposed depreciation rates to calculate the total Prior Year depreciation expense that would have resulted from using the proposed rates. </t>
  </si>
  <si>
    <t>Section 6 * 
(Section 7)/12</t>
  </si>
  <si>
    <t>9) Depreciation Expense Rate Adjustment</t>
  </si>
  <si>
    <t xml:space="preserve">The Depreciation Expense Rate Adjustment is the difference between the recorded Prior Year depreciation expense and the depreciation expense amount that would have resulted from using the proposed rates. </t>
  </si>
  <si>
    <t>Calculated Depreciation Expense for Recorded Plant Using Proposed Rates</t>
  </si>
  <si>
    <t>Total Prior Year Recorded Depreciation Expense</t>
  </si>
  <si>
    <t>Depreciation Expense Rate Adjustment</t>
  </si>
  <si>
    <t>COMPUTER SOFTWARE</t>
  </si>
  <si>
    <t>EIP30303</t>
  </si>
  <si>
    <t>USBR - LIMITED TERM ELECTRIC</t>
  </si>
  <si>
    <t>EIP30301</t>
  </si>
  <si>
    <t>FRANCHISES AND CONSENTS</t>
  </si>
  <si>
    <t>EIP30201</t>
  </si>
  <si>
    <t>MISCELLANEOUS EQUIPMENT</t>
  </si>
  <si>
    <t>EGP39800</t>
  </si>
  <si>
    <t>AMI COMMUNICATION NETWORK</t>
  </si>
  <si>
    <t>EGP39708</t>
  </si>
  <si>
    <t>COMMUNICATION EQUIPMENT</t>
  </si>
  <si>
    <t>EGP39700</t>
  </si>
  <si>
    <t>POWER OPERATED EQUIPMENT</t>
  </si>
  <si>
    <t>EGP39600</t>
  </si>
  <si>
    <t>LABORATORY EQUIPMENT</t>
  </si>
  <si>
    <t>EGP39500</t>
  </si>
  <si>
    <t>TOOLS, SHOP AND WORK EQUIPMENT</t>
  </si>
  <si>
    <t>EGP39400</t>
  </si>
  <si>
    <t>OFFICE FURNITURE AND EQUIPMENT</t>
  </si>
  <si>
    <t>EGP39100</t>
  </si>
  <si>
    <t>STRUCTURES AND IMPROVEMENTS</t>
  </si>
  <si>
    <t>EGP39000</t>
  </si>
  <si>
    <t>LAND RIGHTS</t>
  </si>
  <si>
    <t>EGP38902</t>
  </si>
  <si>
    <t>LAND</t>
  </si>
  <si>
    <t>EGP38901</t>
  </si>
  <si>
    <t>OTHER TANGIBLE PROPERTY</t>
  </si>
  <si>
    <t>CMP39900</t>
  </si>
  <si>
    <t>CMP39800</t>
  </si>
  <si>
    <t>CMP39708</t>
  </si>
  <si>
    <t>COMMUNICATION EQUIPMENT - TRANSMISSION SYSTEMS, ELECTRIC AMI</t>
  </si>
  <si>
    <t>CMP39707</t>
  </si>
  <si>
    <t>COMMUNICATION EQUIPMENT - TRANSMISSION SYSTEMS, GAS AMI</t>
  </si>
  <si>
    <t>CMP39706</t>
  </si>
  <si>
    <t>COMMUNICATION EQUIPMENT - TRANSMISSION SYSTEMS</t>
  </si>
  <si>
    <t>CMP39705</t>
  </si>
  <si>
    <t>COMMUNICATION EQUIPMENT - VOICE SYSTEMS</t>
  </si>
  <si>
    <t>CMP39704</t>
  </si>
  <si>
    <t>COMMUNICATION EQUIPMENT - RADIO SYSTEMS</t>
  </si>
  <si>
    <t>CMP39703</t>
  </si>
  <si>
    <t>COMMUNICATION EQUIPMENT - COMPUTER</t>
  </si>
  <si>
    <t>CMP39702</t>
  </si>
  <si>
    <t>COMMUNICATION EQUIPMENT - NON-COMPUTER</t>
  </si>
  <si>
    <t>CMP39701</t>
  </si>
  <si>
    <t>CMP39600</t>
  </si>
  <si>
    <t>CMP39500</t>
  </si>
  <si>
    <t>TOOLS, SHOP AND GARAGE EQUIPMENT</t>
  </si>
  <si>
    <t>CMP39400</t>
  </si>
  <si>
    <t>STORES EQUIPMENT</t>
  </si>
  <si>
    <t>CMP39300</t>
  </si>
  <si>
    <t>TRANSPORTATION EQUIPMENT - TRAILERS</t>
  </si>
  <si>
    <t>CMP39209</t>
  </si>
  <si>
    <t>TRANSPORTATION EQUIPMENT - VESSELS</t>
  </si>
  <si>
    <t>CMP39208</t>
  </si>
  <si>
    <t xml:space="preserve">TRANSPORTATION EQUIPMENT - CLASS T4 </t>
  </si>
  <si>
    <t>CMP39207</t>
  </si>
  <si>
    <t>TRANSPORTATION EQUIPMENT - CLASS T3</t>
  </si>
  <si>
    <t>CMP39206</t>
  </si>
  <si>
    <t xml:space="preserve">TRANSPORTATION EQUIPMENT - CLASS T1 </t>
  </si>
  <si>
    <t>CMP39205</t>
  </si>
  <si>
    <t>TRANSPORTATION EQUIPMENT - CLASS C4</t>
  </si>
  <si>
    <t>CMP39204</t>
  </si>
  <si>
    <t>TRANSPORTATION EQUIPMENT - CLASS C2</t>
  </si>
  <si>
    <t>CMP39203</t>
  </si>
  <si>
    <t>TRANSPORTATION EQUIPMENT - CLASS P</t>
  </si>
  <si>
    <t>CMP39202</t>
  </si>
  <si>
    <t>TRANSPORTATION EQUIPMENT - AIR</t>
  </si>
  <si>
    <t>CMP39201</t>
  </si>
  <si>
    <t>OFFICE MACHINES AND COMPUTER EQUIPMENT - CIS - FULLY ACCRUED</t>
  </si>
  <si>
    <t>CMP39104</t>
  </si>
  <si>
    <t>CMP39103</t>
  </si>
  <si>
    <t>PC HARDWARE</t>
  </si>
  <si>
    <t>CMP39102</t>
  </si>
  <si>
    <t xml:space="preserve">OFFICE MACHINES </t>
  </si>
  <si>
    <t>CMP39101</t>
  </si>
  <si>
    <t>CMP39000</t>
  </si>
  <si>
    <t>CMP38902</t>
  </si>
  <si>
    <t>LAND - COMMON PLANT</t>
  </si>
  <si>
    <t>CMP38901</t>
  </si>
  <si>
    <t>SOFTWARE CIS</t>
  </si>
  <si>
    <t>CMP30304</t>
  </si>
  <si>
    <t>SOFTWARE</t>
  </si>
  <si>
    <t>CMP30302</t>
  </si>
  <si>
    <t>FRANCHISES AND CONSENTS - COMMON PLANT</t>
  </si>
  <si>
    <t>CMP30200</t>
  </si>
  <si>
    <t>ORGANIZATION - COMMON PLANT</t>
  </si>
  <si>
    <t>CMP30101</t>
  </si>
  <si>
    <t>Asset Class Description</t>
  </si>
  <si>
    <t>RESERVE</t>
  </si>
  <si>
    <t>COST</t>
  </si>
  <si>
    <t>BOOK</t>
  </si>
  <si>
    <t>ORIGINAL</t>
  </si>
  <si>
    <t>TOTAL TRANSMISSION PLANT</t>
  </si>
  <si>
    <t>ROADS AND TRAILS</t>
  </si>
  <si>
    <t>UNDERGROUND CONDUCTORS AND DEVICES</t>
  </si>
  <si>
    <t>UNDERGROUND CONDUIT</t>
  </si>
  <si>
    <t>OVERHEAD CONDUCTORS AND DEVICES</t>
  </si>
  <si>
    <t>POLES AND FIXTURES</t>
  </si>
  <si>
    <t>TOWERS AND FIXTURES</t>
  </si>
  <si>
    <t>STATION EQUIPMENT - STEP-UP TRANSFORMERS</t>
  </si>
  <si>
    <t>STATION EQUIPMENT</t>
  </si>
  <si>
    <t>STRUCTURES AND IMPROVEMENTS - EQUIPMENT</t>
  </si>
  <si>
    <t>COR RATE</t>
  </si>
  <si>
    <t>LIFE RATE</t>
  </si>
  <si>
    <t>RATE</t>
  </si>
  <si>
    <t>AMOUNT</t>
  </si>
  <si>
    <t>LIFE</t>
  </si>
  <si>
    <t>CURVE</t>
  </si>
  <si>
    <t>ACCRUALS</t>
  </si>
  <si>
    <t>PCT.</t>
  </si>
  <si>
    <t>ANNUAL ACCRUAL</t>
  </si>
  <si>
    <t>REMAINING</t>
  </si>
  <si>
    <t>SURVIVOR</t>
  </si>
  <si>
    <t>FUTURE</t>
  </si>
  <si>
    <t>NET SALVAGE</t>
  </si>
  <si>
    <t>Calculation of Components of Working Capital</t>
  </si>
  <si>
    <t>1) Calculation of Materials and Supplies</t>
  </si>
  <si>
    <t>Materials and Supplies balances are recorded in FERC Account 154.</t>
  </si>
  <si>
    <t xml:space="preserve">Total </t>
  </si>
  <si>
    <t>Company</t>
  </si>
  <si>
    <t xml:space="preserve">Line </t>
  </si>
  <si>
    <t>Materials &amp; Supplies</t>
  </si>
  <si>
    <t xml:space="preserve"> Transmission </t>
  </si>
  <si>
    <t>col 1</t>
  </si>
  <si>
    <t>col 2</t>
  </si>
  <si>
    <t>col 3</t>
  </si>
  <si>
    <t>Data Source:</t>
  </si>
  <si>
    <t>col 3 - col 4</t>
  </si>
  <si>
    <t xml:space="preserve">Less:  </t>
  </si>
  <si>
    <t>Detail of Adjusted Total Prepaids</t>
  </si>
  <si>
    <t>Direct Assignments</t>
  </si>
  <si>
    <t>Adjusted Total</t>
  </si>
  <si>
    <t>Property Insurance</t>
  </si>
  <si>
    <t>Liability Insurance</t>
  </si>
  <si>
    <t>Misc.</t>
  </si>
  <si>
    <t>Plant Ratio</t>
  </si>
  <si>
    <t>Labor Average</t>
  </si>
  <si>
    <t>Labor Ratio</t>
  </si>
  <si>
    <t>a)  13 Month Avg Calculation</t>
  </si>
  <si>
    <t>Allocated Prepayments</t>
  </si>
  <si>
    <t>b)  EOY Calculation</t>
  </si>
  <si>
    <t>Note 2:   PG&amp;E's supply chain management team uses specific material codes to assign recorded inventory balances to Network Transmission.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</si>
  <si>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</si>
  <si>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</si>
  <si>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</si>
  <si>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</si>
  <si>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</si>
  <si>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 xml:space="preserve">Accumulated Deferred Income Taxes </t>
  </si>
  <si>
    <t>1) Summary of Accumulated Deferred Income Taxes</t>
  </si>
  <si>
    <t>a) End of Year Accumulated Deferred Income Taxes</t>
  </si>
  <si>
    <t>Account</t>
  </si>
  <si>
    <t>Total ADIT</t>
  </si>
  <si>
    <t>Account 190</t>
  </si>
  <si>
    <t>Account 282</t>
  </si>
  <si>
    <t>Account 283</t>
  </si>
  <si>
    <t>Account 255</t>
  </si>
  <si>
    <t>Total Accumulated Deferred Income Taxes</t>
  </si>
  <si>
    <t>b) Beginning of Year Accumulated Deferred Income Taxes</t>
  </si>
  <si>
    <t>BOY ADIT</t>
  </si>
  <si>
    <t>c) Average of Beginning and End of Year Accumulated Deferred Income Taxes</t>
  </si>
  <si>
    <t>Average ADIT</t>
  </si>
  <si>
    <t>Weighted Average ADIT:</t>
  </si>
  <si>
    <t>2) Account 190 Detail</t>
  </si>
  <si>
    <t>Labor</t>
  </si>
  <si>
    <t>ACCT 190</t>
  </si>
  <si>
    <t>DESCRIPTION</t>
  </si>
  <si>
    <t>ISO Only</t>
  </si>
  <si>
    <t>Plant Related</t>
  </si>
  <si>
    <t>Related</t>
  </si>
  <si>
    <t>Electric:</t>
  </si>
  <si>
    <t>Injuries and Damages</t>
  </si>
  <si>
    <t>Total Account 190</t>
  </si>
  <si>
    <t>Allocation Factors (Plant and Wages)</t>
  </si>
  <si>
    <t>Total Account 190 ADIT</t>
  </si>
  <si>
    <t>(Sum of amounts in Columns 4 to 6)</t>
  </si>
  <si>
    <t>FERC Form 1 Account 190</t>
  </si>
  <si>
    <t>3) Account 282 Detail</t>
  </si>
  <si>
    <t>ACCT 282</t>
  </si>
  <si>
    <t>…</t>
  </si>
  <si>
    <t>Total Account 282</t>
  </si>
  <si>
    <t>Total Account 282 ADIT</t>
  </si>
  <si>
    <t>FERC Form 1 Account 282</t>
  </si>
  <si>
    <t>4) Account 283 Detail</t>
  </si>
  <si>
    <t>ACCT 283</t>
  </si>
  <si>
    <t>Total Account 283</t>
  </si>
  <si>
    <t>Total Account 283 ADIT</t>
  </si>
  <si>
    <t>FERC Form 1 Account 283</t>
  </si>
  <si>
    <t>5) Account 255 Detail</t>
  </si>
  <si>
    <t>ACCT 255</t>
  </si>
  <si>
    <t>Total Electric 255</t>
  </si>
  <si>
    <t>Total Account 255 ADIT</t>
  </si>
  <si>
    <t>FERC Form 1 Account 255</t>
  </si>
  <si>
    <t>6) Tax Normalization Calculation Pursuant to Treas. Reg §1.167(l)-1(h)(6); PLR 9313008; 9202029; 922404; 201717008</t>
  </si>
  <si>
    <t>See Note 1</t>
  </si>
  <si>
    <t>See Note 2</t>
  </si>
  <si>
    <t>Col 5 / Tot. Days</t>
  </si>
  <si>
    <t>= Col 2 * Col 6</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</si>
  <si>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</si>
  <si>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</si>
  <si>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</si>
  <si>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</si>
  <si>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</si>
  <si>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</si>
  <si>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</si>
  <si>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</si>
  <si>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</si>
  <si>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</si>
  <si>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</si>
  <si>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</si>
  <si>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</si>
  <si>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</si>
  <si>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Weighted Average ADIT Balance:</t>
  </si>
  <si>
    <t>1) The monthly deferred tax amounts are equal to the ending ADIT balance minus the beginning ADIT balance, divided by 12 months.</t>
  </si>
  <si>
    <t>Network Upgrade Credit and Interest Expense</t>
  </si>
  <si>
    <t>Beginning of Year Balances</t>
  </si>
  <si>
    <t>Outstanding Network Upgrade Credits Recorded in FERC Acct 252</t>
  </si>
  <si>
    <t>FERC Acct 252 Other</t>
  </si>
  <si>
    <t>Total Acct 252 - Customer Advances for Construction</t>
  </si>
  <si>
    <t>Outstanding Network Upgrade Credits</t>
  </si>
  <si>
    <t>FERC Acct 252 - Other</t>
  </si>
  <si>
    <t>Interest on Network Upgrade Credits Recorded in FERC Acct 431</t>
  </si>
  <si>
    <t>FERC Acct 431 - Other</t>
  </si>
  <si>
    <t>Total Acct 431 - Other Interest Expense</t>
  </si>
  <si>
    <t xml:space="preserve">Average of EOY and BOY </t>
  </si>
  <si>
    <t>BOY/EOY Average:</t>
  </si>
  <si>
    <t>Allocated Accrued Vacation</t>
  </si>
  <si>
    <t>Labor Allocation Factor</t>
  </si>
  <si>
    <t>Net Accrued Vacation</t>
  </si>
  <si>
    <t>Less:  Permanent Accounting Adjustment</t>
  </si>
  <si>
    <t>End of Year (EOY)</t>
  </si>
  <si>
    <t>Beginning of year (BOY)</t>
  </si>
  <si>
    <t>Issue #3</t>
  </si>
  <si>
    <t>Issue #2</t>
  </si>
  <si>
    <t>Sum of below</t>
  </si>
  <si>
    <t xml:space="preserve">  Regulatory Liability</t>
  </si>
  <si>
    <t>Debit/Credit</t>
  </si>
  <si>
    <t>Asset/Liability</t>
  </si>
  <si>
    <t xml:space="preserve"> Granting Approval of </t>
  </si>
  <si>
    <t>Regulatory</t>
  </si>
  <si>
    <t>Other Reg</t>
  </si>
  <si>
    <t>Resulting in Other Regulatory</t>
  </si>
  <si>
    <t xml:space="preserve">  Commission Order</t>
  </si>
  <si>
    <t>Amortization or</t>
  </si>
  <si>
    <t>EOY</t>
  </si>
  <si>
    <t>BOY</t>
  </si>
  <si>
    <t>Description of Issue</t>
  </si>
  <si>
    <t>Amortization and Regulatory Debits and Credits:</t>
  </si>
  <si>
    <t>Other Regulatory Assets and Liabilities (BOY/EOY average):</t>
  </si>
  <si>
    <t>Other Regulatory Assets and Liabilities (EOY):</t>
  </si>
  <si>
    <t>Calculation or Source</t>
  </si>
  <si>
    <t>2) Insert additional lines as necessary for additional issues.</t>
  </si>
  <si>
    <t>b) Enter costs in columns 1-3 in above table for the applicable Prior Year.</t>
  </si>
  <si>
    <t>a) Fill in Description for issue in above table.</t>
  </si>
  <si>
    <t>Regulatory Debits and Credits costs through this formula transmission rate:</t>
  </si>
  <si>
    <t>1) Upon Commission approval of recovery of Other Regulatory Assets and Liabilities, Amortization and</t>
  </si>
  <si>
    <t xml:space="preserve">in the Base TRR, consistent with a Commission Order.  </t>
  </si>
  <si>
    <t>return to customers in this formula transmission rate.  Approved costs are amortized as expenses or revenue</t>
  </si>
  <si>
    <t xml:space="preserve">Amortization and Regulatory Debits and Credits are costs of revenues that are approved for recovery from or </t>
  </si>
  <si>
    <t>approval received subsequent to a PG&amp;E Section 205 filing requesting such treatment.</t>
  </si>
  <si>
    <t xml:space="preserve">PG&amp;E will include a non-zero amount of Other Regulatory Assets and Liabilities only with Commission </t>
  </si>
  <si>
    <t>(Account 254).  This Schedule does not include Abandoned Plant costs recovered through Schedule 8.</t>
  </si>
  <si>
    <t>deferred to a future period and recorded in Other Regulatory Assets (Account 182.3) and Regulatory Liabilities</t>
  </si>
  <si>
    <t>Other Regulatory Assets and Liabilities are a component of Rate Base representing costs that have been</t>
  </si>
  <si>
    <t>Regulatory Assets and Liabilities and Associated Amortization and Regulatory Debits and Credits</t>
  </si>
  <si>
    <t>Maintenance of Underground Lines</t>
  </si>
  <si>
    <t>Maintenance of Overhead Lines</t>
  </si>
  <si>
    <t>Maintenance of Energy Storage Equipment</t>
  </si>
  <si>
    <t>Maintenance Supervision and Engineering</t>
  </si>
  <si>
    <t>Rents</t>
  </si>
  <si>
    <t>Miscellaneous Transmission Expenses</t>
  </si>
  <si>
    <t>Transmission of Electricity by Others</t>
  </si>
  <si>
    <t>Underground Line Expenses</t>
  </si>
  <si>
    <t>Overhead Line Expenses</t>
  </si>
  <si>
    <t>Operation of Energy Storage Equipment</t>
  </si>
  <si>
    <t>Station Expenses</t>
  </si>
  <si>
    <t>Load Dispatch - Reliability</t>
  </si>
  <si>
    <t>Operation Supervision and Engineering</t>
  </si>
  <si>
    <t>Total Transmission O&amp;M</t>
  </si>
  <si>
    <t>Non-Labor</t>
  </si>
  <si>
    <t>Network Transmission O&amp;M Expense</t>
  </si>
  <si>
    <t>Network Transmission %</t>
  </si>
  <si>
    <t>Recorded Adjusted O&amp;M Expense</t>
  </si>
  <si>
    <t>FERC Account Description</t>
  </si>
  <si>
    <t>Col 13 + Col 14</t>
  </si>
  <si>
    <t>Col 10 * Col 12</t>
  </si>
  <si>
    <t>Col 9 * Col 12</t>
  </si>
  <si>
    <t>Col 9 + Col 10</t>
  </si>
  <si>
    <t>Col 4 + Col 7</t>
  </si>
  <si>
    <t>Col 3 + Col 6</t>
  </si>
  <si>
    <t>Col 6 + Col 7</t>
  </si>
  <si>
    <t>Col 3 + Col 4, Note 2</t>
  </si>
  <si>
    <t>Col 15</t>
  </si>
  <si>
    <t>Operations and Maintenance Expense</t>
  </si>
  <si>
    <t>Maintenance of General Plant</t>
  </si>
  <si>
    <t>Miscellaneous General Expense</t>
  </si>
  <si>
    <t>General Advertising Expense</t>
  </si>
  <si>
    <t>Duplicate Charges</t>
  </si>
  <si>
    <t>Regulatory Commission Expenses</t>
  </si>
  <si>
    <t>Franchise Requirements</t>
  </si>
  <si>
    <t>Employee Pensions and Benefits</t>
  </si>
  <si>
    <t>Outside Services Employed</t>
  </si>
  <si>
    <t>A&amp;G Expenses Transferred</t>
  </si>
  <si>
    <t>Office Supplies and Expenses</t>
  </si>
  <si>
    <t>A&amp;G Salaries</t>
  </si>
  <si>
    <t>Line 209 + Line 213 + Line 217</t>
  </si>
  <si>
    <t>Total Transmission Portion of Administrative and General Expenses:</t>
  </si>
  <si>
    <t>Transmission Portion of Property Insurance Account 924</t>
  </si>
  <si>
    <t>Line 108, col 7</t>
  </si>
  <si>
    <t>Account 924 Property Insurance nonnuclear:</t>
  </si>
  <si>
    <t>Based on Yearend Plant</t>
  </si>
  <si>
    <t>Transmission Portion of A&amp;G from Labor Allocation Factors:</t>
  </si>
  <si>
    <t>Transmission as a Percent of Electric O&amp;M Labor Allocation Factor:</t>
  </si>
  <si>
    <t>Total Electric Portion of A&amp;G From Labor</t>
  </si>
  <si>
    <t>Electric O&amp;M Labor Allocation Factor:</t>
  </si>
  <si>
    <t>Total A&amp;G Expense Applicable to the O&amp;M Labor Allocation Factor:</t>
  </si>
  <si>
    <t>Less Account  924 Property Insurance nonnuclear:</t>
  </si>
  <si>
    <t>Line 118, col 7</t>
  </si>
  <si>
    <t>A&amp;G Expense after Adjustments</t>
  </si>
  <si>
    <t>Based on Labor Factors</t>
  </si>
  <si>
    <t>2)  Calculation of Network Transmission A&amp;G Expense</t>
  </si>
  <si>
    <t>FF2 325, L. 270, col b</t>
  </si>
  <si>
    <t>Total A&amp;G Expenses:</t>
  </si>
  <si>
    <t>FF2 325, L. 269, col b</t>
  </si>
  <si>
    <t>FF2 325, L. 266, col b</t>
  </si>
  <si>
    <t>FF2 325, L. 265, col b</t>
  </si>
  <si>
    <t>FF2 325, L. 264, col b</t>
  </si>
  <si>
    <t>FF2 325, L. 263, col b</t>
  </si>
  <si>
    <t>FF2 325, L. 262, col b</t>
  </si>
  <si>
    <t>FF2 325, L. 261, col b</t>
  </si>
  <si>
    <t>FF2 325, L. 260, col b</t>
  </si>
  <si>
    <t>FF2 325, L. 259, col b</t>
  </si>
  <si>
    <t>FF2 325, L. 258, col b</t>
  </si>
  <si>
    <t>FF2 325, L. 257, col b</t>
  </si>
  <si>
    <t>FF2 325, L. 256, col b</t>
  </si>
  <si>
    <t>FF2 325, L. 255, col b</t>
  </si>
  <si>
    <t>FF2 325, L. 254, col b</t>
  </si>
  <si>
    <t>Amount Excluded</t>
  </si>
  <si>
    <t>Acct.</t>
  </si>
  <si>
    <t>Total Company Adj</t>
  </si>
  <si>
    <t xml:space="preserve">Total Company </t>
  </si>
  <si>
    <t>Data</t>
  </si>
  <si>
    <t>FERC Form 2</t>
  </si>
  <si>
    <t>Col 7 = Col 5 - Col 6</t>
  </si>
  <si>
    <t>Col 5 = Col 1+Col 3</t>
  </si>
  <si>
    <t>1)  Calculation of Total Company Adjusted A&amp;G Expense</t>
  </si>
  <si>
    <t>Input Cells are shaded in gold</t>
  </si>
  <si>
    <t>Administrative and General Expenses</t>
  </si>
  <si>
    <t>1) Immaterial reconciling difference.</t>
  </si>
  <si>
    <t>Note 2, 5</t>
  </si>
  <si>
    <t>Other Transmission Revenue - Wheeling</t>
  </si>
  <si>
    <t>Other Utility Operating Income</t>
  </si>
  <si>
    <t>Reimbursed Electric Revenue - CPUC</t>
  </si>
  <si>
    <t>Other Electric Revenue - Calif Department of Water &amp; Resources (DWR)</t>
  </si>
  <si>
    <t>Reimbursed Electric Revenue Customer Care and Billing (CC&amp;B)</t>
  </si>
  <si>
    <t>Reimbursed Electric Revenue Joint Poles</t>
  </si>
  <si>
    <t>Note 2, 4</t>
  </si>
  <si>
    <t>Reimbursed Electric Revenue</t>
  </si>
  <si>
    <t>Unbilled Electric Revenue</t>
  </si>
  <si>
    <t>New Revenue Development - Electric Revenue</t>
  </si>
  <si>
    <t>NEBS TCRA</t>
  </si>
  <si>
    <t>Mobile Home Park Electric</t>
  </si>
  <si>
    <t>Revenue Damage Claims Electric</t>
  </si>
  <si>
    <t>Other Revenue - Affiliate</t>
  </si>
  <si>
    <t>Timber Sales - Utility</t>
  </si>
  <si>
    <t>Recreation Facilities Revenue</t>
  </si>
  <si>
    <t>MCI Rights-of-Way (B)</t>
  </si>
  <si>
    <t>Other Electric Revenues</t>
  </si>
  <si>
    <t>Acct 456 Total</t>
  </si>
  <si>
    <t>Other Electric Revenue</t>
  </si>
  <si>
    <t>New Revenue Development Fee Revenue</t>
  </si>
  <si>
    <t>New Revenue Development Rent</t>
  </si>
  <si>
    <t>Note 2, 3</t>
  </si>
  <si>
    <t>Rent from Electric Property</t>
  </si>
  <si>
    <t>Acct 454 Total</t>
  </si>
  <si>
    <t>Sales of Water and Water Power</t>
  </si>
  <si>
    <t>Acct 453 Total</t>
  </si>
  <si>
    <t>Miscellaneous Service Revenues - Reimbursable</t>
  </si>
  <si>
    <t>Miscellaneous Service Electric Customer Fund Management Non-RES</t>
  </si>
  <si>
    <t>Miscellaneous Service Electric Customer Fund Management - RES</t>
  </si>
  <si>
    <t>NRD Revenue Other</t>
  </si>
  <si>
    <t>Miscellaneous Service Revenues</t>
  </si>
  <si>
    <t>Acct 451 Total</t>
  </si>
  <si>
    <t>Forfeited Discounts</t>
  </si>
  <si>
    <t>Acct 450 Total</t>
  </si>
  <si>
    <t xml:space="preserve">NP&amp;S Transmission </t>
  </si>
  <si>
    <t>Total Network ET</t>
  </si>
  <si>
    <t>Network ET - Low Voltage</t>
  </si>
  <si>
    <t>Network ET - High Voltage</t>
  </si>
  <si>
    <t>ACCT DESCRIPTION</t>
  </si>
  <si>
    <t>NATURAL ACCT</t>
  </si>
  <si>
    <t>FERC ACCT</t>
  </si>
  <si>
    <t>Col 5 + Col 6</t>
  </si>
  <si>
    <t>1) Insert additional lines as necessary for additional items.</t>
  </si>
  <si>
    <t>3) Product Lines with negative Net Revenues are set to zero.</t>
  </si>
  <si>
    <t>Customer Revenue Credit (CRC$) = PTNR * CRC%</t>
  </si>
  <si>
    <t>Shareholder Allocation</t>
  </si>
  <si>
    <t>State and Federal taxes = PSA$ * t</t>
  </si>
  <si>
    <t>Pre-tax Shareholder Allocation (PSA$) = PTNR * PSA%</t>
  </si>
  <si>
    <t>Calculation of 50/50 After-Tax Sharing</t>
  </si>
  <si>
    <t xml:space="preserve">CRC% (Customer Revenue Credit Percent of Net Revenues) = 1 - [1 / (1+ k - kt)]                   </t>
  </si>
  <si>
    <t>PSA% (Pre-Tax Shareholder Percent of Net Revenues) = 1 / (1 + k - kt)</t>
  </si>
  <si>
    <t>50%/50% = 1</t>
  </si>
  <si>
    <t>k = The ratio of customer to shareholder after tax net revenues.</t>
  </si>
  <si>
    <t>PTNR (Pre-tax net revenue)</t>
  </si>
  <si>
    <t>Calculation of Pre-tax Revenue Allocation %</t>
  </si>
  <si>
    <t>Technology &amp; Licenses</t>
  </si>
  <si>
    <t>Land Use</t>
  </si>
  <si>
    <t>Wireless</t>
  </si>
  <si>
    <t>Wireline</t>
  </si>
  <si>
    <t>Net Revenues</t>
  </si>
  <si>
    <t>Expense</t>
  </si>
  <si>
    <t>Product Line</t>
  </si>
  <si>
    <t>Adjusted</t>
  </si>
  <si>
    <t>Col 1 - Col 2</t>
  </si>
  <si>
    <t>Revenue Sharing for Non-Tariff New Products &amp; Services</t>
  </si>
  <si>
    <t>California Rev. &amp; Tax. Cd. § 23151</t>
  </si>
  <si>
    <t>Internal Revenue Code (IRC) Section 11</t>
  </si>
  <si>
    <t>Value</t>
  </si>
  <si>
    <t>Income Tax Rates</t>
  </si>
  <si>
    <t>4) Tax Normalization Calculation Pursuant to Treas. Reg §1.167(l)-1(h)(6); PLR 9313008; 9202029; 922404; 201717008</t>
  </si>
  <si>
    <t>Total South Georgia Adjustment</t>
  </si>
  <si>
    <t>3) ROE and Capitalization Calculations</t>
  </si>
  <si>
    <t>2) Income Taxes</t>
  </si>
  <si>
    <t>Average of BOY and EOY Accumulated Deferred Income Taxes</t>
  </si>
  <si>
    <t>Beginning of Year Accumulated Deferred Income Taxes</t>
  </si>
  <si>
    <t>End of Year Accumulated Deferred Income Taxes</t>
  </si>
  <si>
    <t>1) Accumulated Deferred Income Taxes</t>
  </si>
  <si>
    <t>Retail "South Georgia" Taxes</t>
  </si>
  <si>
    <t>Total PG&amp;E Electric Net Plant In Service (Functional + CGI)</t>
  </si>
  <si>
    <t>Total PG&amp;E Electric Accumulated Depreciation including CGI</t>
  </si>
  <si>
    <t>Calculation of Prior Year Property Tax Allocation Factor</t>
  </si>
  <si>
    <t>Calculation of Prior Year Liability Insurance Allocation Factor</t>
  </si>
  <si>
    <t>Allocation Factor to Low Voltage</t>
  </si>
  <si>
    <t>Allocation Factor to High Voltage</t>
  </si>
  <si>
    <t>Low Voltage Rate Year Functional Plant</t>
  </si>
  <si>
    <t>High Voltage Rate Year Functional Plant</t>
  </si>
  <si>
    <t>Low Voltage Capital Additions</t>
  </si>
  <si>
    <t>High Voltage Capital Additions</t>
  </si>
  <si>
    <t>Calculation of Prior Year High Voltage/Low Voltage Transmission Plant Allocation Factor</t>
  </si>
  <si>
    <t>Total Electric Transmission  - Functional Plant only</t>
  </si>
  <si>
    <t>Total PG&amp;E Electric Plant In Service including CGI Plant</t>
  </si>
  <si>
    <t>Total PG&amp;E Company Gross Plant In Service</t>
  </si>
  <si>
    <t>Calculation of Prior Year Transmission Plant Allocation Factor</t>
  </si>
  <si>
    <t>Total Adjusted Electric Wages and Salaries wo A&amp;G</t>
  </si>
  <si>
    <t>Total Electric Department Labor as a % of Total Company Labor</t>
  </si>
  <si>
    <t>Cost Adjustment</t>
  </si>
  <si>
    <t>Electric A&amp;G Wages and Salaries</t>
  </si>
  <si>
    <t>Total Electric Department Wages and Salaries</t>
  </si>
  <si>
    <t>Gas A&amp;G Wages and Salaries</t>
  </si>
  <si>
    <t xml:space="preserve">Electric A&amp;G Wages and Salaries </t>
  </si>
  <si>
    <t>Total Company Wages and Salaries</t>
  </si>
  <si>
    <t>Calculation of Prior Year Total Electric Department Labor Allocation Factor</t>
  </si>
  <si>
    <t>Calculation of Allocation Factors</t>
  </si>
  <si>
    <t>Franchise Fee Factor</t>
  </si>
  <si>
    <t>4) Calculation of Weighted Average RF&amp;U Factors</t>
  </si>
  <si>
    <t>Uncollectible Factor</t>
  </si>
  <si>
    <t>Days in Prior Year</t>
  </si>
  <si>
    <t>To</t>
  </si>
  <si>
    <t>From</t>
  </si>
  <si>
    <t>3) Approved Uncollectible Factor(s)</t>
  </si>
  <si>
    <t>2) Approved San Francisco Gross Receipts Tax Factor(s)</t>
  </si>
  <si>
    <t>1) Approved Franchise Fee Factor(s)</t>
  </si>
  <si>
    <t>Revenue Fees and Uncollectible Factors</t>
  </si>
  <si>
    <t>Total Wholesale TRRs</t>
  </si>
  <si>
    <t>Standby Revenue Credit</t>
  </si>
  <si>
    <t>Wholesale TRBAA</t>
  </si>
  <si>
    <t>Wholesale Base TRRs</t>
  </si>
  <si>
    <t>True-up Adjustment</t>
  </si>
  <si>
    <t>Depreciation rate adjustment</t>
  </si>
  <si>
    <t>Prior Year Transmission Revenue Requirement</t>
  </si>
  <si>
    <t xml:space="preserve"> Plant Allocator</t>
  </si>
  <si>
    <t>Rate Year LV</t>
  </si>
  <si>
    <t>Rate Year HV</t>
  </si>
  <si>
    <t>High and Low Voltage Wholesale Revenue Requirement</t>
  </si>
  <si>
    <t>Low Voltage Access Charge ($/MWh)</t>
  </si>
  <si>
    <t>Gross Load (MWh)</t>
  </si>
  <si>
    <t>Low Voltage TRR</t>
  </si>
  <si>
    <t>Calculation of Low Voltage Access Charge</t>
  </si>
  <si>
    <t>High Voltage Access Charge ($/MWh)</t>
  </si>
  <si>
    <t>High Voltage TRR</t>
  </si>
  <si>
    <t>Calculation of High Voltage Access Charge</t>
  </si>
  <si>
    <t>Calculation of PG&amp;E Wholesale Rates</t>
  </si>
  <si>
    <t>Gross Load at Area Out (kWh)</t>
  </si>
  <si>
    <t>Retail energy at local (area out) (kWh)</t>
  </si>
  <si>
    <t>Energy loss factor area out</t>
  </si>
  <si>
    <t>Energy at generator (kWh)</t>
  </si>
  <si>
    <t xml:space="preserve">1) Input the gross load data and loss factor from the Gross Load Workpapers. </t>
  </si>
  <si>
    <t>Calculation of Gross Load at the CAISO Interface (Area Out)</t>
  </si>
  <si>
    <t>Rate Design:</t>
  </si>
  <si>
    <t>kW-mo</t>
  </si>
  <si>
    <t>Standby Service</t>
  </si>
  <si>
    <t>/.85*kW-mo</t>
  </si>
  <si>
    <t>50% Reservation Charge</t>
  </si>
  <si>
    <t>At Secondary</t>
  </si>
  <si>
    <t>/kWh</t>
  </si>
  <si>
    <t>50% Volumetric Charge</t>
  </si>
  <si>
    <t>At Primary</t>
  </si>
  <si>
    <t>/kW-mo</t>
  </si>
  <si>
    <t>At Transmission</t>
  </si>
  <si>
    <t>kWh</t>
  </si>
  <si>
    <t>Agriculture</t>
  </si>
  <si>
    <t>AG: B Schedules</t>
  </si>
  <si>
    <t>AG: A Schedules</t>
  </si>
  <si>
    <t>AGA-</t>
  </si>
  <si>
    <t xml:space="preserve"> </t>
  </si>
  <si>
    <t>Streetlights</t>
  </si>
  <si>
    <t>STL-</t>
  </si>
  <si>
    <t>Medium Light and Power</t>
  </si>
  <si>
    <t>Medium L&amp;P</t>
  </si>
  <si>
    <t>Small L&amp;P</t>
  </si>
  <si>
    <t>Residential</t>
  </si>
  <si>
    <t>RES-</t>
  </si>
  <si>
    <t>($/kWh)</t>
  </si>
  <si>
    <t>(kWh)</t>
  </si>
  <si>
    <t>Units</t>
  </si>
  <si>
    <t>Determinants</t>
  </si>
  <si>
    <t>Cost Allocation</t>
  </si>
  <si>
    <t>Class Name</t>
  </si>
  <si>
    <t>Code</t>
  </si>
  <si>
    <t>Average Rate</t>
  </si>
  <si>
    <t>Annual Sales</t>
  </si>
  <si>
    <t>Billing</t>
  </si>
  <si>
    <t>Forecast Billing</t>
  </si>
  <si>
    <t>Adjusted 12-CP</t>
  </si>
  <si>
    <t>Rate Design Calculations Based on 12-CP Method</t>
  </si>
  <si>
    <t>Totals - Retail</t>
  </si>
  <si>
    <t>Standby</t>
  </si>
  <si>
    <t xml:space="preserve">Total - Full Requirements </t>
  </si>
  <si>
    <t>MARL Sales:</t>
  </si>
  <si>
    <t>(w/losses)</t>
  </si>
  <si>
    <t>(kW)</t>
  </si>
  <si>
    <t>Factors</t>
  </si>
  <si>
    <t>Coin. Peak</t>
  </si>
  <si>
    <t>(adjusted for losses)</t>
  </si>
  <si>
    <t>Loss</t>
  </si>
  <si>
    <t>Sales</t>
  </si>
  <si>
    <t>Percent of</t>
  </si>
  <si>
    <t>Coincident Demands</t>
  </si>
  <si>
    <t>Demand</t>
  </si>
  <si>
    <t>Recorded Avg.</t>
  </si>
  <si>
    <t>Forecast</t>
  </si>
  <si>
    <t>Yr. Historical Avg.</t>
  </si>
  <si>
    <t>Proposed Allocations &amp; Revenues</t>
  </si>
  <si>
    <t>Negative End of Year Value</t>
  </si>
  <si>
    <t>Negative 13-Month Avg</t>
  </si>
  <si>
    <t>Negative BOY EOY Avg</t>
  </si>
  <si>
    <t>7-PlantInService, L. 112, col 13</t>
  </si>
  <si>
    <t>7-PlantInService, L. 701, col 1</t>
  </si>
  <si>
    <t>13-WorkCap, L. 112, col 2</t>
  </si>
  <si>
    <t>13-WorkCap, L. 217, col 5</t>
  </si>
  <si>
    <t>10-AccDep, L. 112, col 13</t>
  </si>
  <si>
    <t>10-AccDep, L. 701, col 1</t>
  </si>
  <si>
    <t>15-NUC, L. 103</t>
  </si>
  <si>
    <t>5-CostofCap-1, L. 110</t>
  </si>
  <si>
    <t>5-CostofCap-1, L. 114</t>
  </si>
  <si>
    <t>5-CostofCap-4, L. 106</t>
  </si>
  <si>
    <t>5-CostofCap-1, L. 120</t>
  </si>
  <si>
    <t>24-Allocators, L. 112</t>
  </si>
  <si>
    <t>22-TaxRates, L. 100</t>
  </si>
  <si>
    <t>22-TaxRates, L. 101</t>
  </si>
  <si>
    <t>18-OandM, L. 100, col 15</t>
  </si>
  <si>
    <t>15-NUC, L. 106</t>
  </si>
  <si>
    <t>11-Depreciation, L. 102, col 13 + L. 500, col 1</t>
  </si>
  <si>
    <t>11-Depreciation, L. 902</t>
  </si>
  <si>
    <t>21-NPandS, L. 403</t>
  </si>
  <si>
    <t>25-RFandUFactors, L. 400</t>
  </si>
  <si>
    <t>25-RFandUFactors, L. 401</t>
  </si>
  <si>
    <t>25-RFandUFactors, L. 402</t>
  </si>
  <si>
    <t>9-PlantAdditions, L. 124, col 6</t>
  </si>
  <si>
    <t>7-PlantInService, L. 113 col 13</t>
  </si>
  <si>
    <t>7-PlantInService, L. 702, col 1</t>
  </si>
  <si>
    <t>13-WorkCap, L. 113, col 2</t>
  </si>
  <si>
    <t>13-WorkCap, L. 215, col 5</t>
  </si>
  <si>
    <t>10-AccDep, L. 113, col 13</t>
  </si>
  <si>
    <t>10-AccDep, L. 702, col 1</t>
  </si>
  <si>
    <t>15-NUC, L. 109</t>
  </si>
  <si>
    <t>17-RegAssets, L. 101</t>
  </si>
  <si>
    <t>1-BaseTRR, L. 402</t>
  </si>
  <si>
    <t>Line 107 * (1- Line 108)</t>
  </si>
  <si>
    <t>Sum of Lines 100 to 106 and Line 109</t>
  </si>
  <si>
    <t>Sum of Lines 111 to 113</t>
  </si>
  <si>
    <t>Line 114</t>
  </si>
  <si>
    <t>Line 113</t>
  </si>
  <si>
    <t>Sum of Lines 115 to 119</t>
  </si>
  <si>
    <t>7-PlantInService, L. 112, col 1 + col 2</t>
  </si>
  <si>
    <t>7-PlantInService, L. 112, col 3 + col 4</t>
  </si>
  <si>
    <t>7-PlantInService, L. 112, col 5 + col 6</t>
  </si>
  <si>
    <t>7-PlantInService, L. 112, col 7</t>
  </si>
  <si>
    <t>7-PlantInService, L. 112, col 8</t>
  </si>
  <si>
    <t>7-PlantInService, L. 112, col 9</t>
  </si>
  <si>
    <t>7-PlantInService, L. 112, col 10</t>
  </si>
  <si>
    <t>7-PlantInService, L. 112, col 11</t>
  </si>
  <si>
    <t>7-PlantInService, L. 112, col 12</t>
  </si>
  <si>
    <t>24-Allocators, 
L. 113</t>
  </si>
  <si>
    <t>24-Allocators, 
L. 112</t>
  </si>
  <si>
    <t>Col 3 * 24-Allocators, L. 126</t>
  </si>
  <si>
    <t>Col 3 * 24-Allocators, L. 127</t>
  </si>
  <si>
    <t>The monthly balances in Lines 100 -112 are the end-of-month balances for Prior Year and December of Prior Year - 1.</t>
  </si>
  <si>
    <t>Total Network Transmission Functional Plant is the total of High Voltage (Section 2) and Low Voltage (Section 3) Network Transmission Plant. The monthly balances in Lines 100 -112 are the end-of-month balances for Prior Year and December of Prior Year minus 1.</t>
  </si>
  <si>
    <t>Line 400 + Line 500 + Line 600</t>
  </si>
  <si>
    <t>Line 401 + Line 501 + Line 601</t>
  </si>
  <si>
    <t>(Line 700 + Line 701)/2</t>
  </si>
  <si>
    <t>The Depreciation Expense amounts by FERC Account and Asset Class in Lines 100 and 101 represent the amounts related to High Voltage and Low Voltage Network Transmission Plant.</t>
  </si>
  <si>
    <t>Line 200 + Line 300 + Line 400</t>
  </si>
  <si>
    <t>Total Network Transmission Functional Plant Prior Year balances are from 7-PlantInService, L. 101-112.</t>
  </si>
  <si>
    <t xml:space="preserve">Proposed Network Transmission Functional Plant Depreciation Rates are from 12-DepRates. The Depreciation Rates for Columns 3-12 are from 12-DepRates, L. 100 - 109. </t>
  </si>
  <si>
    <t>12-DepRates, 
L. 100</t>
  </si>
  <si>
    <t>12-DepRates, 
L. 101</t>
  </si>
  <si>
    <t>12-DepRates, 
L. 102</t>
  </si>
  <si>
    <t>12-DepRates, 
L. 103</t>
  </si>
  <si>
    <t>12-DepRates, 
L. 104</t>
  </si>
  <si>
    <t>12-DepRates, 
L. 105</t>
  </si>
  <si>
    <t>12-DepRates, 
L. 106</t>
  </si>
  <si>
    <t>12-DepRates, 
L. 107</t>
  </si>
  <si>
    <t>12-DepRates, 
L. 108</t>
  </si>
  <si>
    <t>12-DepRates, 
L. 109</t>
  </si>
  <si>
    <t>Line 900 minus Line 901</t>
  </si>
  <si>
    <t>Col 2 * 
24-Allocators, L. 126</t>
  </si>
  <si>
    <t>Col 2 * 
24-Allocators, L. 127</t>
  </si>
  <si>
    <t>24-Allocators, Lines 116, 113</t>
  </si>
  <si>
    <t>Avg. of Line 103 col 1 and col 2</t>
  </si>
  <si>
    <t>Line 103, col 3</t>
  </si>
  <si>
    <t>Network Transmission O&amp;M Expense (Line 100, Col 15)</t>
  </si>
  <si>
    <t>Beginning Deferred Tax Balance (Line 101)</t>
  </si>
  <si>
    <t>Ending Balance (Line 100)</t>
  </si>
  <si>
    <t>Total Company Wages and Salaries w/o A&amp;G</t>
  </si>
  <si>
    <t>(Line 100 + Line 103) - (Line 101 + Line 102)</t>
  </si>
  <si>
    <t>18-OandM, L. 100, col 13</t>
  </si>
  <si>
    <t>7-PlantInService, L. 112, col 13 + 7-PlantInService, L. 701, col 1</t>
  </si>
  <si>
    <t>7-PlantInService, L. 212, col 13</t>
  </si>
  <si>
    <t>7-PlantInService, L. 312, col 13</t>
  </si>
  <si>
    <t>9-PlantAdditions, L. 223, col 2</t>
  </si>
  <si>
    <t>9-PlantAdditions, L. 323, col 2</t>
  </si>
  <si>
    <t>10-AccDep, L. 112, col 13 + 10-AccDep, L. 701, col 1</t>
  </si>
  <si>
    <t>Prior Year Dec</t>
  </si>
  <si>
    <t>Rate Year Dec</t>
  </si>
  <si>
    <t>7-PlantInService, L. 212 and 312, col 13</t>
  </si>
  <si>
    <t>7-PlantInService, L. 701, col 2 and col 3</t>
  </si>
  <si>
    <t>13-WorkCap, L. 112, col 3 and col 4</t>
  </si>
  <si>
    <t>Line 1 * 13-WorkCap, L. 217, col 5</t>
  </si>
  <si>
    <t>10-AccDep, L. 701 , col 2 and col 3</t>
  </si>
  <si>
    <t>10-AccDep, L. 212 and L. 312, col 13</t>
  </si>
  <si>
    <t>Line 1 * 1-BaseTRR, L. 112</t>
  </si>
  <si>
    <t>Line 1 * 1-BaseTRR, L. 113</t>
  </si>
  <si>
    <t>Line 1 * 1-BaseTRR, L. 114</t>
  </si>
  <si>
    <t>Line 1 * 1-BaseTRR, L. 501</t>
  </si>
  <si>
    <t>Line 1 * 1-BaseTRR, L. 502</t>
  </si>
  <si>
    <t>Line 1 * 1-BaseTRR, L. 504</t>
  </si>
  <si>
    <t>Line 1 * 1-BaseTRR, L. 507</t>
  </si>
  <si>
    <t>Line 1 * 1-BaseTRR, L. 508</t>
  </si>
  <si>
    <t>Line 1 * 1-BaseTRR, L. 510</t>
  </si>
  <si>
    <t>Line 1 * 1-BaseTRR, L. 511</t>
  </si>
  <si>
    <t>Line 212 * (1-BaseTRR, L. 513 + L. 514)</t>
  </si>
  <si>
    <t>Line 1 * 1-BaseTRR, L. 601</t>
  </si>
  <si>
    <t>Line 1 * 1-BaseTRR, L. 602</t>
  </si>
  <si>
    <t>Negative, Line 1 * (29-RetailRates-1, L. 118, col (A) * 50%</t>
  </si>
  <si>
    <t>11-Depreciation, (L. 100, col 13 + L. 500, col 2), (L. 101, col 13 + L. 500, Col 3)</t>
  </si>
  <si>
    <t>(Line 1 * (18-OandM, L. 100  - L. 114, col 15) + 18-OandM, L. 114, col 15), Line 1 * (18-OandM, L.100  - L. 114, col 15)</t>
  </si>
  <si>
    <t>Load Dispatch - Monitor and Operate Transmission System</t>
  </si>
  <si>
    <t>Load Dispatch - Transmission Service and Scheduling</t>
  </si>
  <si>
    <t>Reliability Planning and Standards Development</t>
  </si>
  <si>
    <t>Transmission Service Studies</t>
  </si>
  <si>
    <t>Generation Interconnection Studies</t>
  </si>
  <si>
    <t>Maintenance of Structures</t>
  </si>
  <si>
    <t>Maintenance of Computer Hardware</t>
  </si>
  <si>
    <t>Maintenance of Computer Software</t>
  </si>
  <si>
    <t>Maintenance of Communication Equipment</t>
  </si>
  <si>
    <t>Maintenance of Miscellaneous Regional Transmission Plant</t>
  </si>
  <si>
    <t>Maintenance of Station Equipment</t>
  </si>
  <si>
    <t>Maintenance of Miscellaneous Transmission Plant</t>
  </si>
  <si>
    <t>1) Data are extracted from SAP for all costs (broken down into labor and non-labor components) in the Prior Year that are recorded in electric transmission operations and maintenance expense accounts.</t>
  </si>
  <si>
    <t>Proposed Retail Rates</t>
  </si>
  <si>
    <t>Current Year for Forecast Billing Determinants</t>
  </si>
  <si>
    <t>Rate Design</t>
  </si>
  <si>
    <t>5 Yr. Historical Avg. Data for 12-CP Allocation of TRR to Customer Class</t>
  </si>
  <si>
    <t>Column</t>
  </si>
  <si>
    <t>5-Year Historical</t>
  </si>
  <si>
    <t>($)</t>
  </si>
  <si>
    <t xml:space="preserve">(Plus) Interest on Long-Term Debt (Acct. 427) </t>
  </si>
  <si>
    <t>(Plus) Amort. of Debt Disc. and Expense (Acct. 428)</t>
  </si>
  <si>
    <t>(Plus) Amortization of Loss on Reacquired Debt (Acct. 428.1)</t>
  </si>
  <si>
    <t>(Less) Amort. of Premium on Debt-Credit (Acct. 429)</t>
  </si>
  <si>
    <t xml:space="preserve">(Less) Amortization of Gain on Reacquired Debt-Credit (Acct. 429.1) </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</si>
  <si>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</si>
  <si>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</si>
  <si>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Helms Pumped Storage: Pumping Load (10 Yr Avg) (kWh)</t>
  </si>
  <si>
    <t>Transmission Revenues and Expenses by Product Line</t>
  </si>
  <si>
    <t>NP&amp;S Transmission Revenue</t>
  </si>
  <si>
    <t>NP&amp;S Transmission O&amp;M Expense</t>
  </si>
  <si>
    <t>NP&amp;S Transmission A&amp;G Expense</t>
  </si>
  <si>
    <t>Total NP&amp;S Transmission Expense</t>
  </si>
  <si>
    <t>Total NP&amp;S Electric Transmission Revenues and Expenses</t>
  </si>
  <si>
    <t>Asset Retirement Costs for Transmission Plant</t>
  </si>
  <si>
    <t>(Line 600 + Line 601)/2</t>
  </si>
  <si>
    <t>(Line 500 + Line 501)/2</t>
  </si>
  <si>
    <t>(Line 400 + Line 401)/2</t>
  </si>
  <si>
    <t>FERC Transmission Plant represents only Network Transmission plant that is eligible for inclusion in rate base and recoverable through the TO rate case.</t>
  </si>
  <si>
    <t>CPUC Transmission Plant represents Transmission Plant not recoverable through the TO rate case.</t>
  </si>
  <si>
    <t>FERC Jurisdiction Transmission Plant that are eligible for inclusion in rate base, and recoverable through the TO rate case. The monthly balances in Lines 200 - 212 are the end-of-month balances for Prior Year and December of Prior Year minus 1.</t>
  </si>
  <si>
    <t>FERC Jurisdiction Transmission Plant that are eligible for inclusion in rate base, and recoverable through the TO rate case. The monthly balances in Lines 300 - 312 are the end-of-month balances for Prior Year and December of Prior Year minus 1.</t>
  </si>
  <si>
    <t>Start of</t>
  </si>
  <si>
    <t>Period (yrs)</t>
  </si>
  <si>
    <t>Docket Number</t>
  </si>
  <si>
    <t xml:space="preserve">. . . </t>
  </si>
  <si>
    <t>Total of Col 1-12</t>
  </si>
  <si>
    <t>Transmission Plant Jurisdictional</t>
  </si>
  <si>
    <t>Total Depreciation Expense for Network Transmission CGI Plant is the total of the amount related to Direct Assigned CGI Plant (Section 2) and amounts related to Residual CGI Plant (Sections 3-4) allocated to Network Transmission using labor allocation factors.</t>
  </si>
  <si>
    <t>Section 8, Line 812, col 13</t>
  </si>
  <si>
    <t>Section 1, Line 102, col 13</t>
  </si>
  <si>
    <t>Table of Contents</t>
  </si>
  <si>
    <t>Schedule</t>
  </si>
  <si>
    <t>1-BaseTRR</t>
  </si>
  <si>
    <t>2-ITRR</t>
  </si>
  <si>
    <t>3-True-upTRR</t>
  </si>
  <si>
    <t>4-ATA</t>
  </si>
  <si>
    <t>5-CostofCap-1</t>
  </si>
  <si>
    <t>5-CostofCap-2</t>
  </si>
  <si>
    <t>5-CostofCap-3</t>
  </si>
  <si>
    <t>5-CostofCap-4</t>
  </si>
  <si>
    <t>6-PlantJurisdiction</t>
  </si>
  <si>
    <t>8-AbandonedPlant</t>
  </si>
  <si>
    <t>9-PlantAdditions</t>
  </si>
  <si>
    <t>10-AccDep</t>
  </si>
  <si>
    <t>11-Depreciation</t>
  </si>
  <si>
    <t>12-DepRates</t>
  </si>
  <si>
    <t>13-WorkCap</t>
  </si>
  <si>
    <t>14-ADIT</t>
  </si>
  <si>
    <t>15-NUC</t>
  </si>
  <si>
    <t>18-OandM</t>
  </si>
  <si>
    <t>19-AandG</t>
  </si>
  <si>
    <t>20-RevenueCredits</t>
  </si>
  <si>
    <t>21-NPandS</t>
  </si>
  <si>
    <t>22-TaxRates</t>
  </si>
  <si>
    <t>23-RetailSGTax</t>
  </si>
  <si>
    <t>24-Allocators</t>
  </si>
  <si>
    <t>25-RFandUFactors</t>
  </si>
  <si>
    <t>26-WholesaleTRRs</t>
  </si>
  <si>
    <t>27-WholesaleRates</t>
  </si>
  <si>
    <t>28-GrossLoad</t>
  </si>
  <si>
    <t>29-RetailRates-1</t>
  </si>
  <si>
    <t>29-RetailRates-2</t>
  </si>
  <si>
    <t>Base Transmission Revenue Requirements</t>
  </si>
  <si>
    <t>Depreciation Rates</t>
  </si>
  <si>
    <t>Number Format</t>
  </si>
  <si>
    <t>Shading</t>
  </si>
  <si>
    <t>Reference Order</t>
  </si>
  <si>
    <t>Reference order: page (or tab) number, line number, column number, note number.  A comma separates each reference element.  Notes contained in the FERC Form 1 are not numbered (see example below).</t>
  </si>
  <si>
    <t>Workpaper Naming Conventions</t>
  </si>
  <si>
    <t>Workpaper names are prefaced with “WP_” followed by the schedule name to which it corresponds (e.g.:  WP_18-O&amp;M).  If workpapers in support of a Schedule come from different sources or support distinctly different sections of a Schedule, the workpaper name includes a short description suffix  (e.g.:  WP_25-RFandUFactors_FF, where FF describes Franchise Fees).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</si>
  <si>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</si>
  <si>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</si>
  <si>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</si>
  <si>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Excel “Currency” number format is used.</t>
  </si>
  <si>
    <t>REFERENCE</t>
  </si>
  <si>
    <t>FORM OF REFERENCE</t>
  </si>
  <si>
    <t>EXAMPLE</t>
  </si>
  <si>
    <t>NOTES</t>
  </si>
  <si>
    <t>col (column # or letter)</t>
  </si>
  <si>
    <t>col k or col 6</t>
  </si>
  <si>
    <t>FERC Form No. 1</t>
  </si>
  <si>
    <t>FF1</t>
  </si>
  <si>
    <t>FF1 337.2, L. 20, col k</t>
  </si>
  <si>
    <t>FF1 234, Note(s)</t>
  </si>
  <si>
    <t>(internal reference)</t>
  </si>
  <si>
    <t>Line (line #)</t>
  </si>
  <si>
    <t>Line 25</t>
  </si>
  <si>
    <t>Internal reference – source within the same Schedule or Workpaper sheet</t>
  </si>
  <si>
    <t>(external reference)</t>
  </si>
  <si>
    <t>L. (line #)</t>
  </si>
  <si>
    <t>L. 25</t>
  </si>
  <si>
    <t>External reference – source outside the Schedule or Workpaper sheet</t>
  </si>
  <si>
    <t>Note</t>
  </si>
  <si>
    <t>Note(s) (note #, if provided)</t>
  </si>
  <si>
    <t>14-ADIT, Note 1</t>
  </si>
  <si>
    <t>FF1 450.1, Notes</t>
  </si>
  <si>
    <t>Page</t>
  </si>
  <si>
    <t>(page #)</t>
  </si>
  <si>
    <t>337.2 or 2-24</t>
  </si>
  <si>
    <t>337.2, L. 10, col k</t>
  </si>
  <si>
    <t>Nothing precedes the page number(s).</t>
  </si>
  <si>
    <t>(schedule name)</t>
  </si>
  <si>
    <t>Nothing precedes the schedule name</t>
  </si>
  <si>
    <t>Tabs</t>
  </si>
  <si>
    <t>(tab #)</t>
  </si>
  <si>
    <t>WP_29-RetailRates-2 4</t>
  </si>
  <si>
    <t>Nothing precedes the tab number.</t>
  </si>
  <si>
    <t>In the Schedules and Workpapers, those cells shaded in gold are inputs to the Formula Rate Model.</t>
  </si>
  <si>
    <t>FORMATTING:</t>
  </si>
  <si>
    <t>REFERENCES:</t>
  </si>
  <si>
    <t xml:space="preserve">1) Data for cols 1 through 7 are Prior Year revenues from PG&amp;E's Revenue Reporting System, Report R646BRESU.  Col 1 only includes Base Retail Transmission Revenues.  Any other retail transmission revenues are included in the "Other" Category. </t>
  </si>
  <si>
    <t>Net Gain (Loss) From Purchase and Tender Offers on Preferred Stock (Note 11):</t>
  </si>
  <si>
    <t>Total Amount Outstanding (sum of above):</t>
  </si>
  <si>
    <t>Net Proceeds at Issuance</t>
  </si>
  <si>
    <t>Total Annual Cost (sum of above):</t>
  </si>
  <si>
    <t>Annual
Dividend</t>
  </si>
  <si>
    <t>Total Premium/
Discount Cost</t>
  </si>
  <si>
    <t>Face Value/ Amount Outstanding</t>
  </si>
  <si>
    <t>Unamortized Issuance Cost</t>
  </si>
  <si>
    <t xml:space="preserve">Issuance Amortization Cost </t>
  </si>
  <si>
    <t>Income Taxes = [((RB * ER) + FPD) * (CTR/(1 – CTR))]  + CO/(1 – CTR)]</t>
  </si>
  <si>
    <t>Reliability Planning and Standards Development Services (CAISO GMC)</t>
  </si>
  <si>
    <t>Scheduling, System Control and Dispatch Services (CAISO GMC)</t>
  </si>
  <si>
    <t>WP_19-AandG 1, L. 106</t>
  </si>
  <si>
    <t>WP_19-AandG 1, L. 206</t>
  </si>
  <si>
    <t>WP_19-AandG 1, L. 306</t>
  </si>
  <si>
    <t>WP_19-AandG 1, L. 406</t>
  </si>
  <si>
    <t>WP_19-AandG 1, L. 506</t>
  </si>
  <si>
    <t>WP_19-AandG 1, L. 606</t>
  </si>
  <si>
    <t>WP_19-AandG 1, L. 706</t>
  </si>
  <si>
    <t>WP_19-AandG 1, L. 806</t>
  </si>
  <si>
    <t>WP_19-AandG 1, L. 906</t>
  </si>
  <si>
    <t>WP_19-AandG 1, L. 1006</t>
  </si>
  <si>
    <t xml:space="preserve">(Plus) Unamortized Premium on Long-Term Debt (Acct. 225) </t>
  </si>
  <si>
    <t xml:space="preserve">(Less) Unamortized Discount on Long-Term Debt-Debit (Acct. 226) </t>
  </si>
  <si>
    <t>24-Allocators, L. 119, 112</t>
  </si>
  <si>
    <t>FF1 234, L. 18, col c</t>
  </si>
  <si>
    <t>Total Company Accrued Vacation Liability</t>
  </si>
  <si>
    <t>End of Year Balances</t>
  </si>
  <si>
    <t>1) Please see WP_21-NPS 1 for Revenues by Product Line.</t>
  </si>
  <si>
    <t>1) Please see WP_21-NPS 2 for Expenses by Product Line.</t>
  </si>
  <si>
    <t>1-BaseTRR, L. 216</t>
  </si>
  <si>
    <t>WP_25-RFandUFactors 2, L. 104</t>
  </si>
  <si>
    <t>24-Allocators, L. 133 and 134</t>
  </si>
  <si>
    <t>3) Forecast kWh Annual Sales are from 29-RetailRates-2, col 2.</t>
  </si>
  <si>
    <t>= col 1/col 2</t>
  </si>
  <si>
    <t>= col 1/col 4</t>
  </si>
  <si>
    <t>= (col 2/col 1) * col 3</t>
  </si>
  <si>
    <t>= col 4 * col 5</t>
  </si>
  <si>
    <t>= col 6/ sum col 6</t>
  </si>
  <si>
    <t>Source: Base Transmission Revenue Requirement (TRR) 1-BaseTRR, L. 704 =</t>
  </si>
  <si>
    <t>4) Demand loss factors are based on system losses at PG&amp;E's Transmission, Primary and Secondary Distribution voltage levels of service.</t>
  </si>
  <si>
    <t>Sum Col 3 to Col 6</t>
  </si>
  <si>
    <t>END BAL per G/L</t>
  </si>
  <si>
    <t>Sum Lines 201, 301, 401, 501, 601</t>
  </si>
  <si>
    <t>Totals</t>
  </si>
  <si>
    <t>for inclusion in rate base, and recoverable through the TO rate case (as shown in WP_7-PlantInService 1). The monthly balances in Lines 200 - 212 are the end-of-month balances for Prior Year and December of Prior Year minus 1.</t>
  </si>
  <si>
    <t>for inclusion in rate base, and recoverable through the TO rate case (as shown in WP_7-PlantInService 1). The monthly balances in Lines 300 - 312 are the end-of-month balances for Prior Year and December of Prior Year minus 1.</t>
  </si>
  <si>
    <t>For the calculation of forecast Gross Plant Additions and Cost of Removal by planning order, see workpapers WP_9-PlantAdditions 1-4.</t>
  </si>
  <si>
    <t>2) Forecast kWh Billing Determinates are from 29-RetailRates-2, col 2.  Forecast kW-mo. Billing Determinants are detailed in WP_29-RetailRates 8 (A-10, E-19, E-20 and Standby Reservation).</t>
  </si>
  <si>
    <t>2) Forecast kWh Billing Determinates are from WP_29-RetailRates 8 and 9 and approved by the CPUC in D.19-02-023.</t>
  </si>
  <si>
    <t>1) Recorded sales (kWh) and 5-Year Average are from WP_29-RetailRates 4; 5; and 5a.</t>
  </si>
  <si>
    <t>3) Recorded monthly contribution coincident system peak (12-CP) data (kW) and 5-Year Average are from WP_29-RetailRates 3; 3a; and 4.</t>
  </si>
  <si>
    <t>WP_1-BaseTRR_Pyrl_Tax 2, L. 105</t>
  </si>
  <si>
    <t>WP_23-RetailSGTax 3</t>
  </si>
  <si>
    <t>See Note 4</t>
  </si>
  <si>
    <t>See Note 5</t>
  </si>
  <si>
    <t>4) The monthly deferred tax amounts are equal to the ending ADIT balance minus the beginning ADIT balance, divided by 12 months.</t>
  </si>
  <si>
    <t>5) For January through December = previous month balance plus amount in Column 2.</t>
  </si>
  <si>
    <t>1) The Source of the End of Year Accumulated Deferred Income Taxes can be found in the Purple Shaded area of WP_23-RetailSGTax 3</t>
  </si>
  <si>
    <t>2) The Source of the Beginning of Year Accumulated Deferred Income Taxes can be found in the Orange Shaded area of WP_23-RetailSGTax 3</t>
  </si>
  <si>
    <t>3) The Source of the Credits and Other can be found in the Green Shaded area of WP_23-RetailSGTax 3</t>
  </si>
  <si>
    <t>WP_14-ADIT 2, L. 100, Col 2</t>
  </si>
  <si>
    <t>WP_14-ADIT 2, L. 101, Col 2</t>
  </si>
  <si>
    <t>WP_14-ADIT 2, L. 102, Col 2</t>
  </si>
  <si>
    <t>WP_14-ADIT 2, L. 103, Col 2</t>
  </si>
  <si>
    <t>WP_14-ADIT 2, L. 104, Col 2</t>
  </si>
  <si>
    <t>WP_14-ADIT 2, L. 105, Col 2</t>
  </si>
  <si>
    <t>WP_14-ADIT 2, L. 107, Col 2</t>
  </si>
  <si>
    <t>WP_14-ADIT 2, L. 108, Col 2</t>
  </si>
  <si>
    <t>WP_14-ADIT 2, L. 109, Col 2</t>
  </si>
  <si>
    <t>WP_14-ADIT 4, L. 103, Col 2</t>
  </si>
  <si>
    <t>WP_14-ADIT 4, L. 117, Col 2</t>
  </si>
  <si>
    <t>Note 1, Note 4</t>
  </si>
  <si>
    <t>4) See WP_18-OandM for adjustment details.</t>
  </si>
  <si>
    <t>WP_19-AandG 2, L. 102</t>
  </si>
  <si>
    <t>WP_24-Allocators_Labor, L. 100, col 3</t>
  </si>
  <si>
    <t>WP_25-RFandUFactors 1, L. 102</t>
  </si>
  <si>
    <t>WP_25-RFandUFactors 3, L. 110</t>
  </si>
  <si>
    <t>WP_14-ADIT 1, L. 100, col 7</t>
  </si>
  <si>
    <t>WP_1-BaseTRR_Tax 2, L. 103</t>
  </si>
  <si>
    <t>Net Plant Property Tax Allocation Factor</t>
  </si>
  <si>
    <t>(Less) Unamortized Debt Expenses (Acct. 181)</t>
  </si>
  <si>
    <t>(Less) Unamortized Loss on Reacquired Debt (Acct. 189)</t>
  </si>
  <si>
    <t>1-BaseTRR, L. 213</t>
  </si>
  <si>
    <t xml:space="preserve">1) Input the ROE for the Prior Year on Line 200. </t>
  </si>
  <si>
    <t>Prior Year Return on Common Equity</t>
  </si>
  <si>
    <t>Total Return on Common Equity</t>
  </si>
  <si>
    <t>PG&amp;E Return on Common Equity</t>
  </si>
  <si>
    <t>Sum Lines 214 and 215</t>
  </si>
  <si>
    <t>FERC ISO Participation Incentive Adder</t>
  </si>
  <si>
    <t>3)  Summary of Total Company Adjustments</t>
  </si>
  <si>
    <t>Not Seeking Recovery</t>
  </si>
  <si>
    <t>Non A&amp;G Costs and Other</t>
  </si>
  <si>
    <t xml:space="preserve">Total by FERC Account </t>
  </si>
  <si>
    <t>Total by Adjustment Type</t>
  </si>
  <si>
    <t>14-ADIT, L. 104, col 2</t>
  </si>
  <si>
    <t>5-CostofCap-3, L. 114</t>
  </si>
  <si>
    <t>20-RevenueCredits, L. 100, col 7</t>
  </si>
  <si>
    <t>7) Tax Normalization Calculation Pursuant to Treas. Reg §1.167(l)-1(h)(6); PLR 9313008; 9202029; 922404; 201717008 for the Forecasted Plant Additions</t>
  </si>
  <si>
    <t>Assumption Tax Depreciation - MACRS Half Year Convention over 15-Year Tax Life</t>
  </si>
  <si>
    <t>Year 1 Tax Depr Rate</t>
  </si>
  <si>
    <t>Year 2 Tax Depr Rate</t>
  </si>
  <si>
    <t>Book Deprec</t>
  </si>
  <si>
    <t>Tax Deprec</t>
  </si>
  <si>
    <t>ADIT projected</t>
  </si>
  <si>
    <t>Amortization of Excess ADIT</t>
  </si>
  <si>
    <t>Adjusted ADIT Projected</t>
  </si>
  <si>
    <t>ADIT</t>
  </si>
  <si>
    <t>Total Additions</t>
  </si>
  <si>
    <t>Impact of ADIT on Forecasted Plant Additions Plus Amortization of Excess ADIT</t>
  </si>
  <si>
    <t>Table 1 - MACRS 15-Yr Prop</t>
  </si>
  <si>
    <t>Prorata Percentages</t>
  </si>
  <si>
    <t>Monthly ADIT</t>
  </si>
  <si>
    <t>Accumulated ADIT</t>
  </si>
  <si>
    <t>Less: Depreciation Expense</t>
  </si>
  <si>
    <t>Less: Impact of ADIT</t>
  </si>
  <si>
    <t>AFCR Applicable TRR</t>
  </si>
  <si>
    <t>AFCR prior to Deprec &amp; ADIT Impacts</t>
  </si>
  <si>
    <t>Add: Depreciation Expense</t>
  </si>
  <si>
    <t>Add: Impact of ADIT</t>
  </si>
  <si>
    <t>24-Allocators, L. 116, L. 135, L. 113</t>
  </si>
  <si>
    <t>Line 204</t>
  </si>
  <si>
    <t>20-RevenueCredits, L. 100, col 8</t>
  </si>
  <si>
    <t>Line 203</t>
  </si>
  <si>
    <t>Based on Blended Labor and Plant Factor</t>
  </si>
  <si>
    <t>Line for extra data</t>
  </si>
  <si>
    <t>or Shortfall in</t>
  </si>
  <si>
    <t>Retail Revenue</t>
  </si>
  <si>
    <t>Rate Year Depr Exp (sum Jan - Dec of the Rate Year)</t>
  </si>
  <si>
    <t>WP_28-GrossLoad 2, L. 115, col 6</t>
  </si>
  <si>
    <t>See WP_10-AccDep 4, L. 122, Col 1 and Col 2</t>
  </si>
  <si>
    <t>See WP_10-AccDep 4, L. 122, Col 11</t>
  </si>
  <si>
    <t>See WP_10-AccDep 4, L. 122, Col 11 from annual update for Prior Year minus 1</t>
  </si>
  <si>
    <t>See WP_10-AccDep 4, L. 122, Col 12</t>
  </si>
  <si>
    <t>See WP_10-AccDep 4, L. 122, Col 12 from annual update for Prior Year minus 1</t>
  </si>
  <si>
    <t>See WP_10-AccDep 4, L. 122, Col 1 and Col 2 from annual update for Prior Year minus 1</t>
  </si>
  <si>
    <t>WP_15-NUC 1, L. 100, col 10</t>
  </si>
  <si>
    <t>WP_15-NUC 2, L. 100, col 10</t>
  </si>
  <si>
    <t>WP_15-NUC 2, L. 101, col 7</t>
  </si>
  <si>
    <t>WP_28-GrossLoad 1, L. 102, col 2</t>
  </si>
  <si>
    <t>WP_28-GrossLoad 7, L. 102, col 4</t>
  </si>
  <si>
    <t>WP_28-GrossLoad 6, L. 110</t>
  </si>
  <si>
    <t>ROE from Schedule 1; if there are mid-year changes, a workpaper will be provided</t>
  </si>
  <si>
    <t>See WP_7-PlantInService 5, L. 122, col 1 and col 2 from annual update for Prior Year minus 1</t>
  </si>
  <si>
    <t>See WP_7-PlantInService 5, L. 122, col 1 and col 2</t>
  </si>
  <si>
    <t>See WP_7-PlantInService 5, L. 122, col 11 from annual update for Prior Year minus 1</t>
  </si>
  <si>
    <t>See WP_7-PlantInService 5, L. 122, col 11</t>
  </si>
  <si>
    <t>See WP_7-PlantInService 5, L. 122, col 12 from annual update for Prior Year minus 1</t>
  </si>
  <si>
    <t>See WP_7-PlantInService 5, L. 122, col 12</t>
  </si>
  <si>
    <t xml:space="preserve"> . . .</t>
  </si>
  <si>
    <t>9) Amounts in Columns 2-14 are from PG&amp;E internal records (G/L account Cumulative Balance by period for SAP accounts 9204000, 9204020, Company Code PGE1)</t>
  </si>
  <si>
    <t>11) Amounts in Columns 2-14 are from PG&amp;E internal records (because of non-use, there is no SAP account)</t>
  </si>
  <si>
    <t>2140001, 2440020, Company Code PGE1)</t>
  </si>
  <si>
    <t>Rate Year Plant Additions</t>
  </si>
  <si>
    <t>Filing Year &amp; Rate Year Plt Adds Book Deprec Rate Year</t>
  </si>
  <si>
    <t>Rate Year Plt Adds Rate Year Tax Deprec</t>
  </si>
  <si>
    <t>Filing Year Plt Adds Rate Year Tax Deprec</t>
  </si>
  <si>
    <t>Federal Secondary</t>
  </si>
  <si>
    <t>Composite Income Tax Rate</t>
  </si>
  <si>
    <t>Sum of Lines 100-Line 102</t>
  </si>
  <si>
    <t>State Franchise Tax Rate (California)</t>
  </si>
  <si>
    <t>Reflects the federal tax deduction for state taxes which reduces the composite income tax rate</t>
  </si>
  <si>
    <t>Negative Line 100 * Line 101</t>
  </si>
  <si>
    <t>1) Prior Year Abandoned Plant</t>
  </si>
  <si>
    <t xml:space="preserve">Recoverable </t>
  </si>
  <si>
    <t>Costs</t>
  </si>
  <si>
    <t>BOY Balance</t>
  </si>
  <si>
    <t>23-RetailSGTax, L. 305, col 3</t>
  </si>
  <si>
    <t>23-RetailSGTax, L. 305, col 4</t>
  </si>
  <si>
    <t>Values for Inputs to Sch.1-BaseTRR</t>
  </si>
  <si>
    <t>Values for Inputs to Sch.3-True-upTRR</t>
  </si>
  <si>
    <t>For Inputs to Sch.1-BaseTRR</t>
  </si>
  <si>
    <t>For Inputs to Sch.3-True-upTRR</t>
  </si>
  <si>
    <t xml:space="preserve">FERC Participation Incentive Rate of Return </t>
  </si>
  <si>
    <t>Total Return on Capital</t>
  </si>
  <si>
    <t xml:space="preserve">Remove Return on Abandoned Plant from FERC Participation Incentive </t>
  </si>
  <si>
    <t>RAP = Return on Abandoned Plant From FERC Participation Incentive</t>
  </si>
  <si>
    <t>Income Taxes = [((RB * ER) + FPD - RAP) * (CTR/(1 – CTR))]  + CO/(1 – CTR]</t>
  </si>
  <si>
    <t>WP_14-ADIT 2, L. 106, Col 2 and WP_14-ADIT 3, L. 113</t>
  </si>
  <si>
    <t>WP_24-Allocators_Labor, L. 100, col 5</t>
  </si>
  <si>
    <t>Note 13</t>
  </si>
  <si>
    <t>5)  Partial Year True-up and TRR Allocation Factors</t>
  </si>
  <si>
    <t>(MWh)</t>
  </si>
  <si>
    <t xml:space="preserve">PG&amp;E Gross Load </t>
  </si>
  <si>
    <t>RAP = Return on Abandoned Plant From CAISO Participation Incentive</t>
  </si>
  <si>
    <t>19-AandG, L. 221</t>
  </si>
  <si>
    <t>= col 7 * TRR</t>
  </si>
  <si>
    <t>1) Populate the table with retail revenue data from the Prior Year.  Only populate if the Model was in effect in the Prior Year.</t>
  </si>
  <si>
    <t>13) Data is PG&amp;E's monthly Gross Load as measured by the CASIO monthly settlements of PG&amp;E's Gross Load.</t>
  </si>
  <si>
    <t>Net of ADIT</t>
  </si>
  <si>
    <t xml:space="preserve">Average </t>
  </si>
  <si>
    <t>2) For January through December = previous month balance plus amount in col 2.</t>
  </si>
  <si>
    <t>2) Run a query of col 2 (Natural Account) in SAP system to get col 4 and col 8.</t>
  </si>
  <si>
    <t>26-WholesaleTRRs, L. 219, col 1</t>
  </si>
  <si>
    <t>26-WholesaleTRRs, L. 219, col 2</t>
  </si>
  <si>
    <t>3) Run a query of rent in SAP system to get Line 502, col 5-6.</t>
  </si>
  <si>
    <t>1) Input the Prior Year Federal and State Income Tax Rates if they are different from the Rate Year Tax Rates.</t>
  </si>
  <si>
    <t>Unfunded Reserves</t>
  </si>
  <si>
    <t>2)  Calculation of Allocated Accrued Vacation</t>
  </si>
  <si>
    <t>1)  Summary of Unfunded Reserves Average Balances</t>
  </si>
  <si>
    <t>Beginning of year</t>
  </si>
  <si>
    <t>End of Year</t>
  </si>
  <si>
    <t>Electric Plant over Total Plant</t>
  </si>
  <si>
    <t>Sum of BOY/EOY Averages</t>
  </si>
  <si>
    <t>Authorization</t>
  </si>
  <si>
    <t>Status</t>
  </si>
  <si>
    <t>Average Balance</t>
  </si>
  <si>
    <t>EOY Balance</t>
  </si>
  <si>
    <t>8-AbandonedPlant, L. 102, col 12</t>
  </si>
  <si>
    <t>PG&amp;E will include recoverable costs in this worksheet for cancelled projects approved or pending approval by the Commission for Abandoned Plant recovery.</t>
  </si>
  <si>
    <t>(Line 115 * 1-BaseTRR, L. 219) - (1-BaseTRR, L. 221 * 8-AbandonedPlant, L. 100 and L. 101, col 11)</t>
  </si>
  <si>
    <t>Sum of EOY Values</t>
  </si>
  <si>
    <t>Allocated Preferred Stock Dividends Payable</t>
  </si>
  <si>
    <t>3)  Calculation of Allocated Preferred Stock Dividends Payable</t>
  </si>
  <si>
    <t>Dividends Declared-Preferred Stock (Acct. 437)</t>
  </si>
  <si>
    <t>Note 1:  PG&amp;E conducted a query of GL Acct 2420024 Accrued Vacation Liability and reflected the beginning-of-year (BOY) and end-of-year (EOY) recorded balances in col 1 and col 2.</t>
  </si>
  <si>
    <t>Note 2:  Amount represents a one-time accounting adjustment to increase the vacation accrual that was never reflected in operating expenses, never recovered from customers and was instead absorbed by shareholders.   Amount is a permanent deduction from the vacation accrual since the dollars were not collected in revenue requirements and should not be considered in rate base.  This was affirmed by the CPUC in Decision 14-08-032.</t>
  </si>
  <si>
    <t>Note 3:  During PG&amp;E's Chapter 11 bankruptcy, filed on January 29, 2019, the company will treat monies collected to cover preferred stock costs as unfunded reserves for ratemaking purposes.  The methodology presented here applies only during the pendency of PG&amp;E's 2019 bankruptcy, and will no longer be applicable upon the company's emergence from Chapter 11.  Accordingly, the Allocated Preferred Stock Dividends Payable will only return values for 2019 and 2020 at this time, subject to revision in future FERC filings.</t>
  </si>
  <si>
    <t>16-Unfunded Reserves</t>
  </si>
  <si>
    <t xml:space="preserve">Note 1:   Materials and Supplies month-end balances are extracted from SAP by querying by General Ledger (GL) Account. December balances are from FF1 227, L. 12, cols b and c. </t>
  </si>
  <si>
    <t>Beginning Deferred Tax Balance (Line 105, Col. 2)</t>
  </si>
  <si>
    <t>Prior Month Col 8 + Col 7</t>
  </si>
  <si>
    <t>Sub-total Additions</t>
  </si>
  <si>
    <t>1-BaseTRR, Line 405</t>
  </si>
  <si>
    <t xml:space="preserve">Total Electric </t>
  </si>
  <si>
    <t>1) Tax Rates for the Rate Year</t>
  </si>
  <si>
    <t>22-TaxRates, L. 200</t>
  </si>
  <si>
    <t>22-TaxRates, L. 201</t>
  </si>
  <si>
    <t>1-BaseTRR, L. 217</t>
  </si>
  <si>
    <t>1-BaseTRR, L. 218</t>
  </si>
  <si>
    <t>8-AbandonedPlant, Col 11, Lines 100 and 101</t>
  </si>
  <si>
    <t>8-AbandonedPlant, Col 7, Lines 100 and 101</t>
  </si>
  <si>
    <t>20-RevenueCredits, L. 100, col 5 and col 6</t>
  </si>
  <si>
    <t>6-PlantJurisdiction, L. 110, col 1 + col 3</t>
  </si>
  <si>
    <t>1) Adjusted 12-CP Cost Allocations are from 29-RetailRates-2, col 8.</t>
  </si>
  <si>
    <t>Income Taxes = [((RB * ER) + FPD - RAP) * (CTR/(1 – CTR))]  + CO/(1 – CTR)]</t>
  </si>
  <si>
    <t>12) To calculate the monthly allocation factor, take the corresponding month's Gross Load in Col 3 and divide by the total Gross Load in L. 513, Col 3.</t>
  </si>
  <si>
    <t>2)Tax Rates for the Prior Year True-up</t>
  </si>
  <si>
    <t xml:space="preserve">5) Medium Light and Power Line 106 is a subtotal of Lines 102 through 105; Agriculture Line 110 is a subtotal of Lines 108 and 109; Schedule E-20 Line 114 is a subtotal of Lines 111 through 113; Total - Full Requirements Line 115 is a subtotal of Lines 100, 101, 106, 107, 110 and 114; Standby Line 119 is a subtotal of Lines 116 through 118; Totals - Retail Line 120 is a total of Line 115 and 119. </t>
  </si>
  <si>
    <t xml:space="preserve">5) Corrections or Adjustments applied to Line 201 from previously-filed Annual Updates are outlined in Section 4.6.5 of the Protocols. </t>
  </si>
  <si>
    <t xml:space="preserve">Unamortized Preferred Stock Issuance and Expense Costs (Note 10): </t>
  </si>
  <si>
    <t>10) Amounts in Columns 2-14 are from PG&amp;E internal records (equal to the negative sum of G/L account for SAP accounts 2070020, 2130020, and 2140020; Company Code PGE1)</t>
  </si>
  <si>
    <t>DEPRECIATION RATES (Note 1)</t>
  </si>
  <si>
    <t>1-BaseTRR, Line 405/12</t>
  </si>
  <si>
    <t>Col 3 - Col 4 * 1-BaseTRR Line 402</t>
  </si>
  <si>
    <t>Col 8 * Col 9</t>
  </si>
  <si>
    <t>Col 6, Lines 600-612</t>
  </si>
  <si>
    <t>9-PlantAdditions Col 1, Lines 100-111</t>
  </si>
  <si>
    <t>Prior Month Col 11 + Col 10</t>
  </si>
  <si>
    <t>Col 3 - Col 4 - Col 5 * 1-BaseTRR Line 402</t>
  </si>
  <si>
    <t>9-PlantAdditions Col 1, Lines 112-123</t>
  </si>
  <si>
    <t>Col 2 * Col 1, Line 729</t>
  </si>
  <si>
    <t>Col 2, Line 712 * Col 1, Line 730/12</t>
  </si>
  <si>
    <t>4) Apply plant allocation factors after running a query of Natural Account in SAP system to get Line 612, col 5-6.</t>
  </si>
  <si>
    <t>Total Project</t>
  </si>
  <si>
    <t>a</t>
  </si>
  <si>
    <t>b</t>
  </si>
  <si>
    <t>c</t>
  </si>
  <si>
    <t>(1-BaseTRR, L. 111c x 1-BaseTRR, L. 220) x (1+1-BaseTRR, L. 402/(1 - 1-BaseTRR, L. 402)) + (1-BaseTRR, L. 111c x 1-BaseTRR, L 216)</t>
  </si>
  <si>
    <t>Adjusted Cost</t>
  </si>
  <si>
    <t>Alloc. Factors</t>
  </si>
  <si>
    <t>(w/standby)</t>
  </si>
  <si>
    <t>scale to 100%</t>
  </si>
  <si>
    <t>Calculation of Prior Year Network Electric Transmission Labor Allocation Factors</t>
  </si>
  <si>
    <t>Network Electric Transmission Wages and Salaries</t>
  </si>
  <si>
    <t>Network Electric Transmission Labor as a % of Total Electric Allocation Factor</t>
  </si>
  <si>
    <t>Network Electric Transmission Labor as a % of Total Company Allocation Factor</t>
  </si>
  <si>
    <t>Network Electric Transmission Gross Plant In Service including CGI Plant</t>
  </si>
  <si>
    <t>Network Electric Transmission Plant as a % of Total Electric Plant</t>
  </si>
  <si>
    <t>Network Electric Transmission Plant - Functional Plant only</t>
  </si>
  <si>
    <t>Network Electric Transmission as a % of Total Electric Transmission</t>
  </si>
  <si>
    <t>Network Electric Transmission Rate Year Functional Plant</t>
  </si>
  <si>
    <t>Network Electric Transmission Accumulated Depreciation including CGI</t>
  </si>
  <si>
    <t>Network Electric Transmission Net Plant in Service (Functional + CGI)</t>
  </si>
  <si>
    <t>Calculation of Rate Year High Voltage/Low Voltage Electric Transmission Plant Allocation Factor</t>
  </si>
  <si>
    <t>Order 864 Permanent Worksheet(s) Category 1 Information</t>
  </si>
  <si>
    <t>Category 2 Information</t>
  </si>
  <si>
    <t>Category 3 Information</t>
  </si>
  <si>
    <t>Category 5 Information</t>
  </si>
  <si>
    <t>Category 4 Information</t>
  </si>
  <si>
    <t>Col 16</t>
  </si>
  <si>
    <t>Col 17</t>
  </si>
  <si>
    <t xml:space="preserve">ADIT Balance </t>
  </si>
  <si>
    <t>Remeasurement</t>
  </si>
  <si>
    <t>(Excess)/Deficient</t>
  </si>
  <si>
    <t>UNAMORTIZED EXCESS FEDERAL ACCUMULATED DEFERRED INCOME TAXES</t>
  </si>
  <si>
    <t>Prior to TCJA</t>
  </si>
  <si>
    <t>ADIT Balance</t>
  </si>
  <si>
    <t>Beg Bal</t>
  </si>
  <si>
    <t>ADIT Amortization</t>
  </si>
  <si>
    <t>End Bal</t>
  </si>
  <si>
    <t>@ 35% FIT</t>
  </si>
  <si>
    <t>@ 21% FIT</t>
  </si>
  <si>
    <t>ADIT Recorded</t>
  </si>
  <si>
    <t xml:space="preserve">PROTECTED </t>
  </si>
  <si>
    <t>UNPROTECTED</t>
  </si>
  <si>
    <t>Period</t>
  </si>
  <si>
    <t>Recorded</t>
  </si>
  <si>
    <t>Acct 182.3 / Acct 254</t>
  </si>
  <si>
    <t>FIXED ASSETS</t>
  </si>
  <si>
    <t>NON FIXED ASSETS</t>
  </si>
  <si>
    <t>TOTALS</t>
  </si>
  <si>
    <t>Acct 410.1 / Acct 411.1</t>
  </si>
  <si>
    <t>Method Life</t>
  </si>
  <si>
    <t>ARAM</t>
  </si>
  <si>
    <t>Fixed Assets Book Tax Basis Differences</t>
  </si>
  <si>
    <t>Non Fixed Assets Book Tax Basis Differences</t>
  </si>
  <si>
    <t>Non Fixed Asset Book Tax Differences</t>
  </si>
  <si>
    <t>Net Operating Loss Carryover</t>
  </si>
  <si>
    <t>Adjustments to December 31, 2017 Amounts</t>
  </si>
  <si>
    <t>Total Including Adjustments</t>
  </si>
  <si>
    <t>Details of ADIT</t>
  </si>
  <si>
    <t>Total Cost of Removal</t>
  </si>
  <si>
    <t>Total Fixed Assets Book Tax Basis Differences</t>
  </si>
  <si>
    <t>Total Non Fixed Assets Book Tax Basis Differences</t>
  </si>
  <si>
    <t>Total Non Fixed Asset Book Tax Differences</t>
  </si>
  <si>
    <t>Some Schedules have a"…" row.  These rows are intended for new data to be added in a future update.</t>
  </si>
  <si>
    <t xml:space="preserve">  Total Method Life</t>
  </si>
  <si>
    <t>Weighted Average ADIT Balance</t>
  </si>
  <si>
    <t>Issue #1</t>
  </si>
  <si>
    <t>BOY Unamortized Excess Federal Accumulated Deferred Income Taxes</t>
  </si>
  <si>
    <t>EOY Unamortized Excess Federal Accumulated Deferred Income Taxes</t>
  </si>
  <si>
    <t>17-RegAssets-1, L. 201</t>
  </si>
  <si>
    <t>17-RegAssets-1, L. 203</t>
  </si>
  <si>
    <t>2) Unamortized Excess ADIT and Tax Normalization Calculation Pursuant to Treas. Reg §1.167(l)-1(h)(6); PLR 9313008; 9202029; 922404; 201717008</t>
  </si>
  <si>
    <t>Line 1 * 1-BaseTRR, L. 111c</t>
  </si>
  <si>
    <t>Note 1: The monthly deferred tax amounts are equal to the ending ADIT balance minus the beginning ADIT balance, divided by 12 months.</t>
  </si>
  <si>
    <t>Note 2: For January through December = previous month balance plus amount in col 2.</t>
  </si>
  <si>
    <t>Line 103, col 2</t>
  </si>
  <si>
    <t>Line 217, Col 8</t>
  </si>
  <si>
    <t>Beginning Deferred Tax Balance (Line 200)</t>
  </si>
  <si>
    <t>Col 5 - Col 10</t>
  </si>
  <si>
    <t>Sum Col 5 to Col 7</t>
  </si>
  <si>
    <t>Col 6 - Col 11</t>
  </si>
  <si>
    <t>Col 7 - Col 12</t>
  </si>
  <si>
    <t>Sum Col 14 to Col 16</t>
  </si>
  <si>
    <t>Col 6 / Tot. Days</t>
  </si>
  <si>
    <t>= Col 3 * Col 7</t>
  </si>
  <si>
    <t>Col 9 Prior Mth + Col 8 Current Mth</t>
  </si>
  <si>
    <t>PRIOR PERIOD AMORTIZATION OF EXCESS FEDERAL ACCUMULATED DEFERRED INCOME TAXES</t>
  </si>
  <si>
    <t>UNAMORTIZED EXCESS FEDERAL ACCUMULATED DEFERRED INCOME TAXES - BEGINNING BALANCE</t>
  </si>
  <si>
    <t>Col 18</t>
  </si>
  <si>
    <t>Col 19</t>
  </si>
  <si>
    <t>Col 20</t>
  </si>
  <si>
    <t>CURRENT PERIOD AMORTIZATION OF EXCESS FEDERAL ACCUMULATED DEFERRED INCOME TAXES</t>
  </si>
  <si>
    <t>Col 21</t>
  </si>
  <si>
    <t>Col 22</t>
  </si>
  <si>
    <t>Col 23</t>
  </si>
  <si>
    <t>Col 24</t>
  </si>
  <si>
    <t>UNAMORTIZED EXCESS FEDERAL ACCUMULATED DEFERRED INCOME TAXES - ENDING BALANCE</t>
  </si>
  <si>
    <t>Col 14 - Col 18</t>
  </si>
  <si>
    <t>Col 15 - Col 19</t>
  </si>
  <si>
    <t>Col 16 - Col 20</t>
  </si>
  <si>
    <t>Sum Col 21 to Col 23</t>
  </si>
  <si>
    <t>1) Calculation of Regulatory Assets and Liabilities and Amortization of Debits and Credits</t>
  </si>
  <si>
    <t>3) Formula for Line 728 (Line 727 x 1-BaseTRR L. 220) x (1-BaseTRR L. 402/(1 - 1-BaseTRR L. 402))+(Line 727 x 1-BaseTRR L 216)</t>
  </si>
  <si>
    <t>16-UnfundedReserves, L. 101, col 2</t>
  </si>
  <si>
    <t>16-UnfundedReserves, L. 100, col 2</t>
  </si>
  <si>
    <t>1) Depreciation Rates in this Schedule cannot be changed without FERC authorization from a Section 205 or 206 filing.</t>
  </si>
  <si>
    <t>3)  Account 350.02-Land Rights, was calculated by using the composite depreciation rate excluding net salvage for transmission plant, as of December 31, 2017, to arrive at the stated rate shown (Line 110, col 10).  This rate cannot be changed absent a section 205 or 206 filing.</t>
  </si>
  <si>
    <t>STIP</t>
  </si>
  <si>
    <t>Officer Compensation</t>
  </si>
  <si>
    <t>Accrual to Cash Basis</t>
  </si>
  <si>
    <t>NP&amp;S</t>
  </si>
  <si>
    <t>Allocations on Adjustments</t>
  </si>
  <si>
    <t>17-RegAssets-1, L. 102</t>
  </si>
  <si>
    <t>13-Month Average (Sum Lines 111 to 123)/13:</t>
  </si>
  <si>
    <t>17-RegAssets-1, L. 100</t>
  </si>
  <si>
    <t>Line 202 - (Line 203 - Line 206)</t>
  </si>
  <si>
    <t>Line 213 * Line 214</t>
  </si>
  <si>
    <t>Transmission Portion of General Liability Insurance and Injuries and Damages:</t>
  </si>
  <si>
    <t>Line 217 * Line 218</t>
  </si>
  <si>
    <t>Line 221 + Line 222</t>
  </si>
  <si>
    <t>WP_14-ADIT 7, L. 100, Col 6</t>
  </si>
  <si>
    <t>WP_14-ADIT 7, L. 101 , col 6</t>
  </si>
  <si>
    <t>17-RegAssets-1</t>
  </si>
  <si>
    <t>17-RegAssets-2</t>
  </si>
  <si>
    <t>STIP Adjustment pursuant to TO20 Settlement Agreement (Docket No. ER19-13-000)</t>
  </si>
  <si>
    <t>Less General Liability and Third Party Claims</t>
  </si>
  <si>
    <t>WP_19-AandG 3, L. 220</t>
  </si>
  <si>
    <t>Transition Cost</t>
  </si>
  <si>
    <t>Liability Insurance Allocation Factor</t>
  </si>
  <si>
    <t>Allocated Injuries and Damages</t>
  </si>
  <si>
    <t>5)  Calculation of Injuries and Damages</t>
  </si>
  <si>
    <t>40% Plant / 60%</t>
  </si>
  <si>
    <t>14-ADIT, L. 108, col 2</t>
  </si>
  <si>
    <t>6)  Calculation of Severances</t>
  </si>
  <si>
    <t>Severance</t>
  </si>
  <si>
    <t>See Note 11</t>
  </si>
  <si>
    <t>Global Settlement Value</t>
  </si>
  <si>
    <t>End of Year; enter negative</t>
  </si>
  <si>
    <t>Same as Line 114, but negative</t>
  </si>
  <si>
    <t>Same as Line 113, but reverse sign</t>
  </si>
  <si>
    <t>End of Year, but reverse sign</t>
  </si>
  <si>
    <t>Total Proprietary Capital  (Note 12)</t>
  </si>
  <si>
    <t>5-CostofCap-2, L. 100, col 14</t>
  </si>
  <si>
    <t>5-CostofCap-2, L. 101, col 14</t>
  </si>
  <si>
    <t>5-CostofCap-2, L. 102, col 14</t>
  </si>
  <si>
    <t>5-CostofCap-2, L. 103, col 14</t>
  </si>
  <si>
    <t>5-CostofCap-2, L. 104, col 14</t>
  </si>
  <si>
    <t>5-CostofCap-2, L. 105, col 14</t>
  </si>
  <si>
    <t>5-CostofCap-2, L. 106, col 14</t>
  </si>
  <si>
    <t>5-CostofCap-2, L. 107, col 14</t>
  </si>
  <si>
    <t>5-CostofCap-2, L. 108, col 14</t>
  </si>
  <si>
    <t>5-CostofCap-2, L. 109, col 14</t>
  </si>
  <si>
    <t>5-CostofCap-2, L. 110, col 14</t>
  </si>
  <si>
    <t>5-CostofCap-2, L. 111, col 14</t>
  </si>
  <si>
    <t>5-CostofCap-2, L. 112, col 14</t>
  </si>
  <si>
    <t>5-CostofCap-2, L. 113, col 14</t>
  </si>
  <si>
    <t>Adjustment for Forecasted Proration vs Actual Proration:</t>
  </si>
  <si>
    <t>Adjusted Average ADIT</t>
  </si>
  <si>
    <t>WP_14_ADIT, Tab 8, Col 13, Line 130</t>
  </si>
  <si>
    <t>Line 106 + Line 107</t>
  </si>
  <si>
    <t>Sum Lines 205, 303, 401, 503, 603</t>
  </si>
  <si>
    <t>Sum col 2, Lines 204, 302, 400, 502, 602</t>
  </si>
  <si>
    <t>see Note 4</t>
  </si>
  <si>
    <t xml:space="preserve">Note 5: Per Global Settlement Agreement for TO20, the parties agreed to include incremental additional accrual amounts for injuries and damages and severances in the calculation of unfunded reserves.  For 2020 True-Up, the beginning rate base balance is $0 with the ending balance rate base balance equals to the incremental accruals from 2020.  </t>
  </si>
  <si>
    <r>
      <t xml:space="preserve">Note 4: Per Global Settlement Agreement for TO20, the parties agreed a transitional cost for </t>
    </r>
    <r>
      <rPr>
        <sz val="11"/>
        <rFont val="Calibri"/>
        <family val="2"/>
      </rPr>
      <t>75%</t>
    </r>
    <r>
      <rPr>
        <sz val="11"/>
        <rFont val="Calibri"/>
        <family val="2"/>
        <scheme val="minor"/>
      </rPr>
      <t xml:space="preserve"> of liabilities as of 12/31/2019 for severance and injuries and damages due to conversion from cash to accrual basis.  The unfunded reserves will be provided begining in RY2022 Annual Update, filed in 2021 which is the True-Up for 2020.  For 2020 True-Up, the beginning rate base balance is $0 with the ending balance rate base balance equals to the agreed transition cost.  The True-Ups of 2021 through 2023 in the FY 2023 through FY 2025 Annual Updates would reflect a beginning balance and ending balance of agreed transition cost.</t>
    </r>
  </si>
  <si>
    <t>Prepaid property insurance is allocated to Electric Transmission Network (ETN) based on plant ratios.  Prepaid liability insurance is allocated to ETN based on a 40% plant, 60% labor ratio.  Other prepayments are allocated to ETN based on the labor ratio.</t>
  </si>
  <si>
    <t>WP_16-UnfundedReserves, L. 101 and L. 105, See Note 5</t>
  </si>
  <si>
    <t>WP_16-UnfundedReserves, L. 201 and L. 205, See Note 5</t>
  </si>
  <si>
    <t>70 - R3</t>
  </si>
  <si>
    <t>46 - R2</t>
  </si>
  <si>
    <t>55 - R1.5</t>
  </si>
  <si>
    <t>75 - R4</t>
  </si>
  <si>
    <t>54 - R1.5</t>
  </si>
  <si>
    <t>65 - R2</t>
  </si>
  <si>
    <t>65 - R4</t>
  </si>
  <si>
    <t>55 - R3</t>
  </si>
  <si>
    <t>60 - R1.5</t>
  </si>
  <si>
    <t>2) COMMON, GENERAL AND INTANGIBLE (CGI) PLANT (Note 4)</t>
  </si>
  <si>
    <t>1) ELECTRIC TRANSMISSION PLANT (Note 2)</t>
  </si>
  <si>
    <t>7-PlantInService, 
L. 112, Col 3-12</t>
  </si>
  <si>
    <t>Col 1 x Col 2</t>
  </si>
  <si>
    <t>10-AccDep, 
L. 112, Col 3-12</t>
  </si>
  <si>
    <t xml:space="preserve"> Col 1 - Col 3 - Col 4</t>
  </si>
  <si>
    <t>Col 1 x Col 9</t>
  </si>
  <si>
    <t>Func</t>
  </si>
  <si>
    <t>DEPRECIATION</t>
  </si>
  <si>
    <t>ACCRUAL RATES</t>
  </si>
  <si>
    <t>Col 2 * 
(12-DepRates, L. 110, col 9)/12</t>
  </si>
  <si>
    <t>Network Electric Transmisison as a % of Total Company Liability Insurance Allocation Factor (60% Labor/40% Plant)</t>
  </si>
  <si>
    <t>Network Electric Transmission as a % of Total Electric Liability Insurance Allocation Factor (60% Labor/40% Plant)</t>
  </si>
  <si>
    <t>24-Allocators, L. 141</t>
  </si>
  <si>
    <t>Pursuant to the TO20 Settlement agreement in FERC Docket ER19-13-000, beginning with Rate Year 2022 the FERC Form 2 column will be blank because PG&amp;E will base it’s A&amp;G cost request solely on the FERC Form 1.  Therefore, beginning with Rate Year 2022, the following data will be updated as follows:
(1) Line 206: the Electric O&amp;M Labor Allocation Factor will be 100%;
(2) Line 211: the Network Transmission Plant Allocation Factor as a percent of Total Company will be updated as Network Electric Transmission Plant as a % of Total Electric Plant (24-Allocators, Line 119);
(3) Line 216: the Factor using the combined O&amp;M Labor and Plant Factor will be updated to use 24-Allocators, Line 136.</t>
  </si>
  <si>
    <t>1) Global Settlement Value. The ROE is inclusive of all ROE-related incentives, current or future, during the Term of this Settlement.</t>
  </si>
  <si>
    <t>2) Global Settlement Value. Per Settlement, no additional CAISO incentive to be added to the ROE of 10.45% during the Term of this Settlement.</t>
  </si>
  <si>
    <t>4) For FERC authorized Other Regulatory Assets in Section 1 of Schedule 17-RegAssets1, which are not otherwise recovered in O&amp;M or A&amp;G expenses.</t>
  </si>
  <si>
    <t>Total High Voltage Abandoned Plant (sum from below)</t>
  </si>
  <si>
    <t>Total Low Voltage Abandoned Plant (sum from below)</t>
  </si>
  <si>
    <t>Not Used</t>
  </si>
  <si>
    <t>Col 2 * 12-DepRates, Col 9, Line 110/12 * Remaining Months</t>
  </si>
  <si>
    <t>((Col 2, Line 712/12)*12-DepRates, Col 9, Line 110) + ((Col 2*12-DepRates, Col 9, Line 110/)12 * Remaining Months)</t>
  </si>
  <si>
    <t>Set at 49.75</t>
  </si>
  <si>
    <t>Set at 0.5%</t>
  </si>
  <si>
    <t>Line 117 - Line 137</t>
  </si>
  <si>
    <t>Line 118 - Line 138</t>
  </si>
  <si>
    <t>Line 139 / Line 140</t>
  </si>
  <si>
    <t>Total Company Prepayments</t>
  </si>
  <si>
    <t>Allocation Method from Total Company to Electric Transmission Network</t>
  </si>
  <si>
    <t>24-Allocators, L. 122, 116, 113</t>
  </si>
  <si>
    <t>WP_1-BaseTRR_Tax 1, L. 100</t>
  </si>
  <si>
    <t>WP_1-BaseTRR_Tax 3, L. 100</t>
  </si>
  <si>
    <t>Electric Labor</t>
  </si>
  <si>
    <t>Total Company</t>
  </si>
  <si>
    <t>Total Company Labor</t>
  </si>
  <si>
    <t xml:space="preserve">Gas and Other </t>
  </si>
  <si>
    <t>Non-ISO Related Costs</t>
  </si>
  <si>
    <t>(Col 6 + Col 8)/2</t>
  </si>
  <si>
    <t>Col 9 * Composite Tax Rate</t>
  </si>
  <si>
    <t>Col 8 - Col 10</t>
  </si>
  <si>
    <t>8-AbandonedPlant, L. 102, col 11</t>
  </si>
  <si>
    <t>8-AbandonedPlant, L. 102, col 7</t>
  </si>
  <si>
    <t>(5-CostofCap-3, L. 113 / [(5-CostofCap-2, L. 100 - L. 101 + L. 102 + L. 103 + L. 104) - (sum L. 105 to L. 107)]) * 1-BaseTRR, L. 208</t>
  </si>
  <si>
    <t>Col 9 - Col 10</t>
  </si>
  <si>
    <t>2) Depreciation Rates in Cols 9, 10, and 11 are settled rates. Please see the the Offer of Settlement from PG&amp;E's October 15, 2020 global settlement filing.</t>
  </si>
  <si>
    <r>
      <t>(Excess)</t>
    </r>
    <r>
      <rPr>
        <b/>
        <sz val="9.35"/>
        <rFont val="Calibri"/>
        <family val="2"/>
      </rPr>
      <t>/</t>
    </r>
    <r>
      <rPr>
        <b/>
        <sz val="11"/>
        <rFont val="Calibri"/>
        <family val="2"/>
      </rPr>
      <t>Deficient</t>
    </r>
    <r>
      <rPr>
        <b/>
        <sz val="11"/>
        <rFont val="Calibri"/>
        <family val="2"/>
        <scheme val="minor"/>
      </rPr>
      <t xml:space="preserve"> Accumulated Deferred Income Taxes</t>
    </r>
  </si>
  <si>
    <r>
      <t>Total (Excess)</t>
    </r>
    <r>
      <rPr>
        <b/>
        <sz val="9.35"/>
        <rFont val="Calibri"/>
        <family val="2"/>
      </rPr>
      <t>/</t>
    </r>
    <r>
      <rPr>
        <b/>
        <sz val="11"/>
        <rFont val="Calibri"/>
        <family val="2"/>
      </rPr>
      <t>Deficient</t>
    </r>
    <r>
      <rPr>
        <b/>
        <sz val="9.35"/>
        <rFont val="Calibri"/>
        <family val="2"/>
      </rPr>
      <t xml:space="preserve"> </t>
    </r>
    <r>
      <rPr>
        <b/>
        <sz val="11"/>
        <rFont val="Calibri"/>
        <family val="2"/>
        <scheme val="minor"/>
      </rPr>
      <t>and Accumulated Deferred Income Taxes</t>
    </r>
  </si>
  <si>
    <r>
      <t xml:space="preserve">Amortization of (Excess) </t>
    </r>
    <r>
      <rPr>
        <sz val="11"/>
        <rFont val="Calibri"/>
        <family val="2"/>
      </rPr>
      <t>Deficient</t>
    </r>
    <r>
      <rPr>
        <sz val="11"/>
        <rFont val="Calibri"/>
        <family val="2"/>
        <scheme val="minor"/>
      </rPr>
      <t xml:space="preserve"> Deferred Tax Liability</t>
    </r>
  </si>
  <si>
    <t>Note A</t>
  </si>
  <si>
    <t>Note B</t>
  </si>
  <si>
    <t>Note C</t>
  </si>
  <si>
    <t>Note D</t>
  </si>
  <si>
    <t>Note E</t>
  </si>
  <si>
    <t>This Schedule 17-RegAsset-2 reflects the federal income tax rate change due to the Tax Cuts and Job Act (TCJA).  This Schedule will be replicated for each tax rate change after the TCJA (see 17-RegAsset-3).</t>
  </si>
  <si>
    <t>Reflects the deferred tax liability (DTL) for the difference between book and tax depreciation methods and depreciable lives on plant capitalized for both book and tax.  Method life is a protected timing difference.</t>
  </si>
  <si>
    <t>Reflects the deferred tax asset (DTA) difference between the book accrual and actual spending for cost of removal.</t>
  </si>
  <si>
    <t>Reflects the DTL difference between tax basis deductions and book depreciation on these tax basis deductions.</t>
  </si>
  <si>
    <t>Reflects the DTA difference between non-fixed asset tax deductions and book deductions.</t>
  </si>
  <si>
    <t>Reflects the tax net operating loss DTA.  The net operating loss DTA is protected.</t>
  </si>
  <si>
    <t>Note F</t>
  </si>
  <si>
    <t>Basis for allocation is the 2017 value from Tab 24-Allocators, Rows 17 and 23 for common and direct function groups, respectively.</t>
  </si>
  <si>
    <t>Note G</t>
  </si>
  <si>
    <t>Pursuant to ER17-2154-002 OFFER OF SETTLEMENT AND STIPULATION, Section 2.1.1.</t>
  </si>
  <si>
    <t>Note H</t>
  </si>
  <si>
    <t xml:space="preserve">The “grossed-up” portion from Column 25 is excluded from rate base. </t>
  </si>
  <si>
    <t>Note I</t>
  </si>
  <si>
    <t>The TO19 settlement provided for a base 130-months amortization subject to adjustment per Section 2.2.1.  As a result, the overall amortization period may not be 130-months.  </t>
  </si>
  <si>
    <t>Col 0</t>
  </si>
  <si>
    <t>Originating</t>
  </si>
  <si>
    <t xml:space="preserve">Originating </t>
  </si>
  <si>
    <t>Excess/Deficient</t>
  </si>
  <si>
    <t>Timing</t>
  </si>
  <si>
    <t>Difference</t>
  </si>
  <si>
    <t>(Excess)/Deficient ADIT</t>
  </si>
  <si>
    <t>Acct # 254</t>
  </si>
  <si>
    <t>Acct # 182.3</t>
  </si>
  <si>
    <t>Acct #</t>
  </si>
  <si>
    <t>Includes Cost of Removal</t>
  </si>
  <si>
    <t>Acct # 282</t>
  </si>
  <si>
    <t>Acct # 190/ # 282</t>
  </si>
  <si>
    <t>Acct # 190</t>
  </si>
  <si>
    <t>ARAM/Years</t>
  </si>
  <si>
    <t>130 Months (Note G)</t>
  </si>
  <si>
    <t>130 Months</t>
  </si>
  <si>
    <t>Acct # 411.1</t>
  </si>
  <si>
    <t>Acct # 410.1</t>
  </si>
  <si>
    <t>Col 25</t>
  </si>
  <si>
    <t>Col 24 x Gross-up</t>
  </si>
  <si>
    <t>Including Gross-up of</t>
  </si>
  <si>
    <t>TBD</t>
  </si>
  <si>
    <r>
      <t xml:space="preserve">Amortization of (Excess)/Deficient Deferred Federal </t>
    </r>
    <r>
      <rPr>
        <b/>
        <sz val="9.35"/>
        <rFont val="Calibri"/>
        <family val="2"/>
      </rPr>
      <t>and State</t>
    </r>
    <r>
      <rPr>
        <b/>
        <sz val="11"/>
        <rFont val="Calibri"/>
        <family val="2"/>
        <scheme val="minor"/>
      </rPr>
      <t xml:space="preserve"> Income Taxes (Note 1)</t>
    </r>
  </si>
  <si>
    <t>PRIOR PERIOD AMORTIZATION OF (EXCESS)/DEFICIENT FEDERAL ACCUMULATED DEFERRED INCOME TAXES</t>
  </si>
  <si>
    <t>CURRENT PERIOD AMORTIZATION OF (EXCESS)/DEFICIENT FEDERAL ACCUMULATED DEFERRED INCOME TAXES</t>
  </si>
  <si>
    <t>UNAMORTIZED (EXCESS)/DEFICIENT FEDERAL ACCUMULATED DEFERRED INCOME TAXES</t>
  </si>
  <si>
    <t>UNAMORTIZED (EXCESS)/DEFICIENT FEDERAL ACCUMULATED DEFERRED INCOME TAXES - BEGINNING BALANCE</t>
  </si>
  <si>
    <t>UNAMORTIZED (EXCESS)/DEFICIENT FEDERAL ACCUMULATED DEFERRED INCOME TAXES - ENDING BALANCE</t>
  </si>
  <si>
    <r>
      <t xml:space="preserve">Prior to </t>
    </r>
    <r>
      <rPr>
        <b/>
        <strike/>
        <sz val="8.8000000000000007"/>
        <rFont val="Calibri"/>
        <family val="2"/>
      </rPr>
      <t>TCJA</t>
    </r>
  </si>
  <si>
    <t>131 Months (Note G)</t>
  </si>
  <si>
    <t>ADIT Item 1</t>
  </si>
  <si>
    <t>Adjustment for Abandoned Plant</t>
  </si>
  <si>
    <t>FERC CA Method/Life</t>
  </si>
  <si>
    <t>FERC Fed Method/Life</t>
  </si>
  <si>
    <t xml:space="preserve">  Cost of Removal</t>
  </si>
  <si>
    <t>FERC Audit Adjustment</t>
  </si>
  <si>
    <t>FERC Fed 1033 Involuntary Conv</t>
  </si>
  <si>
    <t>FERC Fed 263a F&amp;C 2014</t>
  </si>
  <si>
    <t>FERC Fed 263a F&amp;C Fed</t>
  </si>
  <si>
    <t>FERC Fed AFUDC Equity</t>
  </si>
  <si>
    <t>FERC Fed Audit Adj Bonus</t>
  </si>
  <si>
    <t>FERC Fed Casualty Loss 2008</t>
  </si>
  <si>
    <t>FERC Fed CIAC</t>
  </si>
  <si>
    <t>FERC Fed COR Fed</t>
  </si>
  <si>
    <t>FERC Fed ITC Basis Red</t>
  </si>
  <si>
    <t>FERC Fed Other Book Only</t>
  </si>
  <si>
    <t>FERC Fed Overheads</t>
  </si>
  <si>
    <t>FERC Fed Repair 2014</t>
  </si>
  <si>
    <t>FERC Fed Repair 2014 Fed</t>
  </si>
  <si>
    <t>FERC Fed Repair Allow</t>
  </si>
  <si>
    <t>FERC Fed Repair Fed</t>
  </si>
  <si>
    <t>FERC Fed Software</t>
  </si>
  <si>
    <t>FERC Fed Software CA NO</t>
  </si>
  <si>
    <t>FERC Fed Software FT-</t>
  </si>
  <si>
    <t>FERC Fed TOA Capitalization</t>
  </si>
  <si>
    <t>FERC Fed TOA Capitalization CA Norm</t>
  </si>
  <si>
    <t>FERC Fed TOA Software Other</t>
  </si>
  <si>
    <t>FERC Reg Plant Disallowance</t>
  </si>
  <si>
    <t>FERC St Off 1033 Involuntary Conv</t>
  </si>
  <si>
    <t>FERC St Off 263a F&amp;C 2014</t>
  </si>
  <si>
    <t>FERC St Off 263a F&amp;C CA</t>
  </si>
  <si>
    <t>FERC St Off 263a F&amp;C Fed</t>
  </si>
  <si>
    <t>FERC St Off AFUDC Equity</t>
  </si>
  <si>
    <t>FERC St Off AFUDC Equity CA</t>
  </si>
  <si>
    <t>FERC St Off Audit Adjustment</t>
  </si>
  <si>
    <t>FERC St Off Audit Adjustment CA</t>
  </si>
  <si>
    <t>FERC St Off Casualty Loss 2008</t>
  </si>
  <si>
    <t>FERC St Off CIAC</t>
  </si>
  <si>
    <t>FERC St Off COR Fed</t>
  </si>
  <si>
    <t>FERC St Off ITC Basis Red</t>
  </si>
  <si>
    <t>FERC St Off ITC Basis Red CA</t>
  </si>
  <si>
    <t>FERC St Off Other Book Only</t>
  </si>
  <si>
    <t>FERC St Off Overheads</t>
  </si>
  <si>
    <t>FERC St Off Overheads CA</t>
  </si>
  <si>
    <t>FERC St Off Reg Plant Disallow Fed</t>
  </si>
  <si>
    <t>FERC St Off Repair 2014</t>
  </si>
  <si>
    <t>FERC St Off Repair 2014 CA</t>
  </si>
  <si>
    <t>FERC St Off Repair 2014 Fed</t>
  </si>
  <si>
    <t>FERC St Off Repair Allow</t>
  </si>
  <si>
    <t>FERC St Off Repair Allow CA</t>
  </si>
  <si>
    <t>FERC St Off Repair CA</t>
  </si>
  <si>
    <t>FERC St Off Repair Fed</t>
  </si>
  <si>
    <t>FERC St Off Software</t>
  </si>
  <si>
    <t>FERC St Off Software CA NO</t>
  </si>
  <si>
    <t>FERC St Off Software FT-</t>
  </si>
  <si>
    <t>FERC St Off TOA Capital CA Norm</t>
  </si>
  <si>
    <t>FERC St Off TOA Capitaliz CA</t>
  </si>
  <si>
    <t>FERC St Off TOA Capitalization</t>
  </si>
  <si>
    <t>FERC St Off TOA Other CA</t>
  </si>
  <si>
    <t>FERC St Off TOA Software Other</t>
  </si>
  <si>
    <t>Vacation Pay Timing Differences</t>
  </si>
  <si>
    <t>Property Tax Timing Differences</t>
  </si>
  <si>
    <t>FERC Fed AFUDC Debt</t>
  </si>
  <si>
    <t>FERC Fed FAS34 Cap Int</t>
  </si>
  <si>
    <t>FERC Fed Sec 263a Cap Int</t>
  </si>
  <si>
    <t>FERC St Off AFUDC Debt</t>
  </si>
  <si>
    <t>FERC St Off FAS34 Cap Int</t>
  </si>
  <si>
    <t>FERC St Off Sec 263a Cap Int</t>
  </si>
  <si>
    <t xml:space="preserve">   Net Operating Loss Deferred Taxes</t>
  </si>
  <si>
    <t xml:space="preserve">   Net Operating Loss Deferred Taxes - 2018 True Up</t>
  </si>
  <si>
    <t>This Schedule 17-RegAssets-3 will reflect tax rate changes occuring after the TCJA.</t>
  </si>
  <si>
    <t>Relects the deferred tax liability (DTL) for the difference between book and tax depreciation methods and depreciable lives on plant capitalized for both book and tax.  Method life is a protected timing difference.</t>
  </si>
  <si>
    <t>Relects the deferred tax asset (DTA) difference between the book accrual and actual spending for cost of removal.</t>
  </si>
  <si>
    <r>
      <t xml:space="preserve">(Excess)/Deficient </t>
    </r>
    <r>
      <rPr>
        <b/>
        <sz val="9.35"/>
        <rFont val="Calibri"/>
        <family val="2"/>
      </rPr>
      <t>ADIT</t>
    </r>
  </si>
  <si>
    <r>
      <rPr>
        <b/>
        <sz val="11"/>
        <rFont val="Calibri"/>
        <family val="2"/>
      </rPr>
      <t>Note F</t>
    </r>
    <r>
      <rPr>
        <b/>
        <strike/>
        <sz val="11"/>
        <rFont val="Calibri"/>
        <family val="2"/>
      </rPr>
      <t xml:space="preserve"> 'ADIT</t>
    </r>
  </si>
  <si>
    <r>
      <t xml:space="preserve">@ </t>
    </r>
    <r>
      <rPr>
        <sz val="8.8000000000000007"/>
        <rFont val="Calibri"/>
        <family val="2"/>
      </rPr>
      <t>xx</t>
    </r>
    <r>
      <rPr>
        <sz val="11"/>
        <rFont val="Calibri"/>
        <family val="2"/>
        <scheme val="minor"/>
      </rPr>
      <t>% FIT</t>
    </r>
  </si>
  <si>
    <t>CMP30301</t>
  </si>
  <si>
    <t>MISCELLANEOUS INTANGIBLE PLANT</t>
  </si>
  <si>
    <t>CMP39001</t>
  </si>
  <si>
    <t>COMM PLANT: LEASEHOLD IMPR</t>
  </si>
  <si>
    <t>4) See CPUC Decision 20-12-005.  In the event the CPUC modifies these depreciation rates in the future, pursuant to the Protocols, PG&amp;E will make a single issue filing at FERC to modify these rates.</t>
  </si>
  <si>
    <t>3) The 'Amortization of Excess Deferred Tax Liability' amount was included in the TO19 Settlement filed on September 21, 2018 and approved by the Commission on December 20, 2018 in 165 FERC ¶ 61,244 (2018). The amount shown equals protected and unprotected amortization.  The unprotected amortization of (excess)/deficient deferred federal income tax may be reduced from $14.695 million to $2.064 million pursuant to Section 2.2.1.2 of the TO19 Settlement Agreement.</t>
  </si>
  <si>
    <t>Amortization of (Excess)/Deficient Deferred Federal and State Income Taxes</t>
  </si>
  <si>
    <t>17-RegAssets-3</t>
  </si>
  <si>
    <t>1) For a description of the adjustments included in Col 3 and a reconciliation by FERC account to PG&amp;E's FERC Form 1, please see WP_7-PlantInService 3.</t>
  </si>
  <si>
    <t>2) FERC sub-account 359.1 "Asset Retirement Costs for Transmission Plant" is not included in rate base for purposes of the TO rate case.</t>
  </si>
  <si>
    <t>PG&amp;E did not amortize any Electric Transmission abandoned plant projects in 2022.</t>
  </si>
  <si>
    <t>WP_7-PlantInService 7, L. 149, Col 10</t>
  </si>
  <si>
    <t>WP_7-PlantInService 7, L. 149, Col 8</t>
  </si>
  <si>
    <t>1) For High and Low Voltage Gross Plant Additions see WP_9-PlantAdditions 5, L. 149-172.</t>
  </si>
  <si>
    <t>4) Account 350.01 - Land is not depreciated in the TO rate case.</t>
  </si>
  <si>
    <t>5) ETP35002 - Land Rights is depreciated using the composite depreciation rate excluding net salvage for transmission plant. (see 12-DepRates, L. 110, col 10)</t>
  </si>
  <si>
    <t>3) Corporate Residual (Electric) CGI Plant is Plant in FERC Accounts 389-399 or 301-303 that serves PG&amp;E Electric Functional Areas only. For Prior Year amount, see WP_7-PlantInService 5, L. 122.</t>
  </si>
  <si>
    <t>2) Corporate Residual (Gas and Electric) CGI Plant is Plant in FERC Accounts 389-399 or 301-303 that serves all PG&amp;E Gas and Electric Functional Areas. For Prior Year amount, see WP_7-PlantInService 5, L. 122.</t>
  </si>
  <si>
    <t>1) Network Transmission Direct Assigned CGI Plant is Plant in FERC Accounts 389-399 or 301-303 that serves only Network Transmission. For Prior Year amounts by Functional Area, see WP_7-PlantInService 5, L. 122.</t>
  </si>
  <si>
    <t>1) Accumulated Depreciation for Direct Assigned CGI Plant is related to Plant in FERC Accounts 389-399 or 301-303 that serves only Network Transmission. For Prior Year amounts by Functional Area, see WP_10-AccDep 4, L. 122, cols 1 and 2.</t>
  </si>
  <si>
    <t>2) Accumulated Depreciation for Corporate Residual (Gas and Electric) CGI Plant is related to Plant in FERC Accounts 389-399 or 301-303 that serves all PG&amp;E Gas and Electric Functional Areas. For Prior Year amount, see WP_10-AccDep 4, L. 122, col 11.</t>
  </si>
  <si>
    <t>3) Accumulated Depreciation for Corporate Residual (Electric) CGI Plant is related to Plant in FERC Accounts 389-399 or 301-303 that serves PG&amp;E Electric Functional Area only. For Prior Year amount, see WP_10-AccDep 4, L. 122, col 12.</t>
  </si>
  <si>
    <t xml:space="preserve">Network Transmission Low Voltage Functional Plant balances are extracted from PowerPlan, PG&amp;E's fixed asset system of record, by querying by Asset Class, FERC Account and UCC. The balances are then adjusted to include only the FERC Jurisdiction Transmission plant that is eligible </t>
  </si>
  <si>
    <t>Direct Assigned Common, General and Intangible (CGI) Plant In Service balances are extracted from PowerPlan, PG&amp;E's fixed asset system of record, by querying by Asset Class, FERC Account and UCC.</t>
  </si>
  <si>
    <t>Corporate Services (Gas and Electric) Residual Common, General and Intangible (CGI) Plant is extracted from PowerPlan, PG&amp;E's fixed asset system of record, by querying by Asset Class, FERC Account and UCC.</t>
  </si>
  <si>
    <t>Accumulated Depreciation balances for Network Transmission High Voltage Functional Plant are extracted from PowerPlan, PG&amp;E's fixed asset system of record, by querying by Asset Class, FERC Account and UCC. The balances are then adjusted to include only the amounts related to</t>
  </si>
  <si>
    <t>Accumulated Depreciation balances for Network Transmission Low Voltage Functional Plant are extracted from PowerPlan, PG&amp;E's fixed asset system of record, by querying by Asset Class, FERC Account and UCC. The balances are then adjusted to include only the amounts related to</t>
  </si>
  <si>
    <t>Accumulated Depreciation balances for Direct Assigned CGI Plant are extracted from PowerPlan, PG&amp;E's fixed asset system of record, by querying by Asset Class, FERC Account and UCC.</t>
  </si>
  <si>
    <t xml:space="preserve">Accumulated Depreciation balances for Corporate Services (Gas and Electric) Residual CGI Plant are extracted from PowerPlan, PG&amp;E's fixed asset system of record, by querying by Asset Class, FERC Account and UCC. </t>
  </si>
  <si>
    <t xml:space="preserve">Accumulated Depreciation balances for Corporate Services (Electric) CGI Plant are extracted from PowerPlan, PG&amp;E's fixed asset system of record, by querying by Asset Class, FERC Account and UCC. </t>
  </si>
  <si>
    <t>1) Network Transmission Direct Assigned CGI Plant is Plant in FERC Accounts 389-399 or 301-303 that serves only Network Transmission. For Depreciation Expense amounts by Functional Area for Direct Assigned CGI Plant, see WP_11-Depreciation 3, L. 122, Cols 1 and 2.</t>
  </si>
  <si>
    <t>3) Corporate Residual (Electric) CGI Plant is Plant in FERC Accounts 389-399 or 301-303 that serves PG&amp;E Electric Functional Areas only. For Depreciation Expense for Corporate Residual (Electric) CGI Plant, see WP_11-Depreciation 3, L. 122, Col 12.</t>
  </si>
  <si>
    <t xml:space="preserve">Depreciation Expense for Direct Assigned CGI Plant is extracted from PowerPlan, PG&amp;E's fixed asset system of record, by querying by Asset Class. It is then allocated to UCC and Functional Areas based on Prior Year ending plant balances. </t>
  </si>
  <si>
    <t xml:space="preserve">Depreciation Expense for Corporate Services (Electric) Residual CGI Plant is extracted from PowerPlan, PG&amp;E's fixed asset system of record, by querying by Asset Class. It is then allocated to UCC and Functional Areas based on Prior Year ending plant balances. </t>
  </si>
  <si>
    <t xml:space="preserve">Prior Year recorded Depreciation Expense is extracted from PowerPlan, PG&amp;E's fixed asset system of record, by querying by Asset Class. It is then allocated to UCC and Functional Areas based on Prior Year ending plant balances. </t>
  </si>
  <si>
    <t>No</t>
  </si>
  <si>
    <t>RY2022 TO Model, Schedule 1-BaseTRR, L. 602</t>
  </si>
  <si>
    <t>Yes</t>
  </si>
  <si>
    <t>3) All Accounts other than 565 are allocated using the Network Transmission % in Schedule 24-Allocators, L. 122. All expenses in Account 565 are related to transmission service on High Voltage transmission facilities and are, therefore, 100% network transmission</t>
  </si>
  <si>
    <t>Forecast Network Transmission Net Plant Additions are calculated using the forecast capital expenditures for Functional Plant major work categories for the two calendar years after the Prior Year.</t>
  </si>
  <si>
    <t>Incremental Reserve is the total of the calculated depreciation related to the Incremental Gross Plant less the forecast Cost of Removal spend.</t>
  </si>
  <si>
    <t>For the calculation of forecast Gross Plant Additions and Cost of Removal spend by planning order, see workpapers WP_9-PlantAdditions 1-4.</t>
  </si>
  <si>
    <t>2) For High and Low Voltage Gross Plant Cost of Removal spend see WP_9-PlantAdditions 6, L. 149-172.</t>
  </si>
  <si>
    <t>WP_10-AccDep 6, L. 149, Col 8</t>
  </si>
  <si>
    <t>Environmental</t>
  </si>
  <si>
    <t>Compensation</t>
  </si>
  <si>
    <t>Vacation Timing Differences</t>
  </si>
  <si>
    <t>Contributions In Aid of Construction (CIAC)</t>
  </si>
  <si>
    <t>California Corporation Franchise Tax</t>
  </si>
  <si>
    <t>Net Operating Losses Deferred Taxes</t>
  </si>
  <si>
    <t>ITC FAS 109 Deferred Taxes</t>
  </si>
  <si>
    <t>Gas and Other Non-ISO Related Costs</t>
  </si>
  <si>
    <t>Relates to all Regulated Electric Property</t>
  </si>
  <si>
    <t>Property-Related FERC Costs</t>
  </si>
  <si>
    <t xml:space="preserve">Fully Normalized Deferred Tax </t>
  </si>
  <si>
    <t>Property/Non-ISO</t>
  </si>
  <si>
    <t xml:space="preserve">Common Plant </t>
  </si>
  <si>
    <t>Property-Related CPUC Costs</t>
  </si>
  <si>
    <t>Property-Related Costs</t>
  </si>
  <si>
    <t>Loss on Reaquired Debt</t>
  </si>
  <si>
    <t>Balancing Accounts</t>
  </si>
  <si>
    <t>Relates Entirely to CPUC Balancing Account Recovery</t>
  </si>
  <si>
    <t>Investment Tax Credits</t>
  </si>
  <si>
    <t>Investment Tax Credits - Common</t>
  </si>
  <si>
    <t>Investment Tax Credits -Other</t>
  </si>
  <si>
    <t>Adjustment for Repairs Off-System</t>
  </si>
  <si>
    <t>502a</t>
  </si>
  <si>
    <t>Property Tax - Correction of 2017 FERC Form 1 Error</t>
  </si>
  <si>
    <t>FERC Fed 2017 481a Adj</t>
  </si>
  <si>
    <t>FERC Fed 2017 481a Bon Add Back</t>
  </si>
  <si>
    <t>FERC Fed St Off 2017 481a Adj CA</t>
  </si>
  <si>
    <t>Transmission Plant Jurisdiction</t>
  </si>
  <si>
    <t>B</t>
  </si>
  <si>
    <t>C</t>
  </si>
  <si>
    <t>D</t>
  </si>
  <si>
    <t>E</t>
  </si>
  <si>
    <t>G</t>
  </si>
  <si>
    <t>H</t>
  </si>
  <si>
    <t>Prior Year:  2022</t>
  </si>
  <si>
    <t xml:space="preserve">The adjustments shown in the Table above are from WP_19-AandG.  Sources of adjustments are individual SAP reports by FERC account with detailed descriptions of activity and accounting information.  </t>
  </si>
  <si>
    <t>FERC Forms 1 balances in accounts 928, 929 and 931 are zero; therefore, these accounts are not shown on WP_19-AandG.</t>
  </si>
  <si>
    <t>Remove Officer STIP and STIP for one Director.</t>
  </si>
  <si>
    <t>Remove Officer compensation pursuant to CPUC Resolution E-4963 (Dec. 14, 2018).</t>
  </si>
  <si>
    <t>Adjust funded plans for PBOPs medical and life, LTD and pension from an accrual to cash basis to the cash contributions to the trust.</t>
  </si>
  <si>
    <t>Remove costs PG&amp;E does not seek to recover in TO, such as Intervenor Compensation, MCI Exchange Rights, a portion of Injuries and Damages,  and Nuclear Property and Nuclear Liability Liability Insurance.</t>
  </si>
  <si>
    <t>Remove Non A&amp;G Costs and other costs, for example Gas LOB costs erroneously recorded in A&amp;G FERC Accounts, Franchise Fee Expense that is a caclulation within the Model and amounts recovered separately through CPUC proceedings and balancing/memorandum accounts.</t>
  </si>
  <si>
    <t>Remove labor and benefits associated with NP&amp;S activities.</t>
  </si>
  <si>
    <t>Network Transmission Plant Allocation Factor as a percent of Total Electric Plant:</t>
  </si>
  <si>
    <t>24-Allocators, L. 119</t>
  </si>
  <si>
    <t>24-Allocators, L. 136</t>
  </si>
  <si>
    <t>Present</t>
  </si>
  <si>
    <t>WP-NPandS_RY2024 2, Line 100, col 1</t>
  </si>
  <si>
    <t>WP-NPandS_RY2024 2, Line 100, col 2</t>
  </si>
  <si>
    <t>SBA Amortization</t>
  </si>
  <si>
    <t>WP_1-BaseTRR_Pyrl_Tax 2, L. 106</t>
  </si>
  <si>
    <t>Electric Factor using the combined O&amp;M Labor and Plant Factor:</t>
  </si>
  <si>
    <t>General Liability Insurance and Injuries and Damages:</t>
  </si>
  <si>
    <t>FF1 262-263, L. 10, col l</t>
  </si>
  <si>
    <t>FF1 262-263, L. 8, col l</t>
  </si>
  <si>
    <t>FF1 262-263, L. 2, col l</t>
  </si>
  <si>
    <t>FF1 262-263, L. 1, col l</t>
  </si>
  <si>
    <t>Portion of FF1, 262-263, L. 11, col l Total</t>
  </si>
  <si>
    <t>Total Sales: FF1 300-301, L. 10, col b</t>
  </si>
  <si>
    <r>
      <t xml:space="preserve">FF1 </t>
    </r>
    <r>
      <rPr>
        <sz val="11"/>
        <color rgb="FFFF0000"/>
        <rFont val="Calibri"/>
        <family val="2"/>
      </rPr>
      <t>320-</t>
    </r>
    <r>
      <rPr>
        <sz val="11"/>
        <rFont val="Calibri"/>
        <family val="2"/>
        <scheme val="minor"/>
      </rPr>
      <t>323, L. 181, col b</t>
    </r>
  </si>
  <si>
    <r>
      <t xml:space="preserve">FF1 </t>
    </r>
    <r>
      <rPr>
        <sz val="11"/>
        <color rgb="FFFF0000"/>
        <rFont val="Calibri"/>
        <family val="2"/>
      </rPr>
      <t>320-</t>
    </r>
    <r>
      <rPr>
        <sz val="11"/>
        <rFont val="Calibri"/>
        <family val="2"/>
        <scheme val="minor"/>
      </rPr>
      <t>323, L. 182, col b</t>
    </r>
  </si>
  <si>
    <r>
      <t xml:space="preserve">FF1 </t>
    </r>
    <r>
      <rPr>
        <sz val="11"/>
        <color rgb="FFFF0000"/>
        <rFont val="Calibri"/>
        <family val="2"/>
      </rPr>
      <t>320-</t>
    </r>
    <r>
      <rPr>
        <sz val="11"/>
        <rFont val="Calibri"/>
        <family val="2"/>
        <scheme val="minor"/>
      </rPr>
      <t>323, L. 183, col b</t>
    </r>
  </si>
  <si>
    <r>
      <t xml:space="preserve">FF1 </t>
    </r>
    <r>
      <rPr>
        <sz val="11"/>
        <color rgb="FFFF0000"/>
        <rFont val="Calibri"/>
        <family val="2"/>
      </rPr>
      <t>320-</t>
    </r>
    <r>
      <rPr>
        <sz val="11"/>
        <rFont val="Calibri"/>
        <family val="2"/>
        <scheme val="minor"/>
      </rPr>
      <t>323, L. 184, col b</t>
    </r>
  </si>
  <si>
    <r>
      <t xml:space="preserve">FF1 </t>
    </r>
    <r>
      <rPr>
        <sz val="11"/>
        <color rgb="FFFF0000"/>
        <rFont val="Calibri"/>
        <family val="2"/>
      </rPr>
      <t>320-</t>
    </r>
    <r>
      <rPr>
        <sz val="11"/>
        <rFont val="Calibri"/>
        <family val="2"/>
        <scheme val="minor"/>
      </rPr>
      <t>323, L. 185, col b</t>
    </r>
  </si>
  <si>
    <r>
      <t xml:space="preserve">FF1 </t>
    </r>
    <r>
      <rPr>
        <sz val="11"/>
        <color rgb="FFFF0000"/>
        <rFont val="Calibri"/>
        <family val="2"/>
      </rPr>
      <t>320-</t>
    </r>
    <r>
      <rPr>
        <sz val="11"/>
        <rFont val="Calibri"/>
        <family val="2"/>
        <scheme val="minor"/>
      </rPr>
      <t>323, L. 186, col b</t>
    </r>
  </si>
  <si>
    <r>
      <t xml:space="preserve">FF1 </t>
    </r>
    <r>
      <rPr>
        <sz val="11"/>
        <color rgb="FFFF0000"/>
        <rFont val="Calibri"/>
        <family val="2"/>
      </rPr>
      <t>320-</t>
    </r>
    <r>
      <rPr>
        <sz val="11"/>
        <rFont val="Calibri"/>
        <family val="2"/>
        <scheme val="minor"/>
      </rPr>
      <t>323, L. 187, col b</t>
    </r>
  </si>
  <si>
    <r>
      <t xml:space="preserve">FF1 </t>
    </r>
    <r>
      <rPr>
        <sz val="11"/>
        <color rgb="FFFF0000"/>
        <rFont val="Calibri"/>
        <family val="2"/>
      </rPr>
      <t>320-</t>
    </r>
    <r>
      <rPr>
        <sz val="11"/>
        <rFont val="Calibri"/>
        <family val="2"/>
        <scheme val="minor"/>
      </rPr>
      <t>323, L. 188, col b</t>
    </r>
  </si>
  <si>
    <r>
      <t xml:space="preserve">FF1 </t>
    </r>
    <r>
      <rPr>
        <sz val="11"/>
        <color rgb="FFFF0000"/>
        <rFont val="Calibri"/>
        <family val="2"/>
      </rPr>
      <t>320-</t>
    </r>
    <r>
      <rPr>
        <sz val="11"/>
        <rFont val="Calibri"/>
        <family val="2"/>
        <scheme val="minor"/>
      </rPr>
      <t>323, L. 189, col b</t>
    </r>
  </si>
  <si>
    <r>
      <t xml:space="preserve">FF1 </t>
    </r>
    <r>
      <rPr>
        <sz val="11"/>
        <color rgb="FFFF0000"/>
        <rFont val="Calibri"/>
        <family val="2"/>
      </rPr>
      <t>320-</t>
    </r>
    <r>
      <rPr>
        <sz val="11"/>
        <rFont val="Calibri"/>
        <family val="2"/>
        <scheme val="minor"/>
      </rPr>
      <t>323, L. 190, col b</t>
    </r>
  </si>
  <si>
    <r>
      <t xml:space="preserve">FF1 </t>
    </r>
    <r>
      <rPr>
        <sz val="11"/>
        <color rgb="FFFF0000"/>
        <rFont val="Calibri"/>
        <family val="2"/>
      </rPr>
      <t>320-</t>
    </r>
    <r>
      <rPr>
        <sz val="11"/>
        <rFont val="Calibri"/>
        <family val="2"/>
        <scheme val="minor"/>
      </rPr>
      <t>323, L. 191, col b</t>
    </r>
  </si>
  <si>
    <r>
      <t xml:space="preserve">FF1 </t>
    </r>
    <r>
      <rPr>
        <sz val="11"/>
        <color rgb="FFFF0000"/>
        <rFont val="Calibri"/>
        <family val="2"/>
      </rPr>
      <t>320-</t>
    </r>
    <r>
      <rPr>
        <sz val="11"/>
        <rFont val="Calibri"/>
        <family val="2"/>
        <scheme val="minor"/>
      </rPr>
      <t>323, L. 192, col b</t>
    </r>
  </si>
  <si>
    <r>
      <t xml:space="preserve">FF1 </t>
    </r>
    <r>
      <rPr>
        <sz val="11"/>
        <color rgb="FFFF0000"/>
        <rFont val="Calibri"/>
        <family val="2"/>
      </rPr>
      <t>320-</t>
    </r>
    <r>
      <rPr>
        <sz val="11"/>
        <rFont val="Calibri"/>
        <family val="2"/>
        <scheme val="minor"/>
      </rPr>
      <t>323, L. 193, col b</t>
    </r>
  </si>
  <si>
    <r>
      <t xml:space="preserve">FF1 </t>
    </r>
    <r>
      <rPr>
        <sz val="11"/>
        <color rgb="FFFF0000"/>
        <rFont val="Calibri"/>
        <family val="2"/>
      </rPr>
      <t>320-</t>
    </r>
    <r>
      <rPr>
        <sz val="11"/>
        <rFont val="Calibri"/>
        <family val="2"/>
        <scheme val="minor"/>
      </rPr>
      <t>323, L. 196, col b</t>
    </r>
  </si>
  <si>
    <r>
      <t xml:space="preserve">FF1 </t>
    </r>
    <r>
      <rPr>
        <sz val="11"/>
        <color rgb="FFFF0000"/>
        <rFont val="Calibri"/>
        <family val="2"/>
      </rPr>
      <t>320-</t>
    </r>
    <r>
      <rPr>
        <sz val="11"/>
        <rFont val="Calibri"/>
        <family val="2"/>
        <scheme val="minor"/>
      </rPr>
      <t>323, L. 197, col b</t>
    </r>
  </si>
  <si>
    <t>A1/B1-</t>
  </si>
  <si>
    <t>A10/B10-</t>
  </si>
  <si>
    <t>E19/B19-</t>
  </si>
  <si>
    <t>AGB/C-</t>
  </si>
  <si>
    <t>E20/B20-</t>
  </si>
  <si>
    <t>Schedule E-20/B-20</t>
  </si>
  <si>
    <t>STB/SB-</t>
  </si>
  <si>
    <r>
      <t xml:space="preserve">FF1 </t>
    </r>
    <r>
      <rPr>
        <sz val="11"/>
        <rFont val="Calibri"/>
        <family val="2"/>
      </rPr>
      <t>204-</t>
    </r>
    <r>
      <rPr>
        <sz val="11"/>
        <rFont val="Calibri"/>
        <family val="2"/>
        <scheme val="minor"/>
      </rPr>
      <t xml:space="preserve">207, L. 48, col g </t>
    </r>
  </si>
  <si>
    <r>
      <t xml:space="preserve">FF1 </t>
    </r>
    <r>
      <rPr>
        <sz val="11"/>
        <rFont val="Calibri"/>
        <family val="2"/>
      </rPr>
      <t>204-</t>
    </r>
    <r>
      <rPr>
        <sz val="11"/>
        <rFont val="Calibri"/>
        <family val="2"/>
        <scheme val="minor"/>
      </rPr>
      <t xml:space="preserve">207, L. 49, col g </t>
    </r>
  </si>
  <si>
    <r>
      <t xml:space="preserve">FF1 </t>
    </r>
    <r>
      <rPr>
        <sz val="11"/>
        <rFont val="Calibri"/>
        <family val="2"/>
      </rPr>
      <t>204-</t>
    </r>
    <r>
      <rPr>
        <sz val="11"/>
        <rFont val="Calibri"/>
        <family val="2"/>
        <scheme val="minor"/>
      </rPr>
      <t xml:space="preserve">207, L. 50, col g </t>
    </r>
  </si>
  <si>
    <r>
      <t xml:space="preserve">FF1 </t>
    </r>
    <r>
      <rPr>
        <sz val="11"/>
        <rFont val="Calibri"/>
        <family val="2"/>
      </rPr>
      <t>204-</t>
    </r>
    <r>
      <rPr>
        <sz val="11"/>
        <rFont val="Calibri"/>
        <family val="2"/>
        <scheme val="minor"/>
      </rPr>
      <t xml:space="preserve">207, L. 51, col g </t>
    </r>
  </si>
  <si>
    <r>
      <t xml:space="preserve">FF1 </t>
    </r>
    <r>
      <rPr>
        <sz val="11"/>
        <rFont val="Calibri"/>
        <family val="2"/>
      </rPr>
      <t>204-</t>
    </r>
    <r>
      <rPr>
        <sz val="11"/>
        <rFont val="Calibri"/>
        <family val="2"/>
        <scheme val="minor"/>
      </rPr>
      <t xml:space="preserve">207, L. 52, col g </t>
    </r>
  </si>
  <si>
    <r>
      <t xml:space="preserve">FF1 </t>
    </r>
    <r>
      <rPr>
        <sz val="11"/>
        <rFont val="Calibri"/>
        <family val="2"/>
      </rPr>
      <t>204-</t>
    </r>
    <r>
      <rPr>
        <sz val="11"/>
        <rFont val="Calibri"/>
        <family val="2"/>
        <scheme val="minor"/>
      </rPr>
      <t xml:space="preserve">207, L. 53, col g </t>
    </r>
  </si>
  <si>
    <r>
      <t xml:space="preserve">FF1 </t>
    </r>
    <r>
      <rPr>
        <sz val="11"/>
        <rFont val="Calibri"/>
        <family val="2"/>
      </rPr>
      <t>204-</t>
    </r>
    <r>
      <rPr>
        <sz val="11"/>
        <rFont val="Calibri"/>
        <family val="2"/>
        <scheme val="minor"/>
      </rPr>
      <t xml:space="preserve">207, L. 54, col g </t>
    </r>
  </si>
  <si>
    <r>
      <t xml:space="preserve">FF1 </t>
    </r>
    <r>
      <rPr>
        <sz val="11"/>
        <rFont val="Calibri"/>
        <family val="2"/>
      </rPr>
      <t>204-</t>
    </r>
    <r>
      <rPr>
        <sz val="11"/>
        <rFont val="Calibri"/>
        <family val="2"/>
        <scheme val="minor"/>
      </rPr>
      <t xml:space="preserve">207, L. 55, col g </t>
    </r>
  </si>
  <si>
    <r>
      <t xml:space="preserve">FF1 </t>
    </r>
    <r>
      <rPr>
        <sz val="11"/>
        <rFont val="Calibri"/>
        <family val="2"/>
      </rPr>
      <t>204-</t>
    </r>
    <r>
      <rPr>
        <sz val="11"/>
        <rFont val="Calibri"/>
        <family val="2"/>
        <scheme val="minor"/>
      </rPr>
      <t xml:space="preserve">207, L. 56, col g </t>
    </r>
  </si>
  <si>
    <r>
      <t xml:space="preserve">FF1 </t>
    </r>
    <r>
      <rPr>
        <sz val="11"/>
        <rFont val="Calibri"/>
        <family val="2"/>
      </rPr>
      <t>204-</t>
    </r>
    <r>
      <rPr>
        <sz val="11"/>
        <rFont val="Calibri"/>
        <family val="2"/>
        <scheme val="minor"/>
      </rPr>
      <t xml:space="preserve">207, L. 57, col g </t>
    </r>
  </si>
  <si>
    <r>
      <t>FF1</t>
    </r>
    <r>
      <rPr>
        <sz val="11"/>
        <rFont val="Calibri"/>
        <family val="2"/>
      </rPr>
      <t xml:space="preserve"> 274-</t>
    </r>
    <r>
      <rPr>
        <sz val="11"/>
        <rFont val="Calibri"/>
        <family val="2"/>
        <scheme val="minor"/>
      </rPr>
      <t>275, L. 9, col k</t>
    </r>
  </si>
  <si>
    <r>
      <t xml:space="preserve">FF1 </t>
    </r>
    <r>
      <rPr>
        <sz val="11"/>
        <rFont val="Calibri"/>
        <family val="2"/>
      </rPr>
      <t>276-</t>
    </r>
    <r>
      <rPr>
        <sz val="11"/>
        <rFont val="Calibri"/>
        <family val="2"/>
        <scheme val="minor"/>
      </rPr>
      <t>277, L. 3 + L. 11, col k</t>
    </r>
  </si>
  <si>
    <r>
      <t xml:space="preserve">FF1 </t>
    </r>
    <r>
      <rPr>
        <sz val="11"/>
        <rFont val="Calibri"/>
        <family val="2"/>
      </rPr>
      <t>276-</t>
    </r>
    <r>
      <rPr>
        <sz val="11"/>
        <rFont val="Calibri"/>
        <family val="2"/>
        <scheme val="minor"/>
      </rPr>
      <t>277, L. 4 + L. 12, col k</t>
    </r>
  </si>
  <si>
    <r>
      <t xml:space="preserve">FF1 </t>
    </r>
    <r>
      <rPr>
        <sz val="11"/>
        <rFont val="Calibri"/>
        <family val="2"/>
      </rPr>
      <t>276-</t>
    </r>
    <r>
      <rPr>
        <sz val="11"/>
        <rFont val="Calibri"/>
        <family val="2"/>
        <scheme val="minor"/>
      </rPr>
      <t>277, L. 5 + L. 14 + L.18, col k</t>
    </r>
  </si>
  <si>
    <r>
      <t xml:space="preserve">FF1 </t>
    </r>
    <r>
      <rPr>
        <sz val="11"/>
        <rFont val="Calibri"/>
        <family val="2"/>
      </rPr>
      <t>276-</t>
    </r>
    <r>
      <rPr>
        <sz val="11"/>
        <rFont val="Calibri"/>
        <family val="2"/>
        <scheme val="minor"/>
      </rPr>
      <t>277, L. 19, col k</t>
    </r>
  </si>
  <si>
    <r>
      <t xml:space="preserve">FF1 </t>
    </r>
    <r>
      <rPr>
        <sz val="11"/>
        <rFont val="Calibri"/>
        <family val="2"/>
      </rPr>
      <t>266-</t>
    </r>
    <r>
      <rPr>
        <sz val="11"/>
        <rFont val="Calibri"/>
        <family val="2"/>
        <scheme val="minor"/>
      </rPr>
      <t>267, L. 8 + L. 12, col h</t>
    </r>
  </si>
  <si>
    <r>
      <t xml:space="preserve">FF1 </t>
    </r>
    <r>
      <rPr>
        <sz val="11"/>
        <rFont val="Calibri"/>
        <family val="2"/>
      </rPr>
      <t>112-</t>
    </r>
    <r>
      <rPr>
        <sz val="11"/>
        <rFont val="Calibri"/>
        <family val="2"/>
        <scheme val="minor"/>
      </rPr>
      <t>113, L. 56, col d</t>
    </r>
  </si>
  <si>
    <r>
      <t xml:space="preserve">FF1 </t>
    </r>
    <r>
      <rPr>
        <sz val="11"/>
        <rFont val="Calibri"/>
        <family val="2"/>
      </rPr>
      <t>112-</t>
    </r>
    <r>
      <rPr>
        <sz val="11"/>
        <rFont val="Calibri"/>
        <family val="2"/>
        <scheme val="minor"/>
      </rPr>
      <t>113, L. 56, col c</t>
    </r>
  </si>
  <si>
    <r>
      <t xml:space="preserve">FF1 </t>
    </r>
    <r>
      <rPr>
        <sz val="11"/>
        <rFont val="Calibri"/>
        <family val="2"/>
      </rPr>
      <t>114-</t>
    </r>
    <r>
      <rPr>
        <sz val="11"/>
        <rFont val="Calibri"/>
        <family val="2"/>
        <scheme val="minor"/>
      </rPr>
      <t>117, L. 68, col c</t>
    </r>
  </si>
  <si>
    <r>
      <t>17-RegAssets-2</t>
    </r>
    <r>
      <rPr>
        <sz val="9.35"/>
        <rFont val="Calibri"/>
        <family val="2"/>
      </rPr>
      <t>, L. 110, Col 17</t>
    </r>
    <r>
      <rPr>
        <sz val="11"/>
        <rFont val="Calibri"/>
        <family val="2"/>
        <scheme val="minor"/>
      </rPr>
      <t xml:space="preserve"> + 17-RegAssets-3, L. 110, Col 17 (zero in 2017 only)</t>
    </r>
  </si>
  <si>
    <r>
      <t xml:space="preserve">17-RegAssets-2, </t>
    </r>
    <r>
      <rPr>
        <sz val="9.35"/>
        <rFont val="Calibri"/>
        <family val="2"/>
      </rPr>
      <t>L. 110, Col 24</t>
    </r>
    <r>
      <rPr>
        <sz val="11"/>
        <rFont val="Calibri"/>
        <family val="2"/>
        <scheme val="minor"/>
      </rPr>
      <t xml:space="preserve"> + 17-RegAssets-3, L. 110, Col 24</t>
    </r>
  </si>
  <si>
    <r>
      <t>FF1 300</t>
    </r>
    <r>
      <rPr>
        <b/>
        <sz val="11"/>
        <rFont val="Calibri"/>
        <family val="2"/>
      </rPr>
      <t>-301</t>
    </r>
    <r>
      <rPr>
        <b/>
        <sz val="11"/>
        <rFont val="Calibri"/>
        <family val="2"/>
        <scheme val="minor"/>
      </rPr>
      <t>, L. 16, col b</t>
    </r>
  </si>
  <si>
    <r>
      <t>FF1 300</t>
    </r>
    <r>
      <rPr>
        <b/>
        <sz val="11"/>
        <rFont val="Calibri"/>
        <family val="2"/>
      </rPr>
      <t>-301</t>
    </r>
    <r>
      <rPr>
        <b/>
        <sz val="11"/>
        <rFont val="Calibri"/>
        <family val="2"/>
        <scheme val="minor"/>
      </rPr>
      <t>, L. 17, col b</t>
    </r>
  </si>
  <si>
    <r>
      <t>FF1 300</t>
    </r>
    <r>
      <rPr>
        <b/>
        <sz val="11"/>
        <rFont val="Calibri"/>
        <family val="2"/>
      </rPr>
      <t>-301</t>
    </r>
    <r>
      <rPr>
        <b/>
        <sz val="11"/>
        <rFont val="Calibri"/>
        <family val="2"/>
        <scheme val="minor"/>
      </rPr>
      <t>, L. 18, col b</t>
    </r>
  </si>
  <si>
    <r>
      <t>FF1 300</t>
    </r>
    <r>
      <rPr>
        <b/>
        <sz val="11"/>
        <rFont val="Calibri"/>
        <family val="2"/>
      </rPr>
      <t>-301</t>
    </r>
    <r>
      <rPr>
        <b/>
        <sz val="11"/>
        <rFont val="Calibri"/>
        <family val="2"/>
        <scheme val="minor"/>
      </rPr>
      <t>, L.19, col b</t>
    </r>
  </si>
  <si>
    <r>
      <t>FF1 300</t>
    </r>
    <r>
      <rPr>
        <b/>
        <sz val="11"/>
        <rFont val="Calibri"/>
        <family val="2"/>
      </rPr>
      <t>-301</t>
    </r>
    <r>
      <rPr>
        <b/>
        <sz val="11"/>
        <rFont val="Calibri"/>
        <family val="2"/>
        <scheme val="minor"/>
      </rPr>
      <t>, L. 21-22, col b</t>
    </r>
  </si>
  <si>
    <r>
      <t xml:space="preserve">FF1 </t>
    </r>
    <r>
      <rPr>
        <sz val="11"/>
        <rFont val="Calibri"/>
        <family val="2"/>
      </rPr>
      <t>354-</t>
    </r>
    <r>
      <rPr>
        <sz val="11"/>
        <rFont val="Calibri"/>
        <family val="2"/>
        <scheme val="minor"/>
      </rPr>
      <t>355, L. 65, col b</t>
    </r>
  </si>
  <si>
    <r>
      <t>FF1 354</t>
    </r>
    <r>
      <rPr>
        <sz val="11"/>
        <rFont val="Calibri"/>
        <family val="2"/>
      </rPr>
      <t>-355</t>
    </r>
    <r>
      <rPr>
        <sz val="11"/>
        <rFont val="Calibri"/>
        <family val="2"/>
        <scheme val="minor"/>
      </rPr>
      <t>, L. 27, col b</t>
    </r>
  </si>
  <si>
    <r>
      <t xml:space="preserve">FF1 </t>
    </r>
    <r>
      <rPr>
        <sz val="11"/>
        <rFont val="Calibri"/>
        <family val="2"/>
      </rPr>
      <t>354-</t>
    </r>
    <r>
      <rPr>
        <sz val="11"/>
        <rFont val="Calibri"/>
        <family val="2"/>
        <scheme val="minor"/>
      </rPr>
      <t>355, L. 61, col b</t>
    </r>
  </si>
  <si>
    <r>
      <t>FF1 354</t>
    </r>
    <r>
      <rPr>
        <sz val="11"/>
        <rFont val="Calibri"/>
        <family val="2"/>
      </rPr>
      <t>-355</t>
    </r>
    <r>
      <rPr>
        <sz val="11"/>
        <rFont val="Calibri"/>
        <family val="2"/>
        <scheme val="minor"/>
      </rPr>
      <t>, L. 28, col b</t>
    </r>
  </si>
  <si>
    <t>ER23-2968-000</t>
  </si>
  <si>
    <r>
      <t>FF1 250</t>
    </r>
    <r>
      <rPr>
        <b/>
        <sz val="11"/>
        <rFont val="Calibri"/>
        <family val="2"/>
      </rPr>
      <t>-251</t>
    </r>
    <r>
      <rPr>
        <b/>
        <sz val="11"/>
        <rFont val="Calibri"/>
        <family val="2"/>
        <scheme val="minor"/>
      </rPr>
      <t>, col a</t>
    </r>
  </si>
  <si>
    <r>
      <t xml:space="preserve">FF1 </t>
    </r>
    <r>
      <rPr>
        <b/>
        <sz val="11"/>
        <rFont val="Calibri"/>
        <family val="2"/>
      </rPr>
      <t>250-</t>
    </r>
    <r>
      <rPr>
        <b/>
        <sz val="11"/>
        <rFont val="Calibri"/>
        <family val="2"/>
        <scheme val="minor"/>
      </rPr>
      <t>251, col f</t>
    </r>
  </si>
  <si>
    <r>
      <t xml:space="preserve">FF1 </t>
    </r>
    <r>
      <rPr>
        <b/>
        <sz val="11"/>
        <rFont val="Calibri"/>
        <family val="2"/>
      </rPr>
      <t>250-</t>
    </r>
    <r>
      <rPr>
        <b/>
        <sz val="11"/>
        <rFont val="Calibri"/>
        <family val="2"/>
        <scheme val="minor"/>
      </rPr>
      <t>251, col e</t>
    </r>
  </si>
  <si>
    <r>
      <t xml:space="preserve">= Col </t>
    </r>
    <r>
      <rPr>
        <b/>
        <sz val="11"/>
        <rFont val="Calibri"/>
        <family val="2"/>
      </rPr>
      <t>4</t>
    </r>
    <r>
      <rPr>
        <b/>
        <sz val="11"/>
        <rFont val="Calibri"/>
        <family val="2"/>
        <scheme val="minor"/>
      </rPr>
      <t xml:space="preserve"> x Col 7</t>
    </r>
  </si>
  <si>
    <r>
      <t>FF1 112</t>
    </r>
    <r>
      <rPr>
        <sz val="9.9"/>
        <rFont val="Calibri"/>
        <family val="2"/>
      </rPr>
      <t>-113</t>
    </r>
    <r>
      <rPr>
        <sz val="11"/>
        <rFont val="Calibri"/>
        <family val="2"/>
        <scheme val="minor"/>
      </rPr>
      <t>, L. 18, col c</t>
    </r>
  </si>
  <si>
    <r>
      <t>FF1 112</t>
    </r>
    <r>
      <rPr>
        <sz val="9.9"/>
        <rFont val="Calibri"/>
        <family val="2"/>
      </rPr>
      <t>-113</t>
    </r>
    <r>
      <rPr>
        <sz val="11"/>
        <rFont val="Calibri"/>
        <family val="2"/>
        <scheme val="minor"/>
      </rPr>
      <t>, L. 19, col c</t>
    </r>
  </si>
  <si>
    <r>
      <t>FF1 112</t>
    </r>
    <r>
      <rPr>
        <sz val="9.9"/>
        <rFont val="Calibri"/>
        <family val="2"/>
      </rPr>
      <t>-113</t>
    </r>
    <r>
      <rPr>
        <sz val="11"/>
        <rFont val="Calibri"/>
        <family val="2"/>
        <scheme val="minor"/>
      </rPr>
      <t>, L. 21, col c</t>
    </r>
  </si>
  <si>
    <r>
      <t>FF1 112</t>
    </r>
    <r>
      <rPr>
        <sz val="9.9"/>
        <rFont val="Calibri"/>
        <family val="2"/>
      </rPr>
      <t>-113</t>
    </r>
    <r>
      <rPr>
        <sz val="11"/>
        <rFont val="Calibri"/>
        <family val="2"/>
        <scheme val="minor"/>
      </rPr>
      <t>, L. 22, col c</t>
    </r>
  </si>
  <si>
    <r>
      <t>FF1 112</t>
    </r>
    <r>
      <rPr>
        <sz val="9.9"/>
        <rFont val="Calibri"/>
        <family val="2"/>
      </rPr>
      <t>-113</t>
    </r>
    <r>
      <rPr>
        <sz val="11"/>
        <rFont val="Calibri"/>
        <family val="2"/>
        <scheme val="minor"/>
      </rPr>
      <t>, L. 23, col c</t>
    </r>
  </si>
  <si>
    <r>
      <t xml:space="preserve">FF1 </t>
    </r>
    <r>
      <rPr>
        <sz val="9.9"/>
        <rFont val="Calibri"/>
        <family val="2"/>
      </rPr>
      <t>110-</t>
    </r>
    <r>
      <rPr>
        <sz val="11"/>
        <rFont val="Calibri"/>
        <family val="2"/>
        <scheme val="minor"/>
      </rPr>
      <t>111, L. 69, col c</t>
    </r>
  </si>
  <si>
    <r>
      <t xml:space="preserve">FF1 </t>
    </r>
    <r>
      <rPr>
        <sz val="9.9"/>
        <rFont val="Calibri"/>
        <family val="2"/>
      </rPr>
      <t>110-</t>
    </r>
    <r>
      <rPr>
        <sz val="11"/>
        <rFont val="Calibri"/>
        <family val="2"/>
        <scheme val="minor"/>
      </rPr>
      <t>111, L. 81, col c</t>
    </r>
  </si>
  <si>
    <r>
      <t xml:space="preserve">FF1 </t>
    </r>
    <r>
      <rPr>
        <sz val="9.9"/>
        <rFont val="Calibri"/>
        <family val="2"/>
      </rPr>
      <t>114-</t>
    </r>
    <r>
      <rPr>
        <sz val="11"/>
        <rFont val="Calibri"/>
        <family val="2"/>
        <scheme val="minor"/>
      </rPr>
      <t>117, L. 62, col c</t>
    </r>
  </si>
  <si>
    <r>
      <t xml:space="preserve">FF1 </t>
    </r>
    <r>
      <rPr>
        <sz val="9.9"/>
        <rFont val="Calibri"/>
        <family val="2"/>
      </rPr>
      <t>114-</t>
    </r>
    <r>
      <rPr>
        <sz val="11"/>
        <rFont val="Calibri"/>
        <family val="2"/>
        <scheme val="minor"/>
      </rPr>
      <t>117, L. 63, col c</t>
    </r>
  </si>
  <si>
    <r>
      <t xml:space="preserve">FF1 </t>
    </r>
    <r>
      <rPr>
        <sz val="9.9"/>
        <rFont val="Calibri"/>
        <family val="2"/>
      </rPr>
      <t>114-</t>
    </r>
    <r>
      <rPr>
        <sz val="11"/>
        <rFont val="Calibri"/>
        <family val="2"/>
        <scheme val="minor"/>
      </rPr>
      <t>117, L. 64, col c</t>
    </r>
  </si>
  <si>
    <r>
      <t xml:space="preserve">FF1 </t>
    </r>
    <r>
      <rPr>
        <sz val="9.9"/>
        <rFont val="Calibri"/>
        <family val="2"/>
      </rPr>
      <t>114-</t>
    </r>
    <r>
      <rPr>
        <sz val="11"/>
        <rFont val="Calibri"/>
        <family val="2"/>
        <scheme val="minor"/>
      </rPr>
      <t>117, L. 65, col c</t>
    </r>
  </si>
  <si>
    <r>
      <t xml:space="preserve">FF1 </t>
    </r>
    <r>
      <rPr>
        <sz val="9.9"/>
        <rFont val="Calibri"/>
        <family val="2"/>
      </rPr>
      <t>114-</t>
    </r>
    <r>
      <rPr>
        <sz val="11"/>
        <rFont val="Calibri"/>
        <family val="2"/>
        <scheme val="minor"/>
      </rPr>
      <t>117, L. 66, col c</t>
    </r>
  </si>
  <si>
    <r>
      <t>1) Amount in Column 2 from FF1 112</t>
    </r>
    <r>
      <rPr>
        <sz val="11"/>
        <rFont val="Calibri"/>
        <family val="2"/>
      </rPr>
      <t>-113</t>
    </r>
    <r>
      <rPr>
        <sz val="11"/>
        <rFont val="Calibri"/>
        <family val="2"/>
        <scheme val="minor"/>
      </rPr>
      <t>, L. 18, col d, amount in Column 14 from FF1 112-113, L. 18, col c, amounts in columns 3-13 from PG&amp;E internal records (G/L account Cumulative Balance by period for SAP account 9221000, Company Code PGE1)</t>
    </r>
  </si>
  <si>
    <r>
      <t>2) Amount in Column 2 from FF1 112</t>
    </r>
    <r>
      <rPr>
        <sz val="11"/>
        <rFont val="Calibri"/>
        <family val="2"/>
      </rPr>
      <t>-113</t>
    </r>
    <r>
      <rPr>
        <sz val="11"/>
        <rFont val="Calibri"/>
        <family val="2"/>
        <scheme val="minor"/>
      </rPr>
      <t>, L. 19, col d, amount in Column 14 from FF1 112-113, L. 19, col c, amounts in columns 3-13 from PG&amp;E internal records (G/L account Cumulative Balance by period for SAP account 9222000, Company Code PGE1)</t>
    </r>
  </si>
  <si>
    <r>
      <t>3) Amount in Column 2 from FF1 112</t>
    </r>
    <r>
      <rPr>
        <sz val="11"/>
        <rFont val="Calibri"/>
        <family val="2"/>
      </rPr>
      <t>-113</t>
    </r>
    <r>
      <rPr>
        <sz val="11"/>
        <rFont val="Calibri"/>
        <family val="2"/>
        <scheme val="minor"/>
      </rPr>
      <t>, L. 20, col d, amount in Column 14 from FF1 112-113, L. 20, col c, amounts in columns 3-13 from PG&amp;E internal records (G/L account Cumulative Balance by period for SAP account 9223000, Company Code PGE1)</t>
    </r>
  </si>
  <si>
    <r>
      <t>4) Amount in Column 2 from FF1 112</t>
    </r>
    <r>
      <rPr>
        <sz val="11"/>
        <rFont val="Calibri"/>
        <family val="2"/>
      </rPr>
      <t>-113</t>
    </r>
    <r>
      <rPr>
        <sz val="11"/>
        <rFont val="Calibri"/>
        <family val="2"/>
        <scheme val="minor"/>
      </rPr>
      <t>, L. 21, col d, amount in Column 14 from FF1 112-113, L. 21, col c, amounts in columns 3-13 from PG&amp;E internal records (G/L account Cumulative Balance by period for SAP account 9224000, Company Code PGE1)</t>
    </r>
  </si>
  <si>
    <r>
      <t>5) Amount in Column 2 from FF1 112</t>
    </r>
    <r>
      <rPr>
        <sz val="11"/>
        <rFont val="Calibri"/>
        <family val="2"/>
      </rPr>
      <t>-113</t>
    </r>
    <r>
      <rPr>
        <sz val="11"/>
        <rFont val="Calibri"/>
        <family val="2"/>
        <scheme val="minor"/>
      </rPr>
      <t>, L. 22, col d, amount in Column 14 from FF1 112-113, L. 22, col c, amounts in columns 3-13 from PG&amp;E internal records (G/L account Cumulative Balance by period for SAP account 9225000, Company Code PGE1)</t>
    </r>
  </si>
  <si>
    <r>
      <t>6) Amount in Column 2 from FF1 112</t>
    </r>
    <r>
      <rPr>
        <sz val="11"/>
        <rFont val="Calibri"/>
        <family val="2"/>
      </rPr>
      <t>-113</t>
    </r>
    <r>
      <rPr>
        <sz val="11"/>
        <rFont val="Calibri"/>
        <family val="2"/>
        <scheme val="minor"/>
      </rPr>
      <t>, L. 23, col d, amount in Column 14 from FF1 112-113, L. 23, col c, amounts in columns 3-13 from PG&amp;E internal records (G/L account Cumulative Balance by period for SAP account 9226000, Company Code PGE1)</t>
    </r>
  </si>
  <si>
    <r>
      <t xml:space="preserve">7) Amount in Column 2 from FF1 </t>
    </r>
    <r>
      <rPr>
        <sz val="11"/>
        <rFont val="Calibri"/>
        <family val="2"/>
      </rPr>
      <t>110-</t>
    </r>
    <r>
      <rPr>
        <sz val="11"/>
        <rFont val="Calibri"/>
        <family val="2"/>
        <scheme val="minor"/>
      </rPr>
      <t>111, L. 69, col d, amount in Column 14 from FF1 110-111, L. 69, col c, amounts in columns 3-13 from PG&amp;E internal records (G/L account Cumulative Balance by period for SAP accounts 9181000, 9181001, Company Code PGE1)</t>
    </r>
  </si>
  <si>
    <r>
      <t xml:space="preserve">8) Amount in Column 2 from FF1 </t>
    </r>
    <r>
      <rPr>
        <sz val="11"/>
        <rFont val="Calibri"/>
        <family val="2"/>
      </rPr>
      <t>110-</t>
    </r>
    <r>
      <rPr>
        <sz val="11"/>
        <rFont val="Calibri"/>
        <family val="2"/>
        <scheme val="minor"/>
      </rPr>
      <t>111, L. 81, col d, amount in Column 14 from FF1 110-111, L. 81, col c, amounts in columns 3-13 from PG&amp;E internal records (G/L account Cumulative Balance by period for SAP account 9189000, Company Code PGE1)</t>
    </r>
  </si>
  <si>
    <r>
      <t>12) Amount in Column 2 from FF1 112</t>
    </r>
    <r>
      <rPr>
        <sz val="11"/>
        <rFont val="Calibri"/>
        <family val="2"/>
      </rPr>
      <t>-113</t>
    </r>
    <r>
      <rPr>
        <sz val="11"/>
        <rFont val="Calibri"/>
        <family val="2"/>
        <scheme val="minor"/>
      </rPr>
      <t xml:space="preserve">, L. 16, col d, amount in Column 14 from FF1 112-113, L. 16, col c, amounts in columns 3-13 from PG&amp;E internal records (G/L account Cumulative Balance by period for SAP accounts 2010000, 2040000, 2040001, 2070000, 2070020, 2110010, 2110015, 2130020, </t>
    </r>
  </si>
  <si>
    <r>
      <t>13) Amount in Column 2 from FF1 112</t>
    </r>
    <r>
      <rPr>
        <sz val="11"/>
        <rFont val="Calibri"/>
        <family val="2"/>
      </rPr>
      <t>-113</t>
    </r>
    <r>
      <rPr>
        <sz val="11"/>
        <rFont val="Calibri"/>
        <family val="2"/>
        <scheme val="minor"/>
      </rPr>
      <t>, L. 12, col d, amount in Column 14 from FF1 112-113, L. 12, col c, amounts in columns 3-13 from PG&amp;E internal records (G/L account Cumulative Balance by period for SAP account 2161001, Company Code PGE1)</t>
    </r>
  </si>
  <si>
    <r>
      <t>14) Amount in Column 2 from FF1 112</t>
    </r>
    <r>
      <rPr>
        <sz val="11"/>
        <rFont val="Calibri"/>
        <family val="2"/>
      </rPr>
      <t>-113</t>
    </r>
    <r>
      <rPr>
        <sz val="11"/>
        <rFont val="Calibri"/>
        <family val="2"/>
        <scheme val="minor"/>
      </rPr>
      <t>, L. 15, col d, amount in Column 14 from FF1 112-113, L. 15, col c, amounts in columns 3-13 from PG&amp;E internal records (G/L account Cumulative Balance by period for SAP account 2190001, Company Code PGE1)</t>
    </r>
  </si>
  <si>
    <r>
      <t xml:space="preserve">2) The Total FF1 Recorded O&amp;M Expense is the sum of Labor and Non-labor FF1 Recorded O&amp;M Expense (obtained as explained in Note 1) and tie to the amounts provided in FF1 </t>
    </r>
    <r>
      <rPr>
        <sz val="11"/>
        <rFont val="Calibri"/>
        <family val="2"/>
      </rPr>
      <t>320-323</t>
    </r>
    <r>
      <rPr>
        <sz val="11"/>
        <rFont val="Calibri"/>
        <family val="2"/>
        <scheme val="minor"/>
      </rPr>
      <t xml:space="preserve">, L. 112, col b.  </t>
    </r>
  </si>
  <si>
    <r>
      <t xml:space="preserve">FF1 </t>
    </r>
    <r>
      <rPr>
        <sz val="11"/>
        <rFont val="Calibri"/>
        <family val="2"/>
      </rPr>
      <t>110-</t>
    </r>
    <r>
      <rPr>
        <sz val="11"/>
        <rFont val="Calibri"/>
        <family val="2"/>
        <scheme val="minor"/>
      </rPr>
      <t>111, L. 57, col c</t>
    </r>
  </si>
  <si>
    <r>
      <t xml:space="preserve">FF1 Recorded O&amp;M Expense
 FF1 </t>
    </r>
    <r>
      <rPr>
        <b/>
        <sz val="11"/>
        <rFont val="Calibri"/>
        <family val="2"/>
      </rPr>
      <t>320-323</t>
    </r>
    <r>
      <rPr>
        <b/>
        <sz val="11"/>
        <rFont val="Calibri"/>
        <family val="2"/>
        <scheme val="minor"/>
      </rPr>
      <t xml:space="preserve">, L. 83-98 and L. 101-110, col b </t>
    </r>
  </si>
  <si>
    <r>
      <t xml:space="preserve">5) See FF1 </t>
    </r>
    <r>
      <rPr>
        <sz val="9.35"/>
        <rFont val="Calibri"/>
        <family val="2"/>
      </rPr>
      <t>328-</t>
    </r>
    <r>
      <rPr>
        <sz val="11"/>
        <rFont val="Calibri"/>
        <family val="2"/>
        <scheme val="minor"/>
      </rPr>
      <t>330, col n, Total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</si>
</sst>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quot;$&quot;#,##0.0_);[Red]\(&quot;$&quot;#,##0.0\)"/>
    <numFmt numFmtId="194" formatCode="0.000"/>
    <numFmt numFmtId="195" formatCode="0.000%"/>
    <numFmt numFmtId="196" formatCode="_(&quot;$&quot;* #,##0.00_);_(&quot;$&quot;* \(#,##0.00\);_(&quot;$&quot;* &quot;-&quot;_);_(@_)"/>
    <numFmt numFmtId="197" formatCode="0_);\(0\)"/>
    <numFmt numFmtId="198" formatCode="_(* #,##0.00000_);_(* \(#,##0.00000\);_(* &quot;-&quot;??_);_(@_)"/>
    <numFmt numFmtId="199" formatCode="&quot;$&quot;#,##0.00"/>
    <numFmt numFmtId="200" formatCode="&quot;$&quot;#,##0.0000_);[Red]\(&quot;$&quot;#,##0.0000\)"/>
    <numFmt numFmtId="201" formatCode="_(* #,##0.0000_);_(* \(#,##0.0000\);_(* &quot;-&quot;??_);_(@_)"/>
    <numFmt numFmtId="202" formatCode="&quot;$&quot;#,##0.00000"/>
    <numFmt numFmtId="203" formatCode="0.00000"/>
    <numFmt numFmtId="204" formatCode="m/d/yy;@"/>
    <numFmt numFmtId="205" formatCode="_(* #,##0.0000000_);_(* \(#,##0.0000000\);_(* &quot;-&quot;??_);_(@_)"/>
    <numFmt numFmtId="206" formatCode="_(&quot;$&quot;* #,##0.0000_);_(&quot;$&quot;* \(#,##0.0000\);_(&quot;$&quot;* &quot;-&quot;??_);_(@_)"/>
  </numFmts>
  <fonts count="123">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i/>
      <sz val="11"/>
      <name val="Calibri"/>
      <family val="2"/>
      <scheme val="minor"/>
    </font>
    <font>
      <i/>
      <sz val="11"/>
      <color rgb="FFFF0000"/>
      <name val="Calibri"/>
      <family val="2"/>
      <scheme val="minor"/>
    </font>
    <font>
      <sz val="11"/>
      <color indexed="8"/>
      <name val="Calibri"/>
      <family val="2"/>
      <scheme val="minor"/>
    </font>
    <font>
      <i/>
      <sz val="11"/>
      <color indexed="12"/>
      <name val="Calibri"/>
      <family val="2"/>
      <scheme val="minor"/>
    </font>
    <font>
      <sz val="11"/>
      <color indexed="16"/>
      <name val="Calibri"/>
      <family val="2"/>
      <scheme val="minor"/>
    </font>
    <font>
      <sz val="11"/>
      <color indexed="12"/>
      <name val="Calibri"/>
      <family val="2"/>
      <scheme val="minor"/>
    </font>
    <font>
      <u/>
      <sz val="11"/>
      <color indexed="8"/>
      <name val="Calibri"/>
      <family val="2"/>
      <scheme val="minor"/>
    </font>
    <font>
      <b/>
      <sz val="11"/>
      <color indexed="8"/>
      <name val="Calibri"/>
      <family val="2"/>
      <scheme val="minor"/>
    </font>
    <font>
      <b/>
      <sz val="10"/>
      <color theme="1"/>
      <name val="Times New Roman"/>
      <family val="1"/>
    </font>
    <font>
      <sz val="11"/>
      <name val="Calibri"/>
      <family val="2"/>
    </font>
    <font>
      <b/>
      <sz val="9.35"/>
      <name val="Calibri"/>
      <family val="2"/>
    </font>
    <font>
      <b/>
      <sz val="11"/>
      <name val="Calibri"/>
      <family val="2"/>
    </font>
    <font>
      <b/>
      <strike/>
      <sz val="8.8000000000000007"/>
      <name val="Calibri"/>
      <family val="2"/>
    </font>
    <font>
      <b/>
      <strike/>
      <sz val="11"/>
      <name val="Calibri"/>
      <family val="2"/>
    </font>
    <font>
      <b/>
      <sz val="10"/>
      <name val="Times New Roman"/>
      <family val="1"/>
    </font>
    <font>
      <sz val="8.8000000000000007"/>
      <name val="Calibri"/>
      <family val="2"/>
    </font>
    <font>
      <sz val="11"/>
      <color rgb="FFFF0000"/>
      <name val="Calibri"/>
      <family val="2"/>
    </font>
    <font>
      <sz val="9.35"/>
      <name val="Calibri"/>
      <family val="2"/>
    </font>
    <font>
      <sz val="9.9"/>
      <name val="Calibri"/>
      <family val="2"/>
    </font>
    <font>
      <sz val="11"/>
      <color theme="1"/>
      <name val="Calibri"/>
      <family val="2"/>
      <scheme val="minor"/>
    </font>
  </fonts>
  <fills count="96">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indexed="31"/>
        <bgColor indexed="64"/>
      </patternFill>
    </fill>
    <fill>
      <patternFill patternType="solid">
        <fgColor indexed="40"/>
        <bgColor indexed="64"/>
      </patternFill>
    </fill>
    <fill>
      <patternFill patternType="solid">
        <fgColor theme="4" tint="0.79992065187536243"/>
        <bgColor indexed="64"/>
      </patternFill>
    </fill>
    <fill>
      <patternFill patternType="solid">
        <fgColor indexed="45"/>
        <bgColor indexed="64"/>
      </patternFill>
    </fill>
    <fill>
      <patternFill patternType="solid">
        <fgColor indexed="29"/>
        <bgColor indexed="64"/>
      </patternFill>
    </fill>
    <fill>
      <patternFill patternType="solid">
        <fgColor theme="5" tint="0.79992065187536243"/>
        <bgColor indexed="64"/>
      </patternFill>
    </fill>
    <fill>
      <patternFill patternType="solid">
        <fgColor indexed="42"/>
        <bgColor indexed="64"/>
      </patternFill>
    </fill>
    <fill>
      <patternFill patternType="solid">
        <fgColor indexed="26"/>
        <bgColor indexed="64"/>
      </patternFill>
    </fill>
    <fill>
      <patternFill patternType="solid">
        <fgColor theme="6" tint="0.79992065187536243"/>
        <bgColor indexed="64"/>
      </patternFill>
    </fill>
    <fill>
      <patternFill patternType="solid">
        <fgColor indexed="46"/>
        <bgColor indexed="64"/>
      </patternFill>
    </fill>
    <fill>
      <patternFill patternType="solid">
        <fgColor indexed="9"/>
        <bgColor indexed="64"/>
      </patternFill>
    </fill>
    <fill>
      <patternFill patternType="solid">
        <fgColor theme="7" tint="0.79992065187536243"/>
        <bgColor indexed="64"/>
      </patternFill>
    </fill>
    <fill>
      <patternFill patternType="solid">
        <fgColor indexed="27"/>
        <bgColor indexed="64"/>
      </patternFill>
    </fill>
    <fill>
      <patternFill patternType="solid">
        <fgColor indexed="44"/>
        <bgColor indexed="64"/>
      </patternFill>
    </fill>
    <fill>
      <patternFill patternType="solid">
        <fgColor theme="8" tint="0.79992065187536243"/>
        <bgColor indexed="64"/>
      </patternFill>
    </fill>
    <fill>
      <patternFill patternType="solid">
        <fgColor indexed="47"/>
        <bgColor indexed="64"/>
      </patternFill>
    </fill>
    <fill>
      <patternFill patternType="solid">
        <fgColor theme="9" tint="0.79992065187536243"/>
        <bgColor indexed="64"/>
      </patternFill>
    </fill>
    <fill>
      <patternFill patternType="solid">
        <fgColor indexed="54"/>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indexed="11"/>
        <bgColor indexed="64"/>
      </patternFill>
    </fill>
    <fill>
      <patternFill patternType="solid">
        <fgColor indexed="57"/>
        <bgColor indexed="64"/>
      </patternFill>
    </fill>
    <fill>
      <patternFill patternType="solid">
        <fgColor theme="6" tint="0.59993285927915285"/>
        <bgColor indexed="64"/>
      </patternFill>
    </fill>
    <fill>
      <patternFill patternType="solid">
        <fgColor indexed="22"/>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indexed="51"/>
        <bgColor indexed="64"/>
      </patternFill>
    </fill>
    <fill>
      <patternFill patternType="solid">
        <fgColor theme="9" tint="0.59993285927915285"/>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61"/>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50"/>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rgb="FFF2F2F2"/>
        <bgColor indexed="64"/>
      </patternFill>
    </fill>
    <fill>
      <patternFill patternType="solid">
        <fgColor indexed="3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
      <patternFill patternType="solid">
        <fgColor rgb="FFFF0000"/>
        <bgColor indexed="64"/>
      </patternFill>
    </fill>
    <fill>
      <patternFill patternType="solid">
        <fgColor rgb="FFFFE979"/>
        <bgColor indexed="64"/>
      </patternFill>
    </fill>
  </fills>
  <borders count="51">
    <border>
      <left/>
      <right/>
      <top/>
      <bottom/>
      <diagonal/>
    </border>
    <border>
      <left style="thin">
        <color theme="3" tint="-0.24988555558946501"/>
      </left>
      <right style="thin">
        <color theme="3" tint="-0.24988555558946501"/>
      </right>
      <top style="thin">
        <color theme="3" tint="-0.24988555558946501"/>
      </top>
      <bottom style="thin">
        <color theme="3" tint="-0.24988555558946501"/>
      </bottom>
      <diagonal/>
    </border>
    <border>
      <left style="thin">
        <color theme="3" tint="0.59990234076967686"/>
      </left>
      <right style="thin">
        <color theme="3" tint="0.59990234076967686"/>
      </right>
      <top style="thin">
        <color theme="3" tint="0.59990234076967686"/>
      </top>
      <bottom style="thin">
        <color theme="3" tint="0.59990234076967686"/>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92370372631001"/>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right/>
      <top/>
      <bottom style="thin">
        <color auto="1"/>
      </bottom>
      <diagonal/>
    </border>
    <border>
      <left/>
      <right/>
      <top style="thin">
        <color auto="1"/>
      </top>
      <bottom/>
      <diagonal/>
    </border>
    <border>
      <left/>
      <right/>
      <top/>
      <bottom style="double">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medium">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double">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thin">
        <color auto="1"/>
      </right>
      <top/>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1686">
    <xf numFmtId="0" fontId="0" fillId="0" borderId="0"/>
    <xf numFmtId="9" fontId="122" fillId="0" borderId="0" applyFont="0" applyFill="0" applyBorder="0" applyAlignment="0" applyProtection="0"/>
    <xf numFmtId="44" fontId="122" fillId="0" borderId="0" applyFont="0" applyFill="0" applyBorder="0" applyAlignment="0" applyProtection="0"/>
    <xf numFmtId="42" fontId="1" fillId="0" borderId="0" applyFont="0" applyFill="0" applyBorder="0" applyAlignment="0" applyProtection="0"/>
    <xf numFmtId="43" fontId="122"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2"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22" fillId="0" borderId="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4" fontId="5" fillId="0" borderId="0" applyFont="0" applyFill="0" applyBorder="0" applyAlignment="0" applyProtection="0"/>
    <xf numFmtId="0" fontId="122" fillId="0" borderId="0"/>
    <xf numFmtId="0"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9" fontId="122" fillId="0" borderId="0" applyFont="0" applyFill="0" applyBorder="0" applyAlignment="0" applyProtection="0"/>
    <xf numFmtId="9" fontId="122"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43" fillId="18"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43" fillId="21"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43" fillId="24"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43" fillId="27"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43" fillId="30"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43" fillId="33"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43" fillId="31"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43" fillId="22"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43" fillId="38"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43" fillId="27"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43" fillId="31"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43" fillId="44"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5" fillId="54"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5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4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5" fillId="57" borderId="0" applyNumberFormat="0" applyBorder="0" applyAlignment="0" applyProtection="0"/>
    <xf numFmtId="0" fontId="45" fillId="5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18"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5" fillId="63" borderId="0" applyNumberFormat="0" applyBorder="0" applyAlignment="0" applyProtection="0"/>
    <xf numFmtId="0" fontId="45" fillId="2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8"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3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5" fillId="41" borderId="0" applyNumberFormat="0" applyBorder="0" applyAlignment="0" applyProtection="0"/>
    <xf numFmtId="0" fontId="45" fillId="6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63"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5" fillId="41" borderId="0" applyNumberFormat="0" applyBorder="0" applyAlignment="0" applyProtection="0"/>
    <xf numFmtId="0" fontId="45" fillId="1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6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5" fillId="35" borderId="0" applyNumberFormat="0" applyBorder="0" applyAlignment="0" applyProtection="0"/>
    <xf numFmtId="0" fontId="45" fillId="58"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3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5" fillId="33" borderId="0" applyNumberFormat="0" applyBorder="0" applyAlignment="0" applyProtection="0"/>
    <xf numFmtId="0" fontId="45" fillId="44"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1" borderId="7">
      <alignment horizontal="center" vertical="center"/>
    </xf>
    <xf numFmtId="178" fontId="37" fillId="31" borderId="7">
      <alignment horizontal="center" vertical="center"/>
    </xf>
    <xf numFmtId="177" fontId="6" fillId="31" borderId="7">
      <alignment horizontal="center" vertical="center"/>
    </xf>
    <xf numFmtId="167" fontId="5" fillId="31" borderId="7">
      <alignment horizontal="center" vertical="center"/>
    </xf>
    <xf numFmtId="167" fontId="5" fillId="31" borderId="7">
      <alignment horizontal="center" vertical="center"/>
    </xf>
    <xf numFmtId="167" fontId="5" fillId="31" borderId="7">
      <alignment horizontal="center" vertical="center"/>
    </xf>
    <xf numFmtId="167" fontId="5" fillId="31"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9" fillId="25"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9" fillId="25"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8"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77" borderId="9"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5" fillId="78" borderId="11" applyNumberFormat="0" applyAlignment="0" applyProtection="0"/>
    <xf numFmtId="0" fontId="55" fillId="78" borderId="11" applyNumberFormat="0" applyAlignment="0" applyProtection="0"/>
    <xf numFmtId="0" fontId="54" fillId="41" borderId="10" applyNumberFormat="0" applyAlignment="0" applyProtection="0"/>
    <xf numFmtId="0" fontId="55" fillId="78" borderId="11"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5" fillId="78" borderId="11"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4" fillId="41" borderId="10"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31" fillId="77" borderId="9" applyNumberFormat="0" applyAlignment="0" applyProtection="0"/>
    <xf numFmtId="0" fontId="31" fillId="77" borderId="9" applyNumberFormat="0" applyAlignment="0" applyProtection="0"/>
    <xf numFmtId="0" fontId="55" fillId="78" borderId="11" applyNumberFormat="0" applyAlignment="0" applyProtection="0"/>
    <xf numFmtId="0" fontId="55" fillId="78" borderId="11" applyNumberFormat="0" applyAlignment="0" applyProtection="0"/>
    <xf numFmtId="0" fontId="31" fillId="77"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58" fillId="72" borderId="12" applyNumberFormat="0" applyAlignment="0" applyProtection="0"/>
    <xf numFmtId="0" fontId="58" fillId="72"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22"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22" fillId="0" borderId="0" applyFont="0" applyFill="0" applyBorder="0" applyAlignment="0" applyProtection="0"/>
    <xf numFmtId="44" fontId="122" fillId="0" borderId="0" applyFont="0" applyFill="0" applyBorder="0" applyAlignment="0" applyProtection="0"/>
    <xf numFmtId="44" fontId="5" fillId="0" borderId="0" applyFont="0" applyFill="0" applyBorder="0" applyAlignment="0" applyProtection="0"/>
    <xf numFmtId="44" fontId="122" fillId="0" borderId="0" applyFont="0" applyFill="0" applyBorder="0" applyAlignment="0" applyProtection="0"/>
    <xf numFmtId="44" fontId="1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22" fillId="0" borderId="0" applyFont="0" applyFill="0" applyBorder="0" applyAlignment="0" applyProtection="0"/>
    <xf numFmtId="44" fontId="1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22" fillId="0" borderId="0" applyFont="0" applyFill="0" applyBorder="0" applyAlignment="0" applyProtection="0"/>
    <xf numFmtId="44" fontId="1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22" fillId="0" borderId="0" applyFont="0" applyFill="0" applyBorder="0" applyAlignment="0" applyProtection="0"/>
    <xf numFmtId="44" fontId="122"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80" borderId="0" applyNumberFormat="0" applyBorder="0" applyAlignment="0" applyProtection="0"/>
    <xf numFmtId="0" fontId="63" fillId="81"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2" borderId="0" applyNumberFormat="0" applyBorder="0" applyAlignment="0" applyProtection="0"/>
    <xf numFmtId="0" fontId="63" fillId="83"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5" borderId="8" applyNumberFormat="0" applyBorder="0" applyAlignment="0" applyProtection="0"/>
    <xf numFmtId="0" fontId="47" fillId="25" borderId="8" applyNumberFormat="0" applyBorder="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187" fontId="84" fillId="0" borderId="0" applyFont="0" applyFill="0" applyBorder="0" applyProtection="0">
      <alignment horizontal="center"/>
    </xf>
    <xf numFmtId="0" fontId="36" fillId="87" borderId="0" applyNumberFormat="0" applyFont="0" applyBorder="0" applyProtection="0"/>
    <xf numFmtId="0" fontId="36" fillId="87"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88" borderId="0">
      <alignment horizontal="right"/>
    </xf>
    <xf numFmtId="171" fontId="87" fillId="88" borderId="0">
      <alignment horizontal="right"/>
    </xf>
    <xf numFmtId="17" fontId="88" fillId="0" borderId="0" applyFont="0" applyFill="0" applyBorder="0">
      <protection locked="0"/>
    </xf>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67"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67"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22"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0" fontId="5" fillId="0" borderId="0"/>
    <xf numFmtId="170" fontId="5" fillId="0" borderId="0"/>
    <xf numFmtId="171" fontId="5" fillId="0" borderId="0"/>
    <xf numFmtId="171" fontId="5" fillId="0" borderId="0"/>
    <xf numFmtId="175" fontId="122" fillId="0" borderId="0"/>
    <xf numFmtId="0" fontId="122" fillId="0" borderId="0"/>
    <xf numFmtId="171" fontId="122" fillId="0" borderId="0"/>
    <xf numFmtId="171" fontId="122" fillId="0" borderId="0"/>
    <xf numFmtId="171" fontId="122" fillId="0" borderId="0"/>
    <xf numFmtId="176" fontId="122"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171" fontId="122" fillId="0" borderId="0"/>
    <xf numFmtId="0" fontId="122"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0" fontId="47" fillId="68" borderId="0"/>
    <xf numFmtId="170" fontId="47" fillId="68" borderId="0"/>
    <xf numFmtId="171" fontId="47" fillId="68" borderId="0"/>
    <xf numFmtId="171" fontId="47" fillId="68" borderId="0"/>
    <xf numFmtId="175" fontId="47" fillId="68" borderId="0"/>
    <xf numFmtId="171" fontId="47" fillId="68" borderId="0"/>
    <xf numFmtId="171" fontId="122" fillId="0" borderId="0"/>
    <xf numFmtId="0" fontId="122"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22"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0" fontId="47" fillId="68" borderId="0"/>
    <xf numFmtId="170" fontId="47" fillId="68" borderId="0"/>
    <xf numFmtId="171" fontId="47" fillId="68" borderId="0"/>
    <xf numFmtId="171" fontId="47" fillId="68" borderId="0"/>
    <xf numFmtId="175" fontId="122" fillId="0" borderId="0"/>
    <xf numFmtId="171" fontId="122" fillId="0" borderId="0"/>
    <xf numFmtId="171" fontId="122" fillId="0" borderId="0"/>
    <xf numFmtId="0" fontId="122"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22"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0" fontId="47" fillId="68" borderId="0"/>
    <xf numFmtId="170" fontId="47" fillId="68" borderId="0"/>
    <xf numFmtId="171" fontId="47" fillId="68" borderId="0"/>
    <xf numFmtId="171" fontId="47" fillId="68" borderId="0"/>
    <xf numFmtId="175" fontId="47" fillId="68" borderId="0"/>
    <xf numFmtId="171" fontId="47" fillId="68" borderId="0"/>
    <xf numFmtId="171" fontId="122" fillId="0" borderId="0"/>
    <xf numFmtId="0" fontId="122"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47" fillId="68" borderId="0"/>
    <xf numFmtId="170" fontId="47" fillId="68" borderId="0"/>
    <xf numFmtId="170" fontId="47" fillId="68" borderId="0"/>
    <xf numFmtId="171" fontId="47" fillId="68" borderId="0"/>
    <xf numFmtId="0" fontId="122" fillId="0" borderId="0"/>
    <xf numFmtId="170" fontId="122" fillId="0" borderId="0"/>
    <xf numFmtId="171" fontId="122" fillId="0" borderId="0"/>
    <xf numFmtId="171" fontId="122" fillId="0" borderId="0"/>
    <xf numFmtId="171" fontId="47" fillId="68" borderId="0"/>
    <xf numFmtId="0" fontId="47" fillId="68" borderId="0"/>
    <xf numFmtId="170" fontId="47" fillId="68" borderId="0"/>
    <xf numFmtId="171" fontId="47" fillId="68" borderId="0"/>
    <xf numFmtId="171" fontId="47" fillId="68" borderId="0"/>
    <xf numFmtId="0" fontId="122" fillId="0" borderId="0"/>
    <xf numFmtId="170" fontId="122" fillId="0" borderId="0"/>
    <xf numFmtId="171" fontId="122" fillId="0" borderId="0"/>
    <xf numFmtId="171" fontId="122" fillId="0" borderId="0"/>
    <xf numFmtId="171" fontId="47" fillId="68" borderId="0"/>
    <xf numFmtId="175" fontId="122" fillId="0" borderId="0"/>
    <xf numFmtId="171" fontId="122" fillId="0"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7"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47" fillId="68" borderId="0"/>
    <xf numFmtId="170" fontId="47" fillId="68" borderId="0"/>
    <xf numFmtId="170" fontId="47" fillId="68" borderId="0"/>
    <xf numFmtId="171" fontId="47" fillId="68" borderId="0"/>
    <xf numFmtId="0" fontId="122" fillId="0" borderId="0"/>
    <xf numFmtId="170" fontId="122" fillId="0" borderId="0"/>
    <xf numFmtId="171" fontId="122" fillId="0" borderId="0"/>
    <xf numFmtId="171" fontId="122" fillId="0" borderId="0"/>
    <xf numFmtId="171" fontId="47" fillId="68" borderId="0"/>
    <xf numFmtId="0" fontId="47" fillId="68" borderId="0"/>
    <xf numFmtId="170" fontId="47" fillId="68" borderId="0"/>
    <xf numFmtId="171" fontId="47" fillId="68" borderId="0"/>
    <xf numFmtId="171" fontId="47" fillId="68" borderId="0"/>
    <xf numFmtId="0" fontId="122" fillId="0" borderId="0"/>
    <xf numFmtId="170" fontId="122" fillId="0" borderId="0"/>
    <xf numFmtId="171" fontId="122" fillId="0" borderId="0"/>
    <xf numFmtId="171" fontId="122" fillId="0" borderId="0"/>
    <xf numFmtId="171" fontId="47" fillId="68"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47" fillId="68" borderId="0"/>
    <xf numFmtId="171" fontId="47" fillId="68" borderId="0"/>
    <xf numFmtId="171" fontId="5" fillId="0" borderId="0"/>
    <xf numFmtId="176" fontId="47" fillId="68" borderId="0"/>
    <xf numFmtId="191" fontId="122" fillId="0" borderId="0"/>
    <xf numFmtId="0" fontId="122" fillId="0" borderId="0"/>
    <xf numFmtId="19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175" fontId="122" fillId="0" borderId="0"/>
    <xf numFmtId="171" fontId="122" fillId="0" borderId="0"/>
    <xf numFmtId="171" fontId="5" fillId="0" borderId="0"/>
    <xf numFmtId="0" fontId="5" fillId="0" borderId="0"/>
    <xf numFmtId="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0"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0"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170"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1"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1"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0" fontId="122" fillId="0" borderId="0"/>
    <xf numFmtId="0" fontId="122" fillId="0" borderId="0"/>
    <xf numFmtId="0" fontId="122" fillId="0" borderId="0"/>
    <xf numFmtId="0" fontId="122" fillId="0" borderId="0"/>
    <xf numFmtId="0" fontId="122" fillId="0" borderId="0"/>
    <xf numFmtId="0" fontId="122" fillId="0" borderId="0"/>
    <xf numFmtId="171"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1"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0" fontId="122" fillId="0" borderId="0"/>
    <xf numFmtId="0" fontId="122" fillId="0" borderId="0"/>
    <xf numFmtId="0" fontId="122" fillId="0" borderId="0"/>
    <xf numFmtId="0" fontId="122" fillId="0" borderId="0"/>
    <xf numFmtId="0" fontId="122" fillId="0" borderId="0"/>
    <xf numFmtId="0" fontId="122" fillId="0" borderId="0"/>
    <xf numFmtId="171"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1"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5" fillId="0" borderId="0"/>
    <xf numFmtId="170" fontId="5" fillId="0" borderId="0"/>
    <xf numFmtId="171" fontId="5" fillId="0" borderId="0"/>
    <xf numFmtId="171" fontId="5" fillId="0" borderId="0"/>
    <xf numFmtId="175" fontId="122" fillId="0" borderId="0"/>
    <xf numFmtId="0" fontId="5" fillId="0" borderId="0"/>
    <xf numFmtId="171" fontId="5" fillId="0" borderId="0"/>
    <xf numFmtId="171" fontId="122" fillId="0" borderId="0"/>
    <xf numFmtId="0" fontId="5" fillId="0" borderId="0"/>
    <xf numFmtId="171" fontId="5" fillId="0" borderId="0"/>
    <xf numFmtId="0"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1" fontId="5" fillId="0" borderId="0"/>
    <xf numFmtId="176" fontId="5" fillId="0" borderId="0"/>
    <xf numFmtId="191" fontId="122" fillId="0" borderId="0"/>
    <xf numFmtId="0" fontId="5" fillId="0" borderId="0"/>
    <xf numFmtId="0"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122" fillId="0" borderId="0"/>
    <xf numFmtId="170" fontId="92" fillId="0" borderId="0"/>
    <xf numFmtId="170" fontId="92" fillId="0" borderId="0"/>
    <xf numFmtId="171" fontId="9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92" fillId="0" borderId="0"/>
    <xf numFmtId="172" fontId="92" fillId="0" borderId="0"/>
    <xf numFmtId="170" fontId="92" fillId="0" borderId="0"/>
    <xf numFmtId="170" fontId="92" fillId="0" borderId="0"/>
    <xf numFmtId="171" fontId="92" fillId="0" borderId="0"/>
    <xf numFmtId="0" fontId="122" fillId="0" borderId="0"/>
    <xf numFmtId="170" fontId="122" fillId="0" borderId="0"/>
    <xf numFmtId="171" fontId="122" fillId="0" borderId="0"/>
    <xf numFmtId="171" fontId="122" fillId="0" borderId="0"/>
    <xf numFmtId="171" fontId="92" fillId="0" borderId="0"/>
    <xf numFmtId="172" fontId="92" fillId="0" borderId="0"/>
    <xf numFmtId="170" fontId="92" fillId="0" borderId="0"/>
    <xf numFmtId="171" fontId="92" fillId="0" borderId="0"/>
    <xf numFmtId="171" fontId="9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 fillId="0" borderId="0"/>
    <xf numFmtId="170" fontId="1" fillId="0" borderId="0"/>
    <xf numFmtId="170" fontId="1" fillId="0" borderId="0"/>
    <xf numFmtId="171" fontId="1" fillId="0" borderId="0"/>
    <xf numFmtId="0" fontId="122" fillId="0" borderId="0"/>
    <xf numFmtId="170" fontId="122" fillId="0" borderId="0"/>
    <xf numFmtId="171" fontId="122" fillId="0" borderId="0"/>
    <xf numFmtId="171" fontId="122" fillId="0" borderId="0"/>
    <xf numFmtId="171" fontId="1" fillId="0" borderId="0"/>
    <xf numFmtId="0" fontId="1" fillId="0" borderId="0"/>
    <xf numFmtId="170" fontId="1" fillId="0" borderId="0"/>
    <xf numFmtId="171" fontId="1" fillId="0" borderId="0"/>
    <xf numFmtId="171" fontId="1" fillId="0" borderId="0"/>
    <xf numFmtId="0" fontId="122" fillId="0" borderId="0"/>
    <xf numFmtId="170" fontId="122" fillId="0" borderId="0"/>
    <xf numFmtId="171" fontId="122" fillId="0" borderId="0"/>
    <xf numFmtId="171" fontId="122"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5" fontId="122" fillId="0" borderId="0"/>
    <xf numFmtId="171" fontId="122" fillId="0" borderId="0"/>
    <xf numFmtId="171" fontId="5" fillId="0" borderId="0"/>
    <xf numFmtId="191"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0" fontId="1" fillId="0" borderId="0"/>
  </cellStyleXfs>
  <cellXfs count="859">
    <xf numFmtId="0" fontId="0" fillId="0" borderId="0" xfId="0"/>
    <xf numFmtId="0" fontId="97" fillId="0" borderId="0" xfId="6" applyFont="1" applyAlignment="1">
      <alignment horizontal="center"/>
    </xf>
    <xf numFmtId="0" fontId="20" fillId="91" borderId="0" xfId="0" applyFont="1" applyFill="1" applyAlignment="1">
      <alignment horizontal="left"/>
    </xf>
    <xf numFmtId="0" fontId="20" fillId="0" borderId="0" xfId="47"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0" fillId="0" borderId="0" xfId="0" applyAlignment="1">
      <alignment horizontal="left"/>
    </xf>
    <xf numFmtId="0" fontId="0" fillId="0" borderId="0" xfId="0" applyAlignment="1">
      <alignment horizontal="left" wrapText="1"/>
    </xf>
    <xf numFmtId="0" fontId="2" fillId="0" borderId="0" xfId="0" applyFont="1" applyAlignment="1">
      <alignment horizontal="center"/>
    </xf>
    <xf numFmtId="0" fontId="95" fillId="0" borderId="0" xfId="0" applyFont="1" applyAlignment="1">
      <alignment horizontal="center"/>
    </xf>
    <xf numFmtId="0" fontId="94" fillId="0" borderId="0" xfId="0" applyFont="1" applyAlignment="1">
      <alignment horizontal="center"/>
    </xf>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2" xfId="4" applyNumberFormat="1" applyFont="1" applyBorder="1"/>
    <xf numFmtId="5" fontId="2" fillId="0" borderId="0" xfId="4" applyNumberFormat="1" applyFont="1"/>
    <xf numFmtId="6" fontId="2" fillId="0" borderId="0" xfId="0" applyNumberFormat="1" applyFont="1"/>
    <xf numFmtId="5" fontId="0" fillId="0" borderId="32" xfId="4" applyNumberFormat="1" applyFont="1" applyFill="1" applyBorder="1"/>
    <xf numFmtId="0" fontId="20" fillId="0" borderId="0" xfId="0" applyFont="1" applyAlignment="1">
      <alignment horizontal="center"/>
    </xf>
    <xf numFmtId="10" fontId="0" fillId="0" borderId="0" xfId="1" applyNumberFormat="1" applyFont="1"/>
    <xf numFmtId="10" fontId="0" fillId="0" borderId="0" xfId="1" applyNumberFormat="1" applyFont="1" applyFill="1"/>
    <xf numFmtId="0" fontId="0" fillId="0" borderId="0" xfId="0" applyAlignment="1">
      <alignment horizontal="center"/>
    </xf>
    <xf numFmtId="10" fontId="0" fillId="0" borderId="0" xfId="0" applyNumberFormat="1"/>
    <xf numFmtId="5" fontId="0" fillId="0" borderId="0" xfId="4" applyNumberFormat="1" applyFont="1" applyFill="1"/>
    <xf numFmtId="5" fontId="0" fillId="0" borderId="0" xfId="0" applyNumberFormat="1"/>
    <xf numFmtId="10" fontId="0" fillId="0" borderId="32" xfId="1" applyNumberFormat="1" applyFont="1" applyBorder="1"/>
    <xf numFmtId="0" fontId="0" fillId="0" borderId="0" xfId="0" applyAlignment="1">
      <alignment horizontal="left" indent="1"/>
    </xf>
    <xf numFmtId="165" fontId="0" fillId="0" borderId="0" xfId="2" applyNumberFormat="1" applyFont="1"/>
    <xf numFmtId="8" fontId="0" fillId="0" borderId="0" xfId="0" applyNumberFormat="1"/>
    <xf numFmtId="44" fontId="0" fillId="0" borderId="0" xfId="0" applyNumberFormat="1"/>
    <xf numFmtId="166" fontId="0" fillId="0" borderId="0" xfId="4" applyNumberFormat="1" applyFont="1" applyFill="1"/>
    <xf numFmtId="7" fontId="0" fillId="0" borderId="0" xfId="0" applyNumberFormat="1"/>
    <xf numFmtId="10" fontId="0" fillId="0" borderId="32" xfId="0" applyNumberFormat="1" applyBorder="1"/>
    <xf numFmtId="167" fontId="0" fillId="0" borderId="32" xfId="1" applyNumberFormat="1" applyFont="1" applyBorder="1"/>
    <xf numFmtId="0" fontId="23" fillId="0" borderId="0" xfId="0" applyFont="1"/>
    <xf numFmtId="0" fontId="0" fillId="0" borderId="0" xfId="0" applyAlignment="1">
      <alignment wrapText="1"/>
    </xf>
    <xf numFmtId="5" fontId="0" fillId="0" borderId="0" xfId="0" applyNumberFormat="1" applyAlignment="1">
      <alignment horizontal="center"/>
    </xf>
    <xf numFmtId="0" fontId="2" fillId="91" borderId="0" xfId="0" applyFont="1" applyFill="1"/>
    <xf numFmtId="0" fontId="2" fillId="91" borderId="0" xfId="0" applyFont="1" applyFill="1" applyAlignment="1">
      <alignment horizontal="left"/>
    </xf>
    <xf numFmtId="5" fontId="0" fillId="91" borderId="32" xfId="4" applyNumberFormat="1" applyFont="1" applyFill="1" applyBorder="1"/>
    <xf numFmtId="0" fontId="0" fillId="91" borderId="0" xfId="0" applyFill="1"/>
    <xf numFmtId="10" fontId="0" fillId="91" borderId="0" xfId="1" applyNumberFormat="1" applyFont="1" applyFill="1"/>
    <xf numFmtId="5" fontId="0" fillId="91" borderId="0" xfId="4" applyNumberFormat="1" applyFont="1" applyFill="1"/>
    <xf numFmtId="0" fontId="2" fillId="92" borderId="0" xfId="0" applyFont="1" applyFill="1" applyAlignment="1">
      <alignment horizontal="left"/>
    </xf>
    <xf numFmtId="0" fontId="0" fillId="92" borderId="0" xfId="0" applyFill="1" applyAlignment="1">
      <alignment horizontal="left"/>
    </xf>
    <xf numFmtId="0" fontId="0" fillId="92" borderId="0" xfId="0" applyFill="1"/>
    <xf numFmtId="0" fontId="0" fillId="91" borderId="32" xfId="0" applyFill="1" applyBorder="1" applyAlignment="1">
      <alignment horizontal="center"/>
    </xf>
    <xf numFmtId="0" fontId="0" fillId="91" borderId="0" xfId="0" applyFill="1" applyAlignment="1">
      <alignment horizontal="center"/>
    </xf>
    <xf numFmtId="0" fontId="2" fillId="92" borderId="0" xfId="0" applyFont="1" applyFill="1"/>
    <xf numFmtId="7" fontId="0" fillId="92" borderId="0" xfId="0" applyNumberFormat="1" applyFill="1"/>
    <xf numFmtId="164" fontId="0" fillId="92" borderId="0" xfId="0" applyNumberFormat="1" applyFill="1"/>
    <xf numFmtId="7" fontId="2" fillId="0" borderId="0" xfId="0" applyNumberFormat="1" applyFont="1" applyAlignment="1">
      <alignment horizontal="center"/>
    </xf>
    <xf numFmtId="7" fontId="4" fillId="0" borderId="0" xfId="0" applyNumberFormat="1" applyFont="1" applyAlignment="1">
      <alignment horizontal="center"/>
    </xf>
    <xf numFmtId="7" fontId="0" fillId="91" borderId="0" xfId="0" applyNumberFormat="1" applyFill="1" applyAlignment="1">
      <alignment horizontal="center"/>
    </xf>
    <xf numFmtId="9" fontId="0" fillId="0" borderId="0" xfId="0" applyNumberFormat="1"/>
    <xf numFmtId="164" fontId="2" fillId="0" borderId="0" xfId="0" applyNumberFormat="1" applyFont="1" applyAlignment="1">
      <alignment horizontal="center"/>
    </xf>
    <xf numFmtId="10" fontId="0" fillId="0" borderId="0" xfId="0" applyNumberFormat="1" applyAlignment="1">
      <alignment horizontal="center"/>
    </xf>
    <xf numFmtId="193" fontId="0" fillId="0" borderId="0" xfId="0" applyNumberFormat="1"/>
    <xf numFmtId="0" fontId="93" fillId="0" borderId="0" xfId="0" applyFont="1"/>
    <xf numFmtId="5" fontId="2" fillId="0" borderId="0" xfId="4" applyNumberFormat="1" applyFont="1" applyFill="1"/>
    <xf numFmtId="0" fontId="20" fillId="0" borderId="0" xfId="47" applyFont="1"/>
    <xf numFmtId="0" fontId="23" fillId="0" borderId="0" xfId="47" applyFont="1"/>
    <xf numFmtId="0" fontId="96" fillId="0" borderId="0" xfId="47" applyFont="1"/>
    <xf numFmtId="0" fontId="33" fillId="0" borderId="0" xfId="47" applyFont="1" applyAlignment="1">
      <alignment horizontal="left"/>
    </xf>
    <xf numFmtId="17" fontId="33" fillId="0" borderId="0" xfId="47" quotePrefix="1" applyNumberFormat="1" applyFont="1" applyAlignment="1">
      <alignment horizontal="center"/>
    </xf>
    <xf numFmtId="0" fontId="33" fillId="0" borderId="0" xfId="47" quotePrefix="1" applyFont="1" applyAlignment="1">
      <alignment horizontal="center"/>
    </xf>
    <xf numFmtId="0" fontId="20" fillId="0" borderId="0" xfId="47" quotePrefix="1" applyFont="1" applyAlignment="1">
      <alignment horizontal="center"/>
    </xf>
    <xf numFmtId="0" fontId="97" fillId="0" borderId="0" xfId="47" applyFont="1" applyAlignment="1">
      <alignment horizontal="center"/>
    </xf>
    <xf numFmtId="42" fontId="0" fillId="0" borderId="0" xfId="4" applyNumberFormat="1" applyFont="1"/>
    <xf numFmtId="0" fontId="20" fillId="0" borderId="0" xfId="47" applyFont="1" applyAlignment="1">
      <alignment horizontal="left" indent="1"/>
    </xf>
    <xf numFmtId="164" fontId="33" fillId="0" borderId="0" xfId="47" applyNumberFormat="1" applyFont="1"/>
    <xf numFmtId="164" fontId="33" fillId="0" borderId="0" xfId="47" applyNumberFormat="1" applyFont="1" applyAlignment="1">
      <alignment horizontal="center"/>
    </xf>
    <xf numFmtId="164" fontId="20" fillId="0" borderId="0" xfId="47" applyNumberFormat="1" applyFont="1"/>
    <xf numFmtId="10" fontId="33" fillId="0" borderId="0" xfId="78" applyNumberFormat="1" applyFont="1" applyFill="1" applyBorder="1"/>
    <xf numFmtId="9" fontId="33" fillId="0" borderId="0" xfId="1" applyFont="1" applyFill="1" applyBorder="1"/>
    <xf numFmtId="164" fontId="23" fillId="0" borderId="0" xfId="47" applyNumberFormat="1" applyFont="1"/>
    <xf numFmtId="10" fontId="20" fillId="0" borderId="0" xfId="78" applyNumberFormat="1" applyFont="1" applyFill="1" applyBorder="1"/>
    <xf numFmtId="42" fontId="20" fillId="0" borderId="0" xfId="47" applyNumberFormat="1" applyFont="1"/>
    <xf numFmtId="3" fontId="20" fillId="0" borderId="0" xfId="47" applyNumberFormat="1" applyFont="1"/>
    <xf numFmtId="0" fontId="98" fillId="0" borderId="0" xfId="47" applyFont="1"/>
    <xf numFmtId="0" fontId="20" fillId="0" borderId="0" xfId="47" quotePrefix="1" applyFont="1"/>
    <xf numFmtId="0" fontId="97" fillId="0" borderId="0" xfId="47" applyFont="1"/>
    <xf numFmtId="0" fontId="20" fillId="91" borderId="0" xfId="47" applyFont="1" applyFill="1"/>
    <xf numFmtId="0" fontId="98" fillId="0" borderId="0" xfId="47" quotePrefix="1" applyFont="1" applyAlignment="1">
      <alignment horizontal="center"/>
    </xf>
    <xf numFmtId="0" fontId="20" fillId="0" borderId="0" xfId="47" applyFont="1" applyAlignment="1">
      <alignment horizontal="right"/>
    </xf>
    <xf numFmtId="17" fontId="20" fillId="0" borderId="0" xfId="47" quotePrefix="1" applyNumberFormat="1" applyFont="1" applyAlignment="1">
      <alignment horizontal="center"/>
    </xf>
    <xf numFmtId="0" fontId="98" fillId="0" borderId="0" xfId="47" applyFont="1" applyAlignment="1">
      <alignment horizontal="center"/>
    </xf>
    <xf numFmtId="0" fontId="98" fillId="0" borderId="0" xfId="47" applyFont="1" applyAlignment="1">
      <alignment horizontal="left"/>
    </xf>
    <xf numFmtId="164" fontId="20" fillId="0" borderId="0" xfId="47" quotePrefix="1" applyNumberFormat="1" applyFont="1" applyAlignment="1">
      <alignment horizontal="center"/>
    </xf>
    <xf numFmtId="0" fontId="97" fillId="0" borderId="0" xfId="47" applyFont="1" applyAlignment="1">
      <alignment horizontal="left"/>
    </xf>
    <xf numFmtId="2" fontId="20" fillId="0" borderId="0" xfId="0" applyNumberFormat="1" applyFont="1"/>
    <xf numFmtId="2" fontId="97" fillId="0" borderId="0" xfId="0" applyNumberFormat="1" applyFont="1"/>
    <xf numFmtId="2" fontId="20" fillId="0" borderId="0" xfId="0" applyNumberFormat="1" applyFont="1" applyAlignment="1">
      <alignment horizontal="center"/>
    </xf>
    <xf numFmtId="2" fontId="20" fillId="0" borderId="0" xfId="0" applyNumberFormat="1" applyFont="1" applyAlignment="1">
      <alignment horizontal="left"/>
    </xf>
    <xf numFmtId="194" fontId="20" fillId="0" borderId="0" xfId="0" applyNumberFormat="1" applyFont="1"/>
    <xf numFmtId="2" fontId="20" fillId="0" borderId="0" xfId="0" applyNumberFormat="1" applyFont="1" applyAlignment="1">
      <alignment horizontal="left" wrapText="1"/>
    </xf>
    <xf numFmtId="1" fontId="97" fillId="0" borderId="0" xfId="0" applyNumberFormat="1" applyFont="1" applyAlignment="1">
      <alignment horizontal="center"/>
    </xf>
    <xf numFmtId="2" fontId="96" fillId="0" borderId="0" xfId="0" applyNumberFormat="1" applyFont="1" applyAlignment="1">
      <alignment horizontal="left"/>
    </xf>
    <xf numFmtId="164" fontId="20" fillId="0" borderId="0" xfId="0" applyNumberFormat="1" applyFont="1" applyAlignment="1">
      <alignment horizontal="right"/>
    </xf>
    <xf numFmtId="2" fontId="23" fillId="0" borderId="0" xfId="0" applyNumberFormat="1" applyFont="1" applyAlignment="1">
      <alignment horizontal="center"/>
    </xf>
    <xf numFmtId="195" fontId="20" fillId="0" borderId="0" xfId="0" applyNumberFormat="1" applyFont="1" applyAlignment="1">
      <alignment horizontal="right"/>
    </xf>
    <xf numFmtId="2" fontId="20" fillId="0" borderId="0" xfId="0" quotePrefix="1" applyNumberFormat="1" applyFont="1" applyAlignment="1">
      <alignment horizontal="center"/>
    </xf>
    <xf numFmtId="165" fontId="20" fillId="0" borderId="0" xfId="2" applyNumberFormat="1" applyFont="1" applyFill="1" applyAlignment="1" applyProtection="1">
      <alignment horizontal="left"/>
    </xf>
    <xf numFmtId="165" fontId="20" fillId="0" borderId="0" xfId="2" applyNumberFormat="1" applyFont="1" applyFill="1"/>
    <xf numFmtId="164" fontId="20" fillId="0" borderId="0" xfId="0" applyNumberFormat="1" applyFont="1" applyAlignment="1">
      <alignment horizontal="center"/>
    </xf>
    <xf numFmtId="2" fontId="97" fillId="0" borderId="0" xfId="0" applyNumberFormat="1" applyFont="1" applyAlignment="1">
      <alignment horizontal="right"/>
    </xf>
    <xf numFmtId="0" fontId="96" fillId="0" borderId="0" xfId="0" applyFont="1"/>
    <xf numFmtId="194" fontId="20" fillId="0" borderId="0" xfId="0" applyNumberFormat="1" applyFont="1" applyAlignment="1">
      <alignment horizontal="center"/>
    </xf>
    <xf numFmtId="0" fontId="97" fillId="91" borderId="0" xfId="0" applyFont="1" applyFill="1"/>
    <xf numFmtId="0" fontId="97" fillId="92" borderId="0" xfId="0" applyFont="1" applyFill="1"/>
    <xf numFmtId="0" fontId="98" fillId="0" borderId="0" xfId="0" applyFont="1" applyAlignment="1">
      <alignment horizontal="center"/>
    </xf>
    <xf numFmtId="0" fontId="0" fillId="0" borderId="0" xfId="0" applyAlignment="1">
      <alignment horizontal="right"/>
    </xf>
    <xf numFmtId="42" fontId="0" fillId="0" borderId="0" xfId="0" applyNumberFormat="1"/>
    <xf numFmtId="0" fontId="98" fillId="0" borderId="0" xfId="0" quotePrefix="1" applyFont="1" applyAlignment="1">
      <alignment horizontal="center"/>
    </xf>
    <xf numFmtId="0" fontId="97" fillId="0" borderId="0" xfId="0" quotePrefix="1" applyFont="1" applyAlignment="1">
      <alignment horizontal="center"/>
    </xf>
    <xf numFmtId="0" fontId="97" fillId="0" borderId="0" xfId="0" quotePrefix="1" applyFont="1"/>
    <xf numFmtId="0" fontId="97" fillId="0" borderId="8" xfId="0" applyFont="1" applyBorder="1" applyAlignment="1">
      <alignment horizontal="center" vertical="center" wrapText="1"/>
    </xf>
    <xf numFmtId="0" fontId="20" fillId="91" borderId="0" xfId="0" applyFont="1" applyFill="1" applyAlignment="1">
      <alignment horizontal="center"/>
    </xf>
    <xf numFmtId="195" fontId="20" fillId="91" borderId="0" xfId="1" applyNumberFormat="1" applyFont="1" applyFill="1" applyAlignment="1">
      <alignment horizontal="center"/>
    </xf>
    <xf numFmtId="196" fontId="20" fillId="91" borderId="0" xfId="1" applyNumberFormat="1" applyFont="1" applyFill="1" applyAlignment="1">
      <alignment horizontal="center"/>
    </xf>
    <xf numFmtId="166" fontId="0" fillId="91" borderId="0" xfId="4" applyNumberFormat="1" applyFont="1" applyFill="1"/>
    <xf numFmtId="0" fontId="97" fillId="0" borderId="0" xfId="0" applyFont="1" applyAlignment="1">
      <alignment horizontal="right"/>
    </xf>
    <xf numFmtId="0" fontId="97" fillId="0" borderId="0" xfId="0" applyFont="1" applyAlignment="1">
      <alignment horizontal="center"/>
    </xf>
    <xf numFmtId="0" fontId="99" fillId="0" borderId="0" xfId="0" applyFont="1" applyAlignment="1">
      <alignment horizontal="left"/>
    </xf>
    <xf numFmtId="10" fontId="20" fillId="91" borderId="0" xfId="1" applyNumberFormat="1" applyFont="1" applyFill="1" applyAlignment="1">
      <alignment horizontal="left" indent="1"/>
    </xf>
    <xf numFmtId="14" fontId="0" fillId="91" borderId="0" xfId="0" applyNumberFormat="1" applyFill="1"/>
    <xf numFmtId="164" fontId="0" fillId="91" borderId="0" xfId="0" applyNumberFormat="1" applyFill="1"/>
    <xf numFmtId="164" fontId="23" fillId="91" borderId="0" xfId="0" applyNumberFormat="1" applyFont="1" applyFill="1"/>
    <xf numFmtId="0" fontId="20" fillId="91" borderId="0" xfId="0" applyFont="1" applyFill="1" applyAlignment="1">
      <alignment horizontal="left" indent="1"/>
    </xf>
    <xf numFmtId="0" fontId="20" fillId="91" borderId="0" xfId="0" quotePrefix="1" applyFont="1" applyFill="1" applyAlignment="1">
      <alignment horizontal="left"/>
    </xf>
    <xf numFmtId="0" fontId="20" fillId="91" borderId="0" xfId="0" quotePrefix="1" applyFont="1" applyFill="1" applyAlignment="1">
      <alignment horizontal="center"/>
    </xf>
    <xf numFmtId="0" fontId="20" fillId="0" borderId="0" xfId="0" quotePrefix="1" applyFont="1" applyAlignment="1">
      <alignment horizontal="center"/>
    </xf>
    <xf numFmtId="0" fontId="0" fillId="0" borderId="0" xfId="48" applyFont="1"/>
    <xf numFmtId="0" fontId="97" fillId="0" borderId="0" xfId="0" applyFont="1"/>
    <xf numFmtId="0" fontId="2" fillId="0" borderId="0" xfId="0" applyFont="1" applyAlignment="1">
      <alignment vertical="center"/>
    </xf>
    <xf numFmtId="0" fontId="20" fillId="92" borderId="0" xfId="0" applyFont="1" applyFill="1"/>
    <xf numFmtId="0" fontId="20" fillId="92" borderId="0" xfId="0" applyFont="1" applyFill="1" applyAlignment="1">
      <alignment horizontal="center"/>
    </xf>
    <xf numFmtId="0" fontId="20" fillId="0" borderId="0" xfId="0" quotePrefix="1" applyFont="1" applyAlignment="1">
      <alignment horizontal="center" wrapText="1"/>
    </xf>
    <xf numFmtId="166" fontId="20" fillId="0" borderId="0" xfId="8" applyNumberFormat="1" applyFont="1" applyFill="1" applyBorder="1" applyAlignment="1">
      <alignment horizontal="left"/>
    </xf>
    <xf numFmtId="42" fontId="20" fillId="0" borderId="0" xfId="0" applyNumberFormat="1" applyFont="1"/>
    <xf numFmtId="0" fontId="20" fillId="0" borderId="0" xfId="0" applyFont="1" applyAlignment="1">
      <alignment horizontal="center" wrapText="1"/>
    </xf>
    <xf numFmtId="17" fontId="20" fillId="0" borderId="0" xfId="6" quotePrefix="1" applyNumberFormat="1" applyFont="1" applyAlignment="1">
      <alignment horizontal="left"/>
    </xf>
    <xf numFmtId="0" fontId="2" fillId="0" borderId="0" xfId="0" quotePrefix="1" applyFont="1" applyAlignment="1">
      <alignment horizontal="center"/>
    </xf>
    <xf numFmtId="0" fontId="20" fillId="0" borderId="0" xfId="47" applyFont="1" applyAlignment="1">
      <alignment horizontal="center" wrapText="1"/>
    </xf>
    <xf numFmtId="0" fontId="0" fillId="0" borderId="0" xfId="0" applyAlignment="1">
      <alignment horizontal="center" vertical="center" wrapText="1"/>
    </xf>
    <xf numFmtId="0" fontId="0" fillId="0" borderId="0" xfId="0" applyAlignment="1">
      <alignment horizontal="center" wrapText="1"/>
    </xf>
    <xf numFmtId="0" fontId="20" fillId="0" borderId="0" xfId="6" quotePrefix="1" applyFont="1" applyAlignment="1">
      <alignment horizontal="center"/>
    </xf>
    <xf numFmtId="1" fontId="20" fillId="0" borderId="0" xfId="6" quotePrefix="1" applyNumberFormat="1" applyFont="1" applyAlignment="1">
      <alignment horizontal="center"/>
    </xf>
    <xf numFmtId="165" fontId="0" fillId="0" borderId="0" xfId="0" applyNumberFormat="1"/>
    <xf numFmtId="166" fontId="0" fillId="0" borderId="0" xfId="0" applyNumberFormat="1"/>
    <xf numFmtId="17" fontId="20" fillId="0" borderId="32" xfId="6" quotePrefix="1" applyNumberFormat="1" applyFont="1" applyBorder="1" applyAlignment="1">
      <alignment horizontal="left"/>
    </xf>
    <xf numFmtId="1" fontId="20" fillId="0" borderId="32" xfId="6" quotePrefix="1" applyNumberFormat="1" applyFont="1" applyBorder="1" applyAlignment="1">
      <alignment horizontal="center"/>
    </xf>
    <xf numFmtId="0" fontId="20" fillId="0" borderId="0" xfId="6" quotePrefix="1" applyFont="1" applyAlignment="1">
      <alignment horizontal="left"/>
    </xf>
    <xf numFmtId="0" fontId="0" fillId="0" borderId="0" xfId="0" applyAlignment="1">
      <alignment horizontal="center" vertical="center"/>
    </xf>
    <xf numFmtId="0" fontId="98" fillId="0" borderId="0" xfId="0" quotePrefix="1" applyFont="1" applyAlignment="1">
      <alignment horizontal="center" wrapText="1"/>
    </xf>
    <xf numFmtId="164" fontId="20" fillId="0" borderId="0" xfId="0" applyNumberFormat="1" applyFont="1"/>
    <xf numFmtId="164" fontId="3" fillId="0" borderId="0" xfId="0" applyNumberFormat="1" applyFont="1"/>
    <xf numFmtId="0" fontId="20" fillId="0" borderId="0" xfId="0" quotePrefix="1" applyFont="1" applyAlignment="1">
      <alignment horizontal="center" vertical="center"/>
    </xf>
    <xf numFmtId="0" fontId="2" fillId="0" borderId="0" xfId="0" applyFont="1" applyAlignment="1">
      <alignment horizontal="center" wrapText="1"/>
    </xf>
    <xf numFmtId="0" fontId="4" fillId="0" borderId="0" xfId="0" applyFont="1" applyAlignment="1">
      <alignment horizontal="center" wrapText="1"/>
    </xf>
    <xf numFmtId="0" fontId="97" fillId="0" borderId="0" xfId="6" quotePrefix="1" applyFont="1" applyAlignment="1">
      <alignment horizontal="left"/>
    </xf>
    <xf numFmtId="0" fontId="20" fillId="0" borderId="0" xfId="47" applyFont="1" applyAlignment="1">
      <alignment horizontal="center"/>
    </xf>
    <xf numFmtId="0" fontId="97" fillId="92" borderId="0" xfId="47" applyFont="1" applyFill="1" applyAlignment="1">
      <alignment horizontal="left"/>
    </xf>
    <xf numFmtId="0" fontId="20" fillId="92" borderId="0" xfId="47" applyFont="1" applyFill="1"/>
    <xf numFmtId="0" fontId="20" fillId="92" borderId="0" xfId="47" applyFont="1" applyFill="1" applyAlignment="1">
      <alignment horizontal="center"/>
    </xf>
    <xf numFmtId="0" fontId="98" fillId="0" borderId="0" xfId="6" quotePrefix="1" applyFont="1" applyAlignment="1">
      <alignment horizontal="center"/>
    </xf>
    <xf numFmtId="0" fontId="20" fillId="0" borderId="0" xfId="6" quotePrefix="1" applyFont="1" applyAlignment="1">
      <alignment horizontal="center" wrapText="1"/>
    </xf>
    <xf numFmtId="0" fontId="20" fillId="0" borderId="0" xfId="6" applyFont="1"/>
    <xf numFmtId="0" fontId="97" fillId="0" borderId="0" xfId="6" applyFont="1"/>
    <xf numFmtId="0" fontId="98" fillId="0" borderId="0" xfId="6" applyFont="1"/>
    <xf numFmtId="0" fontId="97" fillId="92" borderId="0" xfId="6" applyFont="1" applyFill="1"/>
    <xf numFmtId="0" fontId="20" fillId="92" borderId="0" xfId="6" applyFont="1" applyFill="1"/>
    <xf numFmtId="0" fontId="20" fillId="0" borderId="0" xfId="6" applyFont="1" applyAlignment="1">
      <alignment horizontal="left"/>
    </xf>
    <xf numFmtId="0" fontId="98" fillId="0" borderId="0" xfId="6" applyFont="1" applyAlignment="1">
      <alignment horizontal="center"/>
    </xf>
    <xf numFmtId="164" fontId="20" fillId="0" borderId="0" xfId="6" applyNumberFormat="1" applyFont="1"/>
    <xf numFmtId="0" fontId="20" fillId="0" borderId="0" xfId="6" applyFont="1" applyAlignment="1">
      <alignment horizontal="center"/>
    </xf>
    <xf numFmtId="0" fontId="20" fillId="0" borderId="32" xfId="6" applyFont="1" applyBorder="1"/>
    <xf numFmtId="0" fontId="20" fillId="0" borderId="32" xfId="6" applyFont="1" applyBorder="1" applyAlignment="1">
      <alignment horizontal="center"/>
    </xf>
    <xf numFmtId="10" fontId="0" fillId="92" borderId="0" xfId="1" applyNumberFormat="1" applyFont="1" applyFill="1"/>
    <xf numFmtId="0" fontId="20" fillId="0" borderId="0" xfId="6" quotePrefix="1" applyFont="1" applyAlignment="1">
      <alignment horizontal="center" vertical="center" wrapText="1"/>
    </xf>
    <xf numFmtId="0" fontId="20" fillId="0" borderId="32" xfId="6" applyFont="1" applyBorder="1" applyAlignment="1">
      <alignment horizontal="left"/>
    </xf>
    <xf numFmtId="0" fontId="20" fillId="0" borderId="0" xfId="6" applyFont="1" applyAlignment="1">
      <alignment horizontal="right" indent="1"/>
    </xf>
    <xf numFmtId="0" fontId="20" fillId="92" borderId="0" xfId="6" applyFont="1" applyFill="1" applyAlignment="1">
      <alignment horizontal="right" indent="1"/>
    </xf>
    <xf numFmtId="10" fontId="20" fillId="0" borderId="0" xfId="6" applyNumberFormat="1" applyFont="1"/>
    <xf numFmtId="166" fontId="20" fillId="0" borderId="0" xfId="6" applyNumberFormat="1" applyFont="1"/>
    <xf numFmtId="166" fontId="0" fillId="0" borderId="0" xfId="8" applyNumberFormat="1" applyFont="1"/>
    <xf numFmtId="0" fontId="20" fillId="0" borderId="0" xfId="6" applyFont="1" applyAlignment="1">
      <alignment horizontal="right"/>
    </xf>
    <xf numFmtId="166" fontId="20" fillId="0" borderId="0" xfId="8" applyNumberFormat="1" applyFont="1" applyFill="1" applyBorder="1" applyAlignment="1">
      <alignment horizontal="center" vertical="center" wrapText="1"/>
    </xf>
    <xf numFmtId="5" fontId="20" fillId="0" borderId="0" xfId="8" applyNumberFormat="1" applyFont="1"/>
    <xf numFmtId="5" fontId="20" fillId="0" borderId="0" xfId="8" applyNumberFormat="1" applyFont="1" applyFill="1"/>
    <xf numFmtId="5" fontId="97" fillId="0" borderId="0" xfId="8" applyNumberFormat="1" applyFont="1" applyFill="1"/>
    <xf numFmtId="10" fontId="97" fillId="0" borderId="0" xfId="1" applyNumberFormat="1" applyFont="1" applyFill="1"/>
    <xf numFmtId="0" fontId="97" fillId="0" borderId="0" xfId="0" applyFont="1" applyAlignment="1">
      <alignment horizontal="left"/>
    </xf>
    <xf numFmtId="165" fontId="0" fillId="0" borderId="32" xfId="9" applyNumberFormat="1" applyFont="1" applyFill="1" applyBorder="1"/>
    <xf numFmtId="166" fontId="0" fillId="0" borderId="0" xfId="9" applyNumberFormat="1" applyFont="1" applyFill="1" applyBorder="1"/>
    <xf numFmtId="166" fontId="0" fillId="0" borderId="0" xfId="9" applyNumberFormat="1" applyFont="1" applyFill="1"/>
    <xf numFmtId="17" fontId="97" fillId="92" borderId="0" xfId="6" quotePrefix="1" applyNumberFormat="1" applyFont="1" applyFill="1" applyAlignment="1">
      <alignment horizontal="left"/>
    </xf>
    <xf numFmtId="0" fontId="98" fillId="0" borderId="0" xfId="0" applyFont="1"/>
    <xf numFmtId="164" fontId="20" fillId="0" borderId="0" xfId="0" quotePrefix="1" applyNumberFormat="1" applyFont="1" applyAlignment="1">
      <alignment horizontal="right"/>
    </xf>
    <xf numFmtId="42" fontId="20" fillId="0" borderId="0" xfId="0" quotePrefix="1" applyNumberFormat="1" applyFont="1" applyAlignment="1">
      <alignment horizontal="center"/>
    </xf>
    <xf numFmtId="5" fontId="20" fillId="0" borderId="0" xfId="0" quotePrefix="1" applyNumberFormat="1" applyFont="1" applyAlignment="1">
      <alignment horizontal="center"/>
    </xf>
    <xf numFmtId="5" fontId="96" fillId="0" borderId="0" xfId="0" quotePrefix="1" applyNumberFormat="1" applyFont="1" applyAlignment="1">
      <alignment horizontal="center"/>
    </xf>
    <xf numFmtId="164" fontId="20" fillId="0" borderId="0" xfId="0" quotePrefix="1" applyNumberFormat="1" applyFont="1" applyAlignment="1">
      <alignment horizontal="center"/>
    </xf>
    <xf numFmtId="164" fontId="96" fillId="0" borderId="0" xfId="0" quotePrefix="1" applyNumberFormat="1" applyFont="1" applyAlignment="1">
      <alignment horizontal="center"/>
    </xf>
    <xf numFmtId="168" fontId="20" fillId="0" borderId="0" xfId="0" quotePrefix="1" applyNumberFormat="1" applyFont="1" applyAlignment="1">
      <alignment horizontal="right"/>
    </xf>
    <xf numFmtId="10" fontId="20" fillId="0" borderId="0" xfId="0" applyNumberFormat="1" applyFont="1"/>
    <xf numFmtId="164" fontId="96" fillId="0" borderId="0" xfId="0" applyNumberFormat="1" applyFont="1"/>
    <xf numFmtId="0" fontId="100" fillId="0" borderId="0" xfId="0" applyFont="1" applyAlignment="1">
      <alignment horizontal="left" vertical="center"/>
    </xf>
    <xf numFmtId="0" fontId="20" fillId="0" borderId="0" xfId="0" quotePrefix="1" applyFont="1" applyAlignment="1">
      <alignment horizontal="left"/>
    </xf>
    <xf numFmtId="0" fontId="0" fillId="92" borderId="0" xfId="0" applyFill="1" applyAlignment="1">
      <alignment horizontal="center"/>
    </xf>
    <xf numFmtId="0" fontId="2" fillId="92" borderId="0" xfId="0" quotePrefix="1" applyFont="1" applyFill="1" applyAlignment="1">
      <alignment horizontal="center"/>
    </xf>
    <xf numFmtId="166" fontId="20" fillId="0" borderId="0" xfId="0" applyNumberFormat="1" applyFont="1" applyAlignment="1">
      <alignment horizontal="center"/>
    </xf>
    <xf numFmtId="0" fontId="20" fillId="0" borderId="32" xfId="0" applyFont="1" applyBorder="1"/>
    <xf numFmtId="166" fontId="97" fillId="0" borderId="0" xfId="0" applyNumberFormat="1" applyFont="1"/>
    <xf numFmtId="0" fontId="0" fillId="0" borderId="0" xfId="0" applyAlignment="1">
      <alignment vertical="center"/>
    </xf>
    <xf numFmtId="0" fontId="20" fillId="0" borderId="0" xfId="0" applyFont="1" applyAlignment="1">
      <alignment vertical="center"/>
    </xf>
    <xf numFmtId="0" fontId="101" fillId="0" borderId="0" xfId="0" applyFont="1" applyAlignment="1">
      <alignment horizontal="center" wrapText="1"/>
    </xf>
    <xf numFmtId="37" fontId="122" fillId="0" borderId="0" xfId="49" applyNumberFormat="1" applyAlignment="1">
      <alignment horizontal="right"/>
    </xf>
    <xf numFmtId="164" fontId="2" fillId="0" borderId="0" xfId="0" applyNumberFormat="1" applyFont="1"/>
    <xf numFmtId="0" fontId="97" fillId="92" borderId="0" xfId="6" applyFont="1" applyFill="1" applyAlignment="1">
      <alignment horizontal="left"/>
    </xf>
    <xf numFmtId="10" fontId="20" fillId="0" borderId="0" xfId="1" applyNumberFormat="1" applyFont="1" applyFill="1" applyBorder="1"/>
    <xf numFmtId="166" fontId="20" fillId="0" borderId="0" xfId="8" applyNumberFormat="1" applyFont="1" applyFill="1" applyBorder="1"/>
    <xf numFmtId="166" fontId="0" fillId="0" borderId="0" xfId="8" applyNumberFormat="1" applyFont="1" applyFill="1" applyBorder="1" applyAlignment="1">
      <alignment horizontal="right"/>
    </xf>
    <xf numFmtId="166" fontId="0" fillId="0" borderId="0" xfId="8" applyNumberFormat="1" applyFont="1" applyFill="1" applyBorder="1"/>
    <xf numFmtId="0" fontId="20" fillId="0" borderId="32" xfId="0" applyFont="1" applyBorder="1" applyAlignment="1">
      <alignment horizontal="left"/>
    </xf>
    <xf numFmtId="0" fontId="0" fillId="0" borderId="32" xfId="0" applyBorder="1"/>
    <xf numFmtId="39" fontId="0" fillId="0" borderId="0" xfId="8" applyNumberFormat="1" applyFont="1" applyFill="1"/>
    <xf numFmtId="39" fontId="0" fillId="0" borderId="0" xfId="0" applyNumberFormat="1"/>
    <xf numFmtId="166" fontId="2" fillId="0" borderId="0" xfId="8" applyNumberFormat="1" applyFont="1"/>
    <xf numFmtId="166" fontId="2" fillId="0" borderId="0" xfId="8" applyNumberFormat="1" applyFont="1" applyFill="1"/>
    <xf numFmtId="10" fontId="2" fillId="0" borderId="0" xfId="1" applyNumberFormat="1" applyFont="1" applyFill="1"/>
    <xf numFmtId="39" fontId="0" fillId="0" borderId="0" xfId="8" applyNumberFormat="1" applyFont="1"/>
    <xf numFmtId="37" fontId="0" fillId="0" borderId="0" xfId="0" applyNumberFormat="1"/>
    <xf numFmtId="37" fontId="0" fillId="0" borderId="0" xfId="0" applyNumberFormat="1" applyAlignment="1">
      <alignment horizontal="center"/>
    </xf>
    <xf numFmtId="0" fontId="2" fillId="0" borderId="32"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166" fontId="20" fillId="0" borderId="0" xfId="11" applyNumberFormat="1" applyFont="1" applyAlignment="1">
      <alignment horizontal="center" vertical="center" wrapText="1"/>
    </xf>
    <xf numFmtId="3" fontId="20" fillId="0" borderId="0" xfId="11" applyNumberFormat="1" applyFont="1" applyAlignment="1">
      <alignment horizontal="center"/>
    </xf>
    <xf numFmtId="10" fontId="20" fillId="0" borderId="0" xfId="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2" xfId="11" applyFont="1" applyBorder="1" applyAlignment="1">
      <alignment horizontal="left"/>
    </xf>
    <xf numFmtId="1" fontId="20" fillId="0" borderId="32"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3" fontId="20" fillId="0" borderId="0" xfId="6" applyNumberFormat="1" applyFont="1" applyAlignment="1">
      <alignment horizontal="left" inden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1" fillId="0" borderId="0" xfId="4" applyNumberFormat="1" applyFont="1" applyFill="1"/>
    <xf numFmtId="166" fontId="5" fillId="0" borderId="0" xfId="4" applyNumberFormat="1" applyFont="1" applyFill="1" applyBorder="1" applyAlignment="1">
      <alignment horizontal="left" indent="1"/>
    </xf>
    <xf numFmtId="166" fontId="1" fillId="0" borderId="0" xfId="4" applyNumberFormat="1" applyFont="1"/>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198" fontId="0" fillId="0" borderId="0" xfId="0" applyNumberFormat="1"/>
    <xf numFmtId="0" fontId="20" fillId="9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102" fillId="0" borderId="0" xfId="6" applyFont="1" applyAlignment="1">
      <alignment horizontal="left"/>
    </xf>
    <xf numFmtId="0" fontId="97" fillId="0" borderId="0" xfId="6" applyFont="1" applyAlignment="1">
      <alignment horizontal="right"/>
    </xf>
    <xf numFmtId="0" fontId="102" fillId="92" borderId="0" xfId="6" applyFont="1" applyFill="1" applyAlignment="1">
      <alignment horizontal="left"/>
    </xf>
    <xf numFmtId="0" fontId="97" fillId="92" borderId="0" xfId="6" applyFont="1" applyFill="1" applyAlignment="1">
      <alignment horizontal="right"/>
    </xf>
    <xf numFmtId="0" fontId="0" fillId="0" borderId="0" xfId="0" quotePrefix="1" applyAlignment="1">
      <alignment horizontal="center"/>
    </xf>
    <xf numFmtId="0" fontId="97" fillId="0" borderId="32" xfId="6" applyFont="1" applyBorder="1" applyAlignment="1">
      <alignment horizontal="center"/>
    </xf>
    <xf numFmtId="194" fontId="20" fillId="91" borderId="0" xfId="6" applyNumberFormat="1" applyFont="1" applyFill="1" applyAlignment="1">
      <alignment horizontal="center"/>
    </xf>
    <xf numFmtId="0" fontId="0" fillId="91" borderId="0" xfId="47" applyFont="1" applyFill="1"/>
    <xf numFmtId="194"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164" fontId="20" fillId="0" borderId="33" xfId="9" applyNumberFormat="1" applyFont="1" applyBorder="1"/>
    <xf numFmtId="39" fontId="0" fillId="0" borderId="0" xfId="0" applyNumberFormat="1" applyAlignment="1">
      <alignment horizontal="left" indent="1"/>
    </xf>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92" borderId="0" xfId="9" applyNumberFormat="1" applyFont="1" applyFill="1" applyBorder="1" applyAlignment="1">
      <alignment horizontal="center"/>
    </xf>
    <xf numFmtId="39" fontId="20" fillId="92" borderId="0" xfId="9" applyNumberFormat="1" applyFont="1" applyFill="1" applyBorder="1"/>
    <xf numFmtId="194" fontId="20" fillId="91" borderId="0" xfId="47" quotePrefix="1" applyNumberFormat="1" applyFont="1" applyFill="1" applyAlignment="1">
      <alignment horizontal="center"/>
    </xf>
    <xf numFmtId="164" fontId="20" fillId="92" borderId="0" xfId="9" applyNumberFormat="1" applyFont="1" applyFill="1" applyBorder="1"/>
    <xf numFmtId="164" fontId="97" fillId="0" borderId="0" xfId="6" applyNumberFormat="1" applyFont="1" applyAlignment="1">
      <alignment horizontal="center"/>
    </xf>
    <xf numFmtId="164" fontId="97" fillId="0" borderId="32" xfId="6" applyNumberFormat="1" applyFont="1" applyBorder="1" applyAlignment="1">
      <alignment horizontal="center"/>
    </xf>
    <xf numFmtId="164" fontId="20" fillId="0" borderId="32" xfId="9" applyNumberFormat="1" applyFont="1" applyBorder="1"/>
    <xf numFmtId="164" fontId="20" fillId="0" borderId="33" xfId="9" applyNumberFormat="1" applyFont="1" applyFill="1" applyBorder="1"/>
    <xf numFmtId="164" fontId="20" fillId="92" borderId="0" xfId="9" applyNumberFormat="1" applyFont="1" applyFill="1" applyBorder="1" applyAlignment="1">
      <alignment horizontal="left" indent="1"/>
    </xf>
    <xf numFmtId="0" fontId="20" fillId="9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99" fontId="20" fillId="0" borderId="0" xfId="9" applyNumberFormat="1" applyFont="1" applyBorder="1" applyAlignment="1">
      <alignment horizontal="left" indent="1"/>
    </xf>
    <xf numFmtId="3" fontId="20" fillId="91" borderId="0" xfId="9" applyNumberFormat="1" applyFont="1" applyFill="1" applyBorder="1"/>
    <xf numFmtId="10" fontId="20" fillId="0" borderId="0" xfId="9" applyNumberFormat="1" applyFont="1" applyBorder="1"/>
    <xf numFmtId="164" fontId="0" fillId="0" borderId="0" xfId="0" applyNumberFormat="1" applyAlignment="1">
      <alignment horizontal="right"/>
    </xf>
    <xf numFmtId="199" fontId="20" fillId="0" borderId="0" xfId="0" quotePrefix="1" applyNumberFormat="1" applyFont="1" applyAlignment="1">
      <alignment horizontal="center"/>
    </xf>
    <xf numFmtId="0" fontId="0" fillId="91" borderId="0" xfId="0" applyFill="1" applyAlignment="1">
      <alignment wrapText="1"/>
    </xf>
    <xf numFmtId="0" fontId="20" fillId="0" borderId="0" xfId="0" applyFont="1" applyAlignment="1">
      <alignment horizontal="right" indent="1"/>
    </xf>
    <xf numFmtId="14" fontId="0" fillId="0" borderId="0" xfId="0" applyNumberFormat="1"/>
    <xf numFmtId="44" fontId="0" fillId="92" borderId="0" xfId="0" applyNumberFormat="1" applyFill="1"/>
    <xf numFmtId="164" fontId="4" fillId="0" borderId="0" xfId="0" applyNumberFormat="1" applyFont="1" applyAlignment="1">
      <alignment horizontal="center"/>
    </xf>
    <xf numFmtId="0" fontId="20" fillId="0" borderId="0" xfId="7" applyFont="1"/>
    <xf numFmtId="0" fontId="97" fillId="0" borderId="0" xfId="7" applyFont="1" applyAlignment="1">
      <alignment horizontal="center"/>
    </xf>
    <xf numFmtId="0" fontId="20" fillId="91" borderId="0" xfId="7" applyFont="1" applyFill="1"/>
    <xf numFmtId="164" fontId="96" fillId="91" borderId="0" xfId="7" applyNumberFormat="1" applyFont="1" applyFill="1"/>
    <xf numFmtId="164" fontId="20" fillId="91" borderId="0" xfId="7" applyNumberFormat="1" applyFont="1" applyFill="1"/>
    <xf numFmtId="0" fontId="20" fillId="9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164" fontId="97" fillId="0" borderId="34" xfId="7" applyNumberFormat="1" applyFont="1" applyBorder="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0" fillId="0" borderId="0" xfId="0" applyNumberFormat="1"/>
    <xf numFmtId="6" fontId="23" fillId="0" borderId="0" xfId="0" applyNumberFormat="1" applyFont="1"/>
    <xf numFmtId="10" fontId="0" fillId="0" borderId="0" xfId="1" applyNumberFormat="1" applyFont="1" applyAlignment="1">
      <alignment vertical="center"/>
    </xf>
    <xf numFmtId="0" fontId="2" fillId="0" borderId="8" xfId="0" applyFont="1" applyBorder="1" applyAlignment="1">
      <alignment horizontal="center"/>
    </xf>
    <xf numFmtId="0" fontId="0" fillId="0" borderId="0" xfId="0" quotePrefix="1"/>
    <xf numFmtId="0" fontId="2" fillId="0" borderId="0" xfId="47" applyFont="1" applyAlignment="1">
      <alignment horizontal="center"/>
    </xf>
    <xf numFmtId="0" fontId="20" fillId="0" borderId="35" xfId="47" applyFont="1" applyBorder="1"/>
    <xf numFmtId="0" fontId="20" fillId="0" borderId="36" xfId="47" applyFont="1" applyBorder="1"/>
    <xf numFmtId="0" fontId="20" fillId="0" borderId="6" xfId="47" applyFont="1" applyBorder="1"/>
    <xf numFmtId="0" fontId="97" fillId="0" borderId="6" xfId="47" applyFont="1" applyBorder="1"/>
    <xf numFmtId="0" fontId="97" fillId="0" borderId="36" xfId="47" applyFont="1" applyBorder="1"/>
    <xf numFmtId="0" fontId="20" fillId="0" borderId="6" xfId="47" applyFont="1" applyBorder="1" applyAlignment="1">
      <alignment horizontal="right"/>
    </xf>
    <xf numFmtId="0" fontId="98" fillId="0" borderId="0" xfId="47" applyFont="1" applyAlignment="1">
      <alignment horizontal="right"/>
    </xf>
    <xf numFmtId="0" fontId="98" fillId="0" borderId="37" xfId="47" applyFont="1" applyBorder="1" applyAlignment="1">
      <alignment horizontal="center"/>
    </xf>
    <xf numFmtId="0" fontId="98" fillId="0" borderId="33" xfId="47" applyFont="1" applyBorder="1" applyAlignment="1">
      <alignment horizontal="center"/>
    </xf>
    <xf numFmtId="0" fontId="20" fillId="0" borderId="33" xfId="47" applyFont="1" applyBorder="1"/>
    <xf numFmtId="164" fontId="20" fillId="0" borderId="0" xfId="47" applyNumberFormat="1" applyFont="1" applyAlignment="1">
      <alignment horizontal="right"/>
    </xf>
    <xf numFmtId="0" fontId="97" fillId="0" borderId="0" xfId="47" applyFont="1" applyAlignment="1">
      <alignment horizontal="right"/>
    </xf>
    <xf numFmtId="0" fontId="0" fillId="91" borderId="0" xfId="0" quotePrefix="1" applyFill="1" applyAlignment="1">
      <alignment horizontal="center"/>
    </xf>
    <xf numFmtId="5" fontId="0" fillId="91" borderId="0" xfId="0" applyNumberFormat="1" applyFill="1"/>
    <xf numFmtId="5" fontId="2" fillId="0" borderId="0" xfId="0" applyNumberFormat="1" applyFont="1"/>
    <xf numFmtId="0" fontId="4" fillId="92" borderId="0" xfId="0" applyFont="1" applyFill="1" applyAlignment="1">
      <alignment horizontal="center"/>
    </xf>
    <xf numFmtId="0" fontId="4" fillId="92" borderId="0" xfId="0" applyFont="1" applyFill="1"/>
    <xf numFmtId="6" fontId="0" fillId="91" borderId="0" xfId="4" applyNumberFormat="1" applyFont="1" applyFill="1" applyBorder="1"/>
    <xf numFmtId="0" fontId="4" fillId="0" borderId="0" xfId="0" applyFont="1" applyAlignment="1">
      <alignment horizontal="left"/>
    </xf>
    <xf numFmtId="0" fontId="4" fillId="92" borderId="0" xfId="0" applyFont="1" applyFill="1" applyAlignment="1">
      <alignment horizontal="left"/>
    </xf>
    <xf numFmtId="10" fontId="20" fillId="0" borderId="0" xfId="9" applyNumberFormat="1" applyFont="1" applyFill="1" applyBorder="1"/>
    <xf numFmtId="164" fontId="20" fillId="0" borderId="0" xfId="9" applyNumberFormat="1" applyFont="1" applyFill="1" applyBorder="1" applyAlignment="1">
      <alignment horizontal="left" indent="1"/>
    </xf>
    <xf numFmtId="0" fontId="97" fillId="0" borderId="0" xfId="0" applyFont="1" applyAlignment="1">
      <alignment horizontal="right" indent="1"/>
    </xf>
    <xf numFmtId="164" fontId="97" fillId="0" borderId="0" xfId="9" applyNumberFormat="1" applyFont="1" applyFill="1" applyBorder="1" applyAlignment="1">
      <alignment horizontal="center" wrapText="1"/>
    </xf>
    <xf numFmtId="164" fontId="97" fillId="0" borderId="0" xfId="9" applyNumberFormat="1" applyFont="1" applyFill="1" applyBorder="1" applyAlignment="1">
      <alignment horizontal="center"/>
    </xf>
    <xf numFmtId="164" fontId="0" fillId="92" borderId="0" xfId="0" applyNumberFormat="1" applyFill="1" applyAlignment="1">
      <alignment horizontal="right"/>
    </xf>
    <xf numFmtId="10" fontId="20" fillId="92" borderId="0" xfId="9" applyNumberFormat="1" applyFont="1" applyFill="1" applyBorder="1"/>
    <xf numFmtId="5" fontId="2" fillId="0" borderId="34" xfId="0" applyNumberFormat="1" applyFont="1" applyBorder="1"/>
    <xf numFmtId="5" fontId="2" fillId="0" borderId="15" xfId="0" applyNumberFormat="1" applyFont="1" applyBorder="1"/>
    <xf numFmtId="10" fontId="2" fillId="0" borderId="0" xfId="1" applyNumberFormat="1" applyFont="1"/>
    <xf numFmtId="10" fontId="2" fillId="92" borderId="0" xfId="1" applyNumberFormat="1" applyFont="1" applyFill="1"/>
    <xf numFmtId="3" fontId="0" fillId="0" borderId="0" xfId="0" applyNumberFormat="1"/>
    <xf numFmtId="10" fontId="2" fillId="0" borderId="0" xfId="0" applyNumberFormat="1" applyFont="1"/>
    <xf numFmtId="0" fontId="0" fillId="91" borderId="0" xfId="0" quotePrefix="1" applyFill="1"/>
    <xf numFmtId="167" fontId="0" fillId="0" borderId="0" xfId="1" applyNumberFormat="1" applyFont="1" applyFill="1"/>
    <xf numFmtId="167" fontId="0" fillId="91" borderId="0" xfId="1" applyNumberFormat="1" applyFont="1" applyFill="1"/>
    <xf numFmtId="5" fontId="0" fillId="91" borderId="0" xfId="4" applyNumberFormat="1" applyFont="1" applyFill="1" applyAlignment="1">
      <alignment wrapText="1"/>
    </xf>
    <xf numFmtId="0" fontId="3" fillId="0" borderId="0" xfId="0" applyFont="1" applyAlignment="1">
      <alignment horizontal="center"/>
    </xf>
    <xf numFmtId="166" fontId="0" fillId="0" borderId="0" xfId="4" applyNumberFormat="1" applyFont="1" applyFill="1" applyBorder="1"/>
    <xf numFmtId="166" fontId="0" fillId="91" borderId="32" xfId="4" applyNumberFormat="1" applyFont="1" applyFill="1" applyBorder="1"/>
    <xf numFmtId="201" fontId="0" fillId="91" borderId="0" xfId="4" applyNumberFormat="1" applyFont="1" applyFill="1"/>
    <xf numFmtId="3" fontId="20" fillId="0" borderId="0" xfId="0" applyNumberFormat="1" applyFont="1"/>
    <xf numFmtId="0" fontId="105" fillId="0" borderId="0" xfId="0" applyFont="1"/>
    <xf numFmtId="0" fontId="106" fillId="0" borderId="0" xfId="0" applyFont="1"/>
    <xf numFmtId="3" fontId="20" fillId="91" borderId="32" xfId="0" applyNumberFormat="1" applyFont="1" applyFill="1" applyBorder="1"/>
    <xf numFmtId="0" fontId="20" fillId="0" borderId="0" xfId="0" applyFont="1" applyAlignment="1">
      <alignment horizontal="centerContinuous"/>
    </xf>
    <xf numFmtId="3" fontId="20" fillId="0" borderId="0" xfId="0" applyNumberFormat="1" applyFont="1" applyAlignment="1">
      <alignment horizontal="center"/>
    </xf>
    <xf numFmtId="0" fontId="97" fillId="0" borderId="0" xfId="0" quotePrefix="1" applyFont="1" applyAlignment="1">
      <alignment horizontal="right"/>
    </xf>
    <xf numFmtId="0" fontId="20" fillId="0" borderId="0" xfId="0" applyFont="1" applyAlignment="1">
      <alignment horizontal="right"/>
    </xf>
    <xf numFmtId="0" fontId="97" fillId="0" borderId="0" xfId="0" applyFont="1" applyAlignment="1">
      <alignment horizontal="centerContinuous"/>
    </xf>
    <xf numFmtId="3" fontId="96" fillId="0" borderId="0" xfId="0" applyNumberFormat="1" applyFont="1"/>
    <xf numFmtId="166" fontId="0" fillId="0" borderId="0" xfId="8160" applyNumberFormat="1" applyFont="1"/>
    <xf numFmtId="0" fontId="102" fillId="0" borderId="0" xfId="0" applyFont="1" applyAlignment="1">
      <alignment horizontal="center"/>
    </xf>
    <xf numFmtId="0" fontId="97" fillId="0" borderId="38" xfId="0" applyFont="1" applyBorder="1"/>
    <xf numFmtId="166" fontId="20" fillId="91" borderId="0" xfId="8160" applyNumberFormat="1" applyFont="1" applyFill="1" applyBorder="1"/>
    <xf numFmtId="166" fontId="20" fillId="0" borderId="0" xfId="8160" applyNumberFormat="1" applyFont="1" applyFill="1" applyBorder="1"/>
    <xf numFmtId="166" fontId="20" fillId="91" borderId="0" xfId="8160" applyNumberFormat="1" applyFont="1" applyFill="1" applyBorder="1" applyAlignment="1">
      <alignment horizontal="center"/>
    </xf>
    <xf numFmtId="166" fontId="20" fillId="0" borderId="0" xfId="8160" applyNumberFormat="1" applyFont="1" applyFill="1" applyAlignment="1">
      <alignment horizontal="center"/>
    </xf>
    <xf numFmtId="166" fontId="20" fillId="0" borderId="0" xfId="8160" applyNumberFormat="1" applyFont="1" applyFill="1" applyBorder="1" applyAlignment="1">
      <alignment horizontal="center"/>
    </xf>
    <xf numFmtId="37" fontId="20" fillId="91" borderId="0" xfId="8160" applyNumberFormat="1" applyFont="1" applyFill="1" applyBorder="1"/>
    <xf numFmtId="37" fontId="20" fillId="0" borderId="0" xfId="8160" applyNumberFormat="1" applyFont="1" applyFill="1" applyBorder="1"/>
    <xf numFmtId="166" fontId="20" fillId="91" borderId="0" xfId="8160" applyNumberFormat="1" applyFont="1" applyFill="1" applyBorder="1" applyAlignment="1">
      <alignment horizontal="right"/>
    </xf>
    <xf numFmtId="166" fontId="20" fillId="0" borderId="0" xfId="8160" applyNumberFormat="1" applyFont="1" applyFill="1" applyBorder="1" applyAlignment="1">
      <alignment horizontal="right"/>
    </xf>
    <xf numFmtId="167" fontId="20" fillId="0" borderId="0" xfId="0" applyNumberFormat="1" applyFont="1"/>
    <xf numFmtId="203" fontId="20" fillId="0" borderId="0" xfId="0" applyNumberFormat="1" applyFont="1" applyAlignment="1">
      <alignment horizontal="center"/>
    </xf>
    <xf numFmtId="167" fontId="20" fillId="0" borderId="0" xfId="0" applyNumberFormat="1" applyFont="1" applyAlignment="1">
      <alignment horizontal="center"/>
    </xf>
    <xf numFmtId="0" fontId="20" fillId="0" borderId="0" xfId="0" applyFont="1" applyAlignment="1">
      <alignment horizontal="center" vertical="center"/>
    </xf>
    <xf numFmtId="3" fontId="20" fillId="0" borderId="0" xfId="0" applyNumberFormat="1" applyFont="1" applyAlignment="1">
      <alignment horizontal="centerContinuous"/>
    </xf>
    <xf numFmtId="3" fontId="97" fillId="0" borderId="0" xfId="0" applyNumberFormat="1" applyFont="1"/>
    <xf numFmtId="3" fontId="20" fillId="0" borderId="0" xfId="0" applyNumberFormat="1" applyFont="1" applyAlignment="1">
      <alignment horizontal="left"/>
    </xf>
    <xf numFmtId="10" fontId="20" fillId="0" borderId="0" xfId="1" applyNumberFormat="1" applyFont="1"/>
    <xf numFmtId="0" fontId="97" fillId="91" borderId="0" xfId="47" applyFont="1" applyFill="1"/>
    <xf numFmtId="10" fontId="0" fillId="0" borderId="32" xfId="1" applyNumberFormat="1" applyFont="1" applyFill="1" applyBorder="1"/>
    <xf numFmtId="17" fontId="0" fillId="0" borderId="0" xfId="0" applyNumberFormat="1"/>
    <xf numFmtId="37" fontId="97" fillId="0" borderId="0" xfId="0" applyNumberFormat="1" applyFont="1"/>
    <xf numFmtId="0" fontId="20" fillId="91" borderId="0" xfId="0" applyFont="1" applyFill="1"/>
    <xf numFmtId="0" fontId="20" fillId="0" borderId="33" xfId="0" applyFont="1" applyBorder="1"/>
    <xf numFmtId="0" fontId="20" fillId="0" borderId="0" xfId="6" quotePrefix="1" applyFont="1" applyAlignment="1">
      <alignment horizontal="center" vertical="center"/>
    </xf>
    <xf numFmtId="0" fontId="2" fillId="0" borderId="39" xfId="0" applyFont="1" applyBorder="1" applyAlignment="1">
      <alignment horizontal="center"/>
    </xf>
    <xf numFmtId="0" fontId="0" fillId="0" borderId="40" xfId="0" applyBorder="1"/>
    <xf numFmtId="0" fontId="0" fillId="0" borderId="41" xfId="0" applyBorder="1"/>
    <xf numFmtId="0" fontId="0" fillId="0" borderId="39" xfId="0" applyBorder="1"/>
    <xf numFmtId="0" fontId="97" fillId="0" borderId="8" xfId="0" applyFont="1" applyBorder="1" applyAlignment="1">
      <alignment horizontal="center" vertical="center"/>
    </xf>
    <xf numFmtId="164" fontId="97" fillId="0" borderId="8" xfId="0" applyNumberFormat="1" applyFont="1" applyBorder="1" applyAlignment="1">
      <alignment horizontal="center" vertical="center" wrapText="1"/>
    </xf>
    <xf numFmtId="169" fontId="97" fillId="0" borderId="8" xfId="0" applyNumberFormat="1" applyFont="1" applyBorder="1" applyAlignment="1">
      <alignment horizontal="center" vertical="center" wrapText="1"/>
    </xf>
    <xf numFmtId="5" fontId="20" fillId="0" borderId="0" xfId="0" applyNumberFormat="1" applyFont="1"/>
    <xf numFmtId="5" fontId="20" fillId="0" borderId="33" xfId="0" applyNumberFormat="1" applyFont="1" applyBorder="1"/>
    <xf numFmtId="5" fontId="20" fillId="91" borderId="0" xfId="6" applyNumberFormat="1" applyFont="1" applyFill="1"/>
    <xf numFmtId="5" fontId="0" fillId="91" borderId="0" xfId="47" applyNumberFormat="1" applyFont="1" applyFill="1"/>
    <xf numFmtId="5" fontId="20" fillId="0" borderId="0" xfId="9" applyNumberFormat="1" applyFont="1" applyFill="1" applyBorder="1"/>
    <xf numFmtId="5" fontId="20" fillId="0" borderId="0" xfId="9" applyNumberFormat="1" applyFont="1" applyBorder="1"/>
    <xf numFmtId="5" fontId="20" fillId="0" borderId="33" xfId="9" applyNumberFormat="1" applyFont="1" applyBorder="1"/>
    <xf numFmtId="5" fontId="20" fillId="91" borderId="0" xfId="9" applyNumberFormat="1" applyFont="1" applyFill="1" applyBorder="1"/>
    <xf numFmtId="5" fontId="0" fillId="91" borderId="0" xfId="9" applyNumberFormat="1" applyFont="1" applyFill="1" applyBorder="1"/>
    <xf numFmtId="7" fontId="20" fillId="0" borderId="0" xfId="1" applyNumberFormat="1" applyFont="1" applyBorder="1"/>
    <xf numFmtId="5" fontId="20" fillId="0" borderId="42" xfId="9" applyNumberFormat="1" applyFont="1" applyFill="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0" borderId="33" xfId="9" applyNumberFormat="1" applyFont="1" applyFill="1" applyBorder="1"/>
    <xf numFmtId="5" fontId="0" fillId="0" borderId="0" xfId="0" applyNumberFormat="1" applyAlignment="1">
      <alignment horizontal="right"/>
    </xf>
    <xf numFmtId="5" fontId="3" fillId="0" borderId="0" xfId="0" applyNumberFormat="1" applyFont="1"/>
    <xf numFmtId="5" fontId="20" fillId="91" borderId="0" xfId="0" applyNumberFormat="1" applyFont="1" applyFill="1"/>
    <xf numFmtId="192" fontId="0" fillId="0" borderId="0" xfId="0" applyNumberFormat="1"/>
    <xf numFmtId="5" fontId="0" fillId="0" borderId="0" xfId="0" applyNumberFormat="1" applyAlignment="1">
      <alignment vertical="center"/>
    </xf>
    <xf numFmtId="10" fontId="0" fillId="91" borderId="0" xfId="1" applyNumberFormat="1" applyFont="1" applyFill="1" applyAlignment="1">
      <alignment vertical="center"/>
    </xf>
    <xf numFmtId="43" fontId="20" fillId="0" borderId="0" xfId="47" applyNumberFormat="1" applyFont="1"/>
    <xf numFmtId="5" fontId="20" fillId="0" borderId="0" xfId="47" applyNumberFormat="1" applyFont="1"/>
    <xf numFmtId="5" fontId="97" fillId="0" borderId="0" xfId="47" applyNumberFormat="1" applyFont="1"/>
    <xf numFmtId="5" fontId="20" fillId="0" borderId="32" xfId="47" applyNumberFormat="1" applyFont="1" applyBorder="1"/>
    <xf numFmtId="5" fontId="97" fillId="0" borderId="0" xfId="47" applyNumberFormat="1" applyFont="1" applyAlignment="1">
      <alignment horizontal="right"/>
    </xf>
    <xf numFmtId="5" fontId="20" fillId="91" borderId="0" xfId="47" applyNumberFormat="1" applyFont="1" applyFill="1"/>
    <xf numFmtId="5" fontId="20" fillId="91" borderId="32" xfId="47" applyNumberFormat="1" applyFont="1" applyFill="1" applyBorder="1"/>
    <xf numFmtId="164" fontId="0" fillId="0" borderId="0" xfId="0" applyNumberFormat="1" applyAlignment="1">
      <alignment horizontal="left"/>
    </xf>
    <xf numFmtId="5" fontId="20" fillId="0" borderId="0" xfId="4" applyNumberFormat="1" applyFont="1" applyFill="1"/>
    <xf numFmtId="5" fontId="20" fillId="0" borderId="0" xfId="4" applyNumberFormat="1" applyFont="1"/>
    <xf numFmtId="5" fontId="20" fillId="0" borderId="32" xfId="4" applyNumberFormat="1" applyFont="1" applyBorder="1"/>
    <xf numFmtId="5" fontId="20" fillId="91" borderId="0" xfId="8160" applyNumberFormat="1" applyFont="1" applyFill="1" applyBorder="1" applyProtection="1">
      <protection locked="0"/>
    </xf>
    <xf numFmtId="5" fontId="20" fillId="91" borderId="32" xfId="8160" applyNumberFormat="1" applyFont="1" applyFill="1" applyBorder="1" applyProtection="1">
      <protection locked="0"/>
    </xf>
    <xf numFmtId="5" fontId="20" fillId="91" borderId="0" xfId="0" applyNumberFormat="1" applyFont="1" applyFill="1" applyProtection="1">
      <protection locked="0"/>
    </xf>
    <xf numFmtId="5" fontId="20" fillId="91" borderId="0" xfId="0" applyNumberFormat="1" applyFont="1" applyFill="1" applyAlignment="1">
      <alignment horizontal="center"/>
    </xf>
    <xf numFmtId="5" fontId="97" fillId="0" borderId="0" xfId="0" applyNumberFormat="1" applyFont="1"/>
    <xf numFmtId="5" fontId="20" fillId="91" borderId="0" xfId="8" applyNumberFormat="1" applyFont="1" applyFill="1"/>
    <xf numFmtId="5" fontId="20" fillId="91" borderId="0" xfId="8" applyNumberFormat="1" applyFont="1" applyFill="1" applyBorder="1"/>
    <xf numFmtId="5" fontId="20" fillId="0" borderId="0" xfId="8" applyNumberFormat="1" applyFont="1" applyFill="1" applyBorder="1"/>
    <xf numFmtId="5" fontId="20" fillId="0" borderId="32" xfId="8" applyNumberFormat="1" applyFont="1" applyFill="1" applyBorder="1"/>
    <xf numFmtId="5" fontId="0" fillId="91" borderId="0" xfId="8" applyNumberFormat="1" applyFont="1" applyFill="1"/>
    <xf numFmtId="5" fontId="20" fillId="91" borderId="32" xfId="8" applyNumberFormat="1" applyFont="1" applyFill="1" applyBorder="1"/>
    <xf numFmtId="5" fontId="0" fillId="0" borderId="32" xfId="8" applyNumberFormat="1" applyFont="1" applyFill="1" applyBorder="1"/>
    <xf numFmtId="5" fontId="0" fillId="0" borderId="0" xfId="8" applyNumberFormat="1" applyFont="1" applyFill="1"/>
    <xf numFmtId="5" fontId="0" fillId="91" borderId="32" xfId="8" applyNumberFormat="1" applyFont="1" applyFill="1" applyBorder="1"/>
    <xf numFmtId="5" fontId="20" fillId="0" borderId="0" xfId="0" applyNumberFormat="1" applyFont="1" applyAlignment="1">
      <alignment horizontal="right"/>
    </xf>
    <xf numFmtId="5" fontId="20" fillId="0" borderId="0" xfId="9" applyNumberFormat="1" applyFont="1" applyFill="1"/>
    <xf numFmtId="5" fontId="20" fillId="0" borderId="32" xfId="9" applyNumberFormat="1" applyFont="1" applyFill="1" applyBorder="1"/>
    <xf numFmtId="5" fontId="0" fillId="91" borderId="0" xfId="9" applyNumberFormat="1" applyFont="1" applyFill="1"/>
    <xf numFmtId="5" fontId="20" fillId="91" borderId="32" xfId="9" applyNumberFormat="1" applyFont="1" applyFill="1" applyBorder="1"/>
    <xf numFmtId="5" fontId="0" fillId="0" borderId="0" xfId="9" applyNumberFormat="1" applyFont="1" applyFill="1"/>
    <xf numFmtId="5" fontId="0" fillId="91" borderId="0" xfId="8" applyNumberFormat="1" applyFont="1" applyFill="1" applyBorder="1"/>
    <xf numFmtId="5" fontId="20" fillId="0" borderId="0" xfId="0" applyNumberFormat="1" applyFont="1" applyAlignment="1">
      <alignment horizontal="center"/>
    </xf>
    <xf numFmtId="5" fontId="20" fillId="0" borderId="32" xfId="0" applyNumberFormat="1" applyFont="1" applyBorder="1" applyAlignment="1">
      <alignment horizontal="center"/>
    </xf>
    <xf numFmtId="5" fontId="122" fillId="0" borderId="0" xfId="49" applyNumberFormat="1" applyAlignment="1">
      <alignment horizontal="right"/>
    </xf>
    <xf numFmtId="5" fontId="0" fillId="0" borderId="0" xfId="4" applyNumberFormat="1" applyFont="1" applyFill="1" applyAlignment="1">
      <alignment horizontal="right"/>
    </xf>
    <xf numFmtId="5" fontId="0" fillId="0" borderId="0" xfId="8" applyNumberFormat="1" applyFont="1" applyFill="1" applyBorder="1"/>
    <xf numFmtId="5" fontId="0" fillId="0" borderId="0" xfId="4" applyNumberFormat="1" applyFont="1" applyFill="1" applyBorder="1"/>
    <xf numFmtId="5" fontId="20" fillId="0" borderId="32" xfId="0" applyNumberFormat="1" applyFont="1" applyBorder="1"/>
    <xf numFmtId="5" fontId="2" fillId="0" borderId="0" xfId="8" applyNumberFormat="1" applyFont="1" applyFill="1"/>
    <xf numFmtId="5" fontId="0" fillId="0" borderId="0" xfId="8" applyNumberFormat="1" applyFont="1"/>
    <xf numFmtId="5" fontId="0" fillId="0" borderId="0" xfId="8" applyNumberFormat="1" applyFont="1" applyBorder="1"/>
    <xf numFmtId="5" fontId="2" fillId="0" borderId="0" xfId="8" applyNumberFormat="1" applyFont="1" applyFill="1" applyBorder="1"/>
    <xf numFmtId="5" fontId="20" fillId="91" borderId="0" xfId="9" applyNumberFormat="1" applyFont="1" applyFill="1" applyBorder="1" applyAlignment="1">
      <alignment horizontal="right"/>
    </xf>
    <xf numFmtId="5" fontId="20" fillId="0" borderId="0" xfId="9" applyNumberFormat="1" applyFont="1" applyFill="1" applyBorder="1" applyAlignment="1">
      <alignment horizontal="right"/>
    </xf>
    <xf numFmtId="5" fontId="20" fillId="91" borderId="32" xfId="9" applyNumberFormat="1" applyFont="1" applyFill="1" applyBorder="1" applyAlignment="1">
      <alignment horizontal="right"/>
    </xf>
    <xf numFmtId="5" fontId="20" fillId="0" borderId="32"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5" fontId="0" fillId="91" borderId="0" xfId="0" applyNumberFormat="1" applyFill="1" applyAlignment="1">
      <alignment horizontal="right"/>
    </xf>
    <xf numFmtId="5" fontId="2" fillId="91" borderId="0" xfId="0" applyNumberFormat="1" applyFont="1" applyFill="1"/>
    <xf numFmtId="5" fontId="0" fillId="91" borderId="0" xfId="4" applyNumberFormat="1" applyFont="1" applyFill="1" applyBorder="1"/>
    <xf numFmtId="5" fontId="0" fillId="0" borderId="0" xfId="4" applyNumberFormat="1" applyFont="1" applyBorder="1"/>
    <xf numFmtId="3" fontId="98" fillId="0" borderId="0" xfId="0" quotePrefix="1" applyNumberFormat="1" applyFont="1" applyAlignment="1">
      <alignment horizontal="centerContinuous"/>
    </xf>
    <xf numFmtId="3" fontId="98" fillId="0" borderId="0" xfId="0" quotePrefix="1" applyNumberFormat="1" applyFont="1" applyAlignment="1">
      <alignment horizontal="center"/>
    </xf>
    <xf numFmtId="167" fontId="98" fillId="0" borderId="0" xfId="0" quotePrefix="1" applyNumberFormat="1" applyFont="1" applyAlignment="1">
      <alignment horizontal="center"/>
    </xf>
    <xf numFmtId="5" fontId="0" fillId="0" borderId="0" xfId="9" applyNumberFormat="1" applyFont="1" applyFill="1" applyBorder="1"/>
    <xf numFmtId="10" fontId="2" fillId="0" borderId="32" xfId="1" applyNumberFormat="1" applyFont="1" applyFill="1" applyBorder="1"/>
    <xf numFmtId="0" fontId="97" fillId="0" borderId="0" xfId="0" applyFont="1" applyAlignment="1">
      <alignment horizontal="center" vertical="top"/>
    </xf>
    <xf numFmtId="0" fontId="97" fillId="0" borderId="8" xfId="0" applyFont="1" applyBorder="1" applyAlignment="1">
      <alignment horizontal="center" vertical="top" wrapText="1"/>
    </xf>
    <xf numFmtId="166" fontId="20" fillId="0" borderId="0" xfId="0" applyNumberFormat="1" applyFont="1"/>
    <xf numFmtId="199" fontId="20" fillId="0" borderId="0" xfId="0" applyNumberFormat="1" applyFont="1"/>
    <xf numFmtId="5" fontId="97" fillId="0" borderId="33" xfId="0" applyNumberFormat="1" applyFont="1" applyBorder="1"/>
    <xf numFmtId="166" fontId="20" fillId="0" borderId="0" xfId="0" applyNumberFormat="1" applyFont="1" applyAlignment="1">
      <alignment horizontal="right"/>
    </xf>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2" xfId="0" applyFont="1" applyBorder="1" applyAlignment="1">
      <alignment horizontal="center" wrapText="1"/>
    </xf>
    <xf numFmtId="10" fontId="0" fillId="0" borderId="0" xfId="4" applyNumberFormat="1" applyFont="1" applyFill="1" applyAlignment="1">
      <alignment horizontal="right"/>
    </xf>
    <xf numFmtId="0" fontId="0" fillId="0" borderId="33" xfId="0" applyBorder="1"/>
    <xf numFmtId="0" fontId="0" fillId="91" borderId="39" xfId="0" applyFill="1" applyBorder="1"/>
    <xf numFmtId="168" fontId="0" fillId="0" borderId="0" xfId="1" applyNumberFormat="1" applyFont="1" applyFill="1"/>
    <xf numFmtId="10" fontId="2" fillId="0" borderId="0" xfId="0" applyNumberFormat="1" applyFont="1" applyAlignment="1">
      <alignment horizontal="center"/>
    </xf>
    <xf numFmtId="164" fontId="98" fillId="0" borderId="0" xfId="9" applyNumberFormat="1" applyFont="1" applyFill="1" applyBorder="1" applyAlignment="1">
      <alignment horizontal="center"/>
    </xf>
    <xf numFmtId="164" fontId="20" fillId="0" borderId="32" xfId="6" applyNumberFormat="1" applyFont="1" applyBorder="1"/>
    <xf numFmtId="166" fontId="0" fillId="0" borderId="32" xfId="4" applyNumberFormat="1" applyFont="1" applyFill="1" applyBorder="1"/>
    <xf numFmtId="5" fontId="0" fillId="0" borderId="32" xfId="0" applyNumberFormat="1" applyBorder="1"/>
    <xf numFmtId="9" fontId="20" fillId="0" borderId="0" xfId="9" applyNumberFormat="1" applyFont="1" applyFill="1" applyBorder="1"/>
    <xf numFmtId="5" fontId="4" fillId="0" borderId="0" xfId="0" applyNumberFormat="1" applyFont="1" applyAlignment="1">
      <alignment horizontal="center"/>
    </xf>
    <xf numFmtId="164" fontId="98" fillId="0" borderId="0" xfId="9" applyNumberFormat="1" applyFont="1" applyFill="1" applyBorder="1" applyAlignment="1">
      <alignment horizontal="center" wrapText="1"/>
    </xf>
    <xf numFmtId="0" fontId="98" fillId="0" borderId="0" xfId="6" applyFont="1" applyAlignment="1">
      <alignment horizontal="center" wrapText="1"/>
    </xf>
    <xf numFmtId="166" fontId="0" fillId="0" borderId="0" xfId="0" quotePrefix="1" applyNumberFormat="1"/>
    <xf numFmtId="164" fontId="97" fillId="0" borderId="0" xfId="6" applyNumberFormat="1" applyFont="1"/>
    <xf numFmtId="166" fontId="2" fillId="0" borderId="0" xfId="0" applyNumberFormat="1" applyFont="1"/>
    <xf numFmtId="6" fontId="0" fillId="0" borderId="0" xfId="4" applyNumberFormat="1" applyFont="1" applyFill="1"/>
    <xf numFmtId="5" fontId="2" fillId="0" borderId="42" xfId="0" applyNumberFormat="1" applyFont="1" applyBorder="1"/>
    <xf numFmtId="14" fontId="20" fillId="91" borderId="0" xfId="0" quotePrefix="1" applyNumberFormat="1" applyFont="1" applyFill="1" applyAlignment="1">
      <alignment horizontal="right" vertical="center"/>
    </xf>
    <xf numFmtId="14" fontId="20" fillId="91" borderId="0" xfId="0" applyNumberFormat="1" applyFont="1" applyFill="1" applyAlignment="1">
      <alignment horizontal="right" vertical="center"/>
    </xf>
    <xf numFmtId="10" fontId="2" fillId="0" borderId="33" xfId="0" applyNumberFormat="1" applyFont="1" applyBorder="1"/>
    <xf numFmtId="164" fontId="2" fillId="0" borderId="0" xfId="4" applyNumberFormat="1" applyFont="1"/>
    <xf numFmtId="2" fontId="97" fillId="0" borderId="0" xfId="0" applyNumberFormat="1" applyFont="1" applyAlignment="1">
      <alignment horizontal="left"/>
    </xf>
    <xf numFmtId="5" fontId="97" fillId="0" borderId="0" xfId="0" applyNumberFormat="1" applyFont="1" applyProtection="1">
      <protection locked="0"/>
    </xf>
    <xf numFmtId="10" fontId="97" fillId="91" borderId="0" xfId="1" applyNumberFormat="1" applyFont="1" applyFill="1" applyBorder="1" applyProtection="1">
      <protection locked="0"/>
    </xf>
    <xf numFmtId="2" fontId="98" fillId="0" borderId="0" xfId="0" applyNumberFormat="1" applyFont="1" applyAlignment="1">
      <alignment horizontal="left"/>
    </xf>
    <xf numFmtId="0" fontId="97" fillId="0" borderId="33" xfId="0" applyFont="1" applyBorder="1" applyAlignment="1">
      <alignment horizontal="center" vertical="center" wrapText="1"/>
    </xf>
    <xf numFmtId="5" fontId="97" fillId="0" borderId="33" xfId="8" applyNumberFormat="1" applyFont="1" applyFill="1" applyBorder="1"/>
    <xf numFmtId="0" fontId="97" fillId="0" borderId="33" xfId="0" applyFont="1" applyBorder="1"/>
    <xf numFmtId="0" fontId="97" fillId="0" borderId="0" xfId="6" applyFont="1" applyAlignment="1">
      <alignment horizontal="left"/>
    </xf>
    <xf numFmtId="5" fontId="97" fillId="0" borderId="0" xfId="9" applyNumberFormat="1" applyFont="1" applyFill="1"/>
    <xf numFmtId="165" fontId="2" fillId="0" borderId="0" xfId="0" applyNumberFormat="1" applyFont="1"/>
    <xf numFmtId="5" fontId="2" fillId="0" borderId="0" xfId="9" applyNumberFormat="1" applyFont="1" applyFill="1"/>
    <xf numFmtId="5" fontId="97" fillId="0" borderId="0" xfId="9" applyNumberFormat="1" applyFont="1" applyFill="1" applyBorder="1" applyAlignment="1">
      <alignment horizontal="right"/>
    </xf>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0" fontId="97" fillId="0" borderId="0" xfId="0" applyFont="1" applyAlignment="1">
      <alignment wrapText="1"/>
    </xf>
    <xf numFmtId="166" fontId="2" fillId="0" borderId="0" xfId="4" applyNumberFormat="1" applyFont="1" applyFill="1"/>
    <xf numFmtId="5" fontId="2" fillId="0" borderId="32" xfId="4" applyNumberFormat="1" applyFont="1" applyFill="1" applyBorder="1"/>
    <xf numFmtId="167" fontId="2" fillId="0" borderId="0" xfId="0" applyNumberFormat="1" applyFont="1"/>
    <xf numFmtId="5" fontId="97" fillId="0" borderId="0" xfId="6" applyNumberFormat="1" applyFont="1" applyAlignment="1">
      <alignment horizontal="right"/>
    </xf>
    <xf numFmtId="200" fontId="2" fillId="0" borderId="0" xfId="0" applyNumberFormat="1" applyFont="1"/>
    <xf numFmtId="0" fontId="20" fillId="0" borderId="32" xfId="47" applyFont="1" applyBorder="1"/>
    <xf numFmtId="0" fontId="20" fillId="0" borderId="32" xfId="47" applyFont="1" applyBorder="1" applyAlignment="1">
      <alignment horizontal="center"/>
    </xf>
    <xf numFmtId="5" fontId="20" fillId="0" borderId="32" xfId="0" applyNumberFormat="1" applyFont="1" applyBorder="1" applyAlignment="1">
      <alignment horizontal="right"/>
    </xf>
    <xf numFmtId="5" fontId="20" fillId="0" borderId="32" xfId="0" quotePrefix="1" applyNumberFormat="1" applyFont="1" applyBorder="1" applyAlignment="1">
      <alignment horizontal="center"/>
    </xf>
    <xf numFmtId="5" fontId="97" fillId="0" borderId="43" xfId="6" applyNumberFormat="1" applyFont="1" applyBorder="1" applyAlignment="1">
      <alignment horizontal="right"/>
    </xf>
    <xf numFmtId="0" fontId="0" fillId="91" borderId="0" xfId="0" applyFill="1" applyAlignment="1">
      <alignment horizontal="left"/>
    </xf>
    <xf numFmtId="10" fontId="0" fillId="0" borderId="32" xfId="1" applyNumberFormat="1" applyFont="1" applyFill="1" applyBorder="1" applyAlignment="1">
      <alignment horizontal="right"/>
    </xf>
    <xf numFmtId="37" fontId="0" fillId="91" borderId="0" xfId="1" applyNumberFormat="1" applyFont="1" applyFill="1" applyAlignment="1">
      <alignment horizontal="right"/>
    </xf>
    <xf numFmtId="37" fontId="0" fillId="91" borderId="32" xfId="1" applyNumberFormat="1" applyFont="1" applyFill="1" applyBorder="1" applyAlignment="1">
      <alignment horizontal="right"/>
    </xf>
    <xf numFmtId="10" fontId="97" fillId="0" borderId="14" xfId="1" applyNumberFormat="1" applyFont="1" applyFill="1" applyBorder="1" applyAlignment="1">
      <alignment horizontal="center"/>
    </xf>
    <xf numFmtId="0" fontId="97" fillId="0" borderId="0" xfId="6" quotePrefix="1" applyFont="1" applyAlignment="1">
      <alignment horizontal="center"/>
    </xf>
    <xf numFmtId="5" fontId="20" fillId="91" borderId="0" xfId="4" applyNumberFormat="1" applyFont="1" applyFill="1" applyBorder="1" applyAlignment="1">
      <alignment horizontal="right" indent="1"/>
    </xf>
    <xf numFmtId="14" fontId="20" fillId="91" borderId="0" xfId="0" applyNumberFormat="1" applyFont="1" applyFill="1" applyAlignment="1">
      <alignment horizontal="center"/>
    </xf>
    <xf numFmtId="43" fontId="0" fillId="0" borderId="0" xfId="0" applyNumberFormat="1"/>
    <xf numFmtId="5" fontId="0" fillId="0" borderId="0" xfId="0" applyNumberFormat="1" applyAlignment="1">
      <alignment horizontal="left"/>
    </xf>
    <xf numFmtId="5" fontId="2" fillId="0" borderId="33" xfId="4" applyNumberFormat="1" applyFont="1" applyFill="1" applyBorder="1"/>
    <xf numFmtId="10" fontId="2" fillId="0" borderId="0" xfId="0" applyNumberFormat="1" applyFont="1" applyAlignment="1">
      <alignment horizontal="right"/>
    </xf>
    <xf numFmtId="5" fontId="0" fillId="0" borderId="32" xfId="4" quotePrefix="1" applyNumberFormat="1" applyFont="1" applyFill="1" applyBorder="1" applyAlignment="1"/>
    <xf numFmtId="0" fontId="20" fillId="0" borderId="0" xfId="6" applyFont="1" applyAlignment="1">
      <alignment horizontal="center" wrapText="1"/>
    </xf>
    <xf numFmtId="164" fontId="20" fillId="0" borderId="0" xfId="9" applyNumberFormat="1" applyFont="1" applyFill="1" applyBorder="1" applyAlignment="1">
      <alignment horizontal="center" wrapText="1"/>
    </xf>
    <xf numFmtId="3" fontId="98" fillId="0" borderId="44" xfId="0" quotePrefix="1" applyNumberFormat="1" applyFont="1" applyBorder="1" applyAlignment="1">
      <alignment horizontal="center"/>
    </xf>
    <xf numFmtId="3" fontId="98" fillId="0" borderId="45" xfId="0" quotePrefix="1" applyNumberFormat="1" applyFont="1" applyBorder="1" applyAlignment="1">
      <alignment horizontal="center"/>
    </xf>
    <xf numFmtId="167" fontId="20" fillId="0" borderId="45" xfId="0" applyNumberFormat="1" applyFont="1" applyBorder="1" applyAlignment="1">
      <alignment horizontal="center"/>
    </xf>
    <xf numFmtId="167" fontId="96" fillId="0" borderId="45" xfId="0" applyNumberFormat="1" applyFont="1" applyBorder="1" applyAlignment="1">
      <alignment horizontal="center"/>
    </xf>
    <xf numFmtId="167" fontId="20" fillId="0" borderId="45" xfId="0" applyNumberFormat="1" applyFont="1" applyBorder="1"/>
    <xf numFmtId="10" fontId="97" fillId="0" borderId="43" xfId="1" applyNumberFormat="1" applyFont="1" applyFill="1" applyBorder="1" applyAlignment="1">
      <alignment horizontal="center"/>
    </xf>
    <xf numFmtId="0" fontId="1" fillId="0" borderId="0" xfId="24911"/>
    <xf numFmtId="0" fontId="110" fillId="0" borderId="0" xfId="47" applyFont="1" applyAlignment="1">
      <alignment horizontal="center"/>
    </xf>
    <xf numFmtId="0" fontId="1" fillId="0" borderId="0" xfId="24911" applyAlignment="1">
      <alignment horizontal="center"/>
    </xf>
    <xf numFmtId="0" fontId="0" fillId="0" borderId="0" xfId="31683" applyFont="1"/>
    <xf numFmtId="0" fontId="97" fillId="0" borderId="32" xfId="31683" applyFont="1" applyBorder="1" applyAlignment="1">
      <alignment horizontal="center"/>
    </xf>
    <xf numFmtId="0" fontId="97" fillId="0" borderId="0" xfId="31683" applyFont="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0" fontId="0" fillId="0" borderId="0" xfId="31683" quotePrefix="1" applyFont="1" applyAlignment="1">
      <alignment horizontal="center"/>
    </xf>
    <xf numFmtId="0" fontId="0" fillId="0" borderId="0" xfId="31683" applyFont="1" applyAlignment="1">
      <alignment horizontal="center"/>
    </xf>
    <xf numFmtId="39" fontId="97" fillId="0" borderId="0" xfId="31683" quotePrefix="1" applyNumberFormat="1" applyFont="1" applyAlignment="1">
      <alignment horizontal="center"/>
    </xf>
    <xf numFmtId="0" fontId="0" fillId="0" borderId="26" xfId="31683" applyFont="1" applyBorder="1"/>
    <xf numFmtId="14" fontId="0" fillId="0" borderId="26" xfId="31683" applyNumberFormat="1" applyFont="1" applyBorder="1" applyAlignment="1">
      <alignment horizontal="center"/>
    </xf>
    <xf numFmtId="37" fontId="97" fillId="0" borderId="26" xfId="31683" applyNumberFormat="1" applyFont="1" applyBorder="1" applyAlignment="1">
      <alignment horizontal="center"/>
    </xf>
    <xf numFmtId="204"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204"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0" fillId="0" borderId="0" xfId="31683" applyNumberFormat="1" applyFont="1"/>
    <xf numFmtId="37" fontId="20" fillId="0" borderId="0" xfId="31683" applyNumberFormat="1" applyFont="1" applyAlignment="1">
      <alignment horizontal="center"/>
    </xf>
    <xf numFmtId="37" fontId="20" fillId="0" borderId="32" xfId="31683" applyNumberFormat="1" applyFont="1" applyBorder="1" applyAlignment="1">
      <alignment horizontal="right"/>
    </xf>
    <xf numFmtId="37" fontId="0" fillId="0" borderId="32" xfId="31683" applyNumberFormat="1" applyFont="1" applyBorder="1"/>
    <xf numFmtId="0" fontId="0" fillId="0" borderId="0" xfId="24911" applyFont="1"/>
    <xf numFmtId="0" fontId="0" fillId="0" borderId="32" xfId="31683" applyFont="1" applyBorder="1"/>
    <xf numFmtId="0" fontId="20" fillId="0" borderId="0" xfId="47" applyFont="1" applyAlignment="1">
      <alignment horizontal="fill"/>
    </xf>
    <xf numFmtId="0" fontId="20" fillId="0" borderId="32" xfId="16013" applyFont="1" applyBorder="1"/>
    <xf numFmtId="0" fontId="0" fillId="0" borderId="0" xfId="31683" applyFont="1" applyAlignment="1">
      <alignment horizontal="right"/>
    </xf>
    <xf numFmtId="37" fontId="2" fillId="0" borderId="0" xfId="31683" applyNumberFormat="1" applyFont="1"/>
    <xf numFmtId="0" fontId="4" fillId="0" borderId="0" xfId="24911" applyFont="1" applyAlignment="1">
      <alignment horizontal="center"/>
    </xf>
    <xf numFmtId="0" fontId="110" fillId="0" borderId="0" xfId="47" applyFont="1"/>
    <xf numFmtId="0" fontId="97" fillId="91" borderId="0" xfId="0" applyFont="1" applyFill="1" applyAlignment="1">
      <alignment horizontal="left"/>
    </xf>
    <xf numFmtId="5" fontId="20" fillId="91" borderId="0" xfId="0" applyNumberFormat="1" applyFont="1" applyFill="1" applyAlignment="1">
      <alignment horizontal="right"/>
    </xf>
    <xf numFmtId="37" fontId="0" fillId="93" borderId="0" xfId="31683" applyNumberFormat="1" applyFont="1" applyFill="1"/>
    <xf numFmtId="0" fontId="0" fillId="93" borderId="0" xfId="31683" applyFont="1" applyFill="1" applyAlignment="1">
      <alignment horizontal="center"/>
    </xf>
    <xf numFmtId="0" fontId="0" fillId="93" borderId="0" xfId="31683" applyFont="1" applyFill="1" applyAlignment="1">
      <alignment horizontal="left"/>
    </xf>
    <xf numFmtId="37" fontId="0" fillId="0" borderId="32" xfId="0" applyNumberFormat="1" applyBorder="1"/>
    <xf numFmtId="5" fontId="20" fillId="91" borderId="0" xfId="7" applyNumberFormat="1" applyFont="1" applyFill="1"/>
    <xf numFmtId="5" fontId="96" fillId="91" borderId="0" xfId="7" applyNumberFormat="1" applyFont="1" applyFill="1"/>
    <xf numFmtId="5" fontId="97" fillId="0" borderId="34" xfId="7" applyNumberFormat="1" applyFont="1" applyBorder="1" applyAlignment="1">
      <alignment vertical="center"/>
    </xf>
    <xf numFmtId="5" fontId="20" fillId="0" borderId="0" xfId="7" applyNumberFormat="1" applyFont="1"/>
    <xf numFmtId="0" fontId="20" fillId="0" borderId="0" xfId="0" applyFont="1" applyAlignment="1">
      <alignment horizontal="right" wrapText="1"/>
    </xf>
    <xf numFmtId="0" fontId="96" fillId="0" borderId="0" xfId="6" quotePrefix="1" applyFont="1" applyAlignment="1">
      <alignment horizontal="center"/>
    </xf>
    <xf numFmtId="0" fontId="97" fillId="0" borderId="33" xfId="6" applyFont="1" applyBorder="1" applyAlignment="1">
      <alignment horizontal="left"/>
    </xf>
    <xf numFmtId="0" fontId="97" fillId="0" borderId="33" xfId="6" quotePrefix="1" applyFont="1" applyBorder="1" applyAlignment="1">
      <alignment horizontal="left"/>
    </xf>
    <xf numFmtId="5" fontId="97" fillId="0" borderId="33" xfId="9" applyNumberFormat="1" applyFont="1" applyFill="1" applyBorder="1"/>
    <xf numFmtId="5" fontId="2" fillId="0" borderId="33" xfId="0" applyNumberFormat="1" applyFont="1" applyBorder="1"/>
    <xf numFmtId="0" fontId="20" fillId="93" borderId="0" xfId="11" applyFont="1" applyFill="1" applyAlignment="1">
      <alignment horizontal="left" vertical="center"/>
    </xf>
    <xf numFmtId="5" fontId="20" fillId="0" borderId="0" xfId="6" applyNumberFormat="1" applyFont="1"/>
    <xf numFmtId="5" fontId="0" fillId="0" borderId="0" xfId="9" applyNumberFormat="1" applyFont="1"/>
    <xf numFmtId="5" fontId="20" fillId="91" borderId="0" xfId="9" applyNumberFormat="1" applyFont="1" applyFill="1"/>
    <xf numFmtId="6" fontId="20" fillId="91" borderId="0" xfId="4" applyNumberFormat="1" applyFont="1" applyFill="1"/>
    <xf numFmtId="164" fontId="20" fillId="0" borderId="46" xfId="47" applyNumberFormat="1" applyFont="1" applyBorder="1"/>
    <xf numFmtId="164" fontId="96" fillId="0" borderId="46" xfId="47" applyNumberFormat="1" applyFont="1" applyBorder="1"/>
    <xf numFmtId="164" fontId="96" fillId="0" borderId="0" xfId="47" applyNumberFormat="1" applyFont="1" applyAlignment="1">
      <alignment horizontal="right"/>
    </xf>
    <xf numFmtId="166" fontId="20" fillId="0" borderId="0" xfId="4" applyNumberFormat="1" applyFont="1"/>
    <xf numFmtId="0" fontId="0" fillId="0" borderId="6" xfId="47" applyFont="1" applyBorder="1" applyAlignment="1">
      <alignment horizontal="right"/>
    </xf>
    <xf numFmtId="5" fontId="97" fillId="0" borderId="33" xfId="47" applyNumberFormat="1" applyFont="1" applyBorder="1"/>
    <xf numFmtId="0" fontId="0" fillId="0" borderId="0" xfId="47" applyFont="1" applyAlignment="1">
      <alignment horizontal="left" indent="1"/>
    </xf>
    <xf numFmtId="167" fontId="104" fillId="0" borderId="0" xfId="47" applyNumberFormat="1" applyFont="1" applyAlignment="1">
      <alignment horizontal="left"/>
    </xf>
    <xf numFmtId="166" fontId="20" fillId="0" borderId="0" xfId="47" applyNumberFormat="1" applyFont="1"/>
    <xf numFmtId="0" fontId="20" fillId="0" borderId="32" xfId="47" applyFont="1" applyBorder="1" applyAlignment="1">
      <alignment horizontal="right"/>
    </xf>
    <xf numFmtId="5" fontId="97" fillId="0" borderId="32" xfId="47" applyNumberFormat="1" applyFont="1" applyBorder="1"/>
    <xf numFmtId="0" fontId="20" fillId="0" borderId="32" xfId="47" applyFont="1" applyBorder="1" applyAlignment="1">
      <alignment horizontal="left" indent="1"/>
    </xf>
    <xf numFmtId="164" fontId="20" fillId="0" borderId="47" xfId="47" applyNumberFormat="1" applyFont="1" applyBorder="1"/>
    <xf numFmtId="0" fontId="20" fillId="0" borderId="33" xfId="47" applyFont="1" applyBorder="1" applyAlignment="1">
      <alignment horizontal="right"/>
    </xf>
    <xf numFmtId="164" fontId="20" fillId="0" borderId="33" xfId="47" applyNumberFormat="1" applyFont="1" applyBorder="1"/>
    <xf numFmtId="0" fontId="20" fillId="0" borderId="33" xfId="47" applyFont="1" applyBorder="1" applyAlignment="1">
      <alignment horizontal="left" indent="1"/>
    </xf>
    <xf numFmtId="164" fontId="20" fillId="0" borderId="37" xfId="47" applyNumberFormat="1" applyFont="1" applyBorder="1"/>
    <xf numFmtId="5" fontId="97" fillId="0" borderId="15" xfId="47" applyNumberFormat="1" applyFont="1" applyBorder="1"/>
    <xf numFmtId="164" fontId="96" fillId="0" borderId="47" xfId="47" applyNumberFormat="1" applyFont="1" applyBorder="1"/>
    <xf numFmtId="164" fontId="97" fillId="0" borderId="0" xfId="47" applyNumberFormat="1" applyFont="1"/>
    <xf numFmtId="164" fontId="96" fillId="0" borderId="37" xfId="47" applyNumberFormat="1" applyFont="1" applyBorder="1"/>
    <xf numFmtId="5" fontId="97" fillId="91" borderId="0" xfId="47" applyNumberFormat="1" applyFont="1" applyFill="1"/>
    <xf numFmtId="5" fontId="20" fillId="91" borderId="0" xfId="4" applyNumberFormat="1" applyFont="1" applyFill="1"/>
    <xf numFmtId="10" fontId="0" fillId="93" borderId="0" xfId="1" applyNumberFormat="1" applyFont="1" applyFill="1"/>
    <xf numFmtId="10" fontId="0" fillId="93" borderId="0" xfId="31678" applyNumberFormat="1" applyFont="1" applyFill="1"/>
    <xf numFmtId="37" fontId="97" fillId="0" borderId="0" xfId="31683" applyNumberFormat="1" applyFont="1" applyAlignment="1">
      <alignment horizontal="right"/>
    </xf>
    <xf numFmtId="0" fontId="97" fillId="0" borderId="0" xfId="31683" applyFont="1" applyAlignment="1">
      <alignment horizontal="right"/>
    </xf>
    <xf numFmtId="42" fontId="20" fillId="91" borderId="0" xfId="4" applyNumberFormat="1" applyFont="1" applyFill="1"/>
    <xf numFmtId="5" fontId="20" fillId="0" borderId="32" xfId="4" applyNumberFormat="1" applyFont="1" applyFill="1" applyBorder="1"/>
    <xf numFmtId="5" fontId="0" fillId="91" borderId="0" xfId="1" applyNumberFormat="1" applyFont="1" applyFill="1" applyAlignment="1">
      <alignment horizontal="right"/>
    </xf>
    <xf numFmtId="5" fontId="0" fillId="93" borderId="0" xfId="4" applyNumberFormat="1" applyFont="1" applyFill="1"/>
    <xf numFmtId="7" fontId="2" fillId="0" borderId="0" xfId="0" applyNumberFormat="1" applyFont="1" applyAlignment="1">
      <alignment horizontal="right"/>
    </xf>
    <xf numFmtId="10" fontId="2" fillId="0" borderId="32" xfId="0" applyNumberFormat="1" applyFont="1" applyBorder="1" applyAlignment="1">
      <alignment horizontal="right"/>
    </xf>
    <xf numFmtId="5" fontId="2" fillId="0" borderId="33" xfId="4" applyNumberFormat="1" applyFont="1" applyBorder="1"/>
    <xf numFmtId="5" fontId="20" fillId="0" borderId="32" xfId="6" applyNumberFormat="1" applyFont="1" applyBorder="1" applyAlignment="1">
      <alignment horizontal="right"/>
    </xf>
    <xf numFmtId="5" fontId="20" fillId="0" borderId="42" xfId="6" applyNumberFormat="1" applyFont="1" applyBorder="1" applyAlignment="1">
      <alignment horizontal="right"/>
    </xf>
    <xf numFmtId="0" fontId="2" fillId="91" borderId="0" xfId="0" applyFont="1" applyFill="1" applyAlignment="1">
      <alignment horizontal="center"/>
    </xf>
    <xf numFmtId="0" fontId="97" fillId="91" borderId="8" xfId="0" applyFont="1" applyFill="1" applyBorder="1" applyAlignment="1">
      <alignment horizontal="center" wrapText="1"/>
    </xf>
    <xf numFmtId="0" fontId="2" fillId="91" borderId="0" xfId="0" applyFont="1" applyFill="1" applyAlignment="1">
      <alignment horizontal="center" vertical="center"/>
    </xf>
    <xf numFmtId="0" fontId="20" fillId="91" borderId="32" xfId="0" applyFont="1" applyFill="1" applyBorder="1"/>
    <xf numFmtId="10" fontId="0" fillId="91" borderId="0" xfId="0" applyNumberFormat="1" applyFill="1"/>
    <xf numFmtId="0" fontId="97" fillId="91" borderId="8" xfId="0" applyFont="1" applyFill="1" applyBorder="1" applyAlignment="1">
      <alignment horizontal="center"/>
    </xf>
    <xf numFmtId="0" fontId="20" fillId="93" borderId="0" xfId="47" applyFont="1" applyFill="1"/>
    <xf numFmtId="0" fontId="2" fillId="0" borderId="15" xfId="0" applyFont="1" applyBorder="1" applyAlignment="1">
      <alignment horizontal="center"/>
    </xf>
    <xf numFmtId="0" fontId="0" fillId="0" borderId="32" xfId="0" applyBorder="1" applyAlignment="1">
      <alignment horizontal="left"/>
    </xf>
    <xf numFmtId="5" fontId="0" fillId="0" borderId="32" xfId="8" applyNumberFormat="1" applyFont="1" applyBorder="1"/>
    <xf numFmtId="197" fontId="4" fillId="0" borderId="0" xfId="0" applyNumberFormat="1" applyFont="1" applyAlignment="1">
      <alignment horizontal="center"/>
    </xf>
    <xf numFmtId="0" fontId="2" fillId="0" borderId="0" xfId="0" applyFont="1" applyAlignment="1">
      <alignment horizontal="centerContinuous"/>
    </xf>
    <xf numFmtId="0" fontId="2" fillId="0" borderId="32" xfId="0" applyFont="1" applyBorder="1" applyAlignment="1">
      <alignment horizontal="centerContinuous"/>
    </xf>
    <xf numFmtId="37" fontId="0" fillId="0" borderId="32" xfId="0" applyNumberFormat="1" applyBorder="1" applyAlignment="1">
      <alignment horizontal="center"/>
    </xf>
    <xf numFmtId="39" fontId="0" fillId="0" borderId="32" xfId="8" applyNumberFormat="1" applyFont="1" applyFill="1" applyBorder="1"/>
    <xf numFmtId="0" fontId="2" fillId="0" borderId="0" xfId="0" applyFont="1" applyAlignment="1">
      <alignment horizontal="center" vertical="center"/>
    </xf>
    <xf numFmtId="0" fontId="0" fillId="91" borderId="0" xfId="47" applyFont="1" applyFill="1" applyAlignment="1">
      <alignment horizontal="left" indent="1"/>
    </xf>
    <xf numFmtId="0" fontId="2" fillId="0" borderId="0" xfId="0" applyFont="1" applyAlignment="1">
      <alignment wrapText="1"/>
    </xf>
    <xf numFmtId="0" fontId="20" fillId="91" borderId="0" xfId="47" applyFont="1" applyFill="1" applyAlignment="1">
      <alignment horizontal="right"/>
    </xf>
    <xf numFmtId="0" fontId="20" fillId="91" borderId="6" xfId="47" applyFont="1" applyFill="1" applyBorder="1"/>
    <xf numFmtId="0" fontId="0" fillId="94" borderId="0" xfId="0" applyFill="1"/>
    <xf numFmtId="5" fontId="20" fillId="91" borderId="34" xfId="0" applyNumberFormat="1" applyFont="1" applyFill="1" applyBorder="1"/>
    <xf numFmtId="0" fontId="97" fillId="0" borderId="46" xfId="47" applyFont="1" applyBorder="1" applyAlignment="1">
      <alignment horizontal="center"/>
    </xf>
    <xf numFmtId="167" fontId="97" fillId="0" borderId="46" xfId="47" applyNumberFormat="1" applyFont="1" applyBorder="1" applyAlignment="1">
      <alignment horizontal="center"/>
    </xf>
    <xf numFmtId="0" fontId="20" fillId="93" borderId="0" xfId="47" applyFont="1" applyFill="1" applyAlignment="1">
      <alignment horizontal="right"/>
    </xf>
    <xf numFmtId="10" fontId="20" fillId="0" borderId="0" xfId="1" applyNumberFormat="1" applyFont="1" applyBorder="1"/>
    <xf numFmtId="0" fontId="20" fillId="0" borderId="0" xfId="6" applyFont="1" applyAlignment="1">
      <alignment horizontal="left" wrapText="1"/>
    </xf>
    <xf numFmtId="0" fontId="20" fillId="0" borderId="0" xfId="31683" applyFont="1"/>
    <xf numFmtId="0" fontId="1" fillId="0" borderId="0" xfId="31685" applyAlignment="1">
      <alignment horizontal="center" vertical="top"/>
    </xf>
    <xf numFmtId="0" fontId="5" fillId="0" borderId="0" xfId="31685" applyFont="1" applyAlignment="1">
      <alignment horizontal="right" vertical="top"/>
    </xf>
    <xf numFmtId="0" fontId="5" fillId="0" borderId="0" xfId="31685" applyFont="1"/>
    <xf numFmtId="0" fontId="20" fillId="0" borderId="0" xfId="31683" applyFont="1" applyAlignment="1">
      <alignment horizontal="center"/>
    </xf>
    <xf numFmtId="0" fontId="20" fillId="0" borderId="26" xfId="31683" applyFont="1" applyBorder="1"/>
    <xf numFmtId="14" fontId="20" fillId="0" borderId="26" xfId="31683" applyNumberFormat="1" applyFont="1" applyBorder="1" applyAlignment="1">
      <alignment horizontal="center"/>
    </xf>
    <xf numFmtId="37" fontId="97" fillId="0" borderId="0" xfId="31683" quotePrefix="1" applyNumberFormat="1" applyFont="1" applyAlignment="1">
      <alignment horizontal="center" wrapText="1"/>
    </xf>
    <xf numFmtId="0" fontId="1" fillId="0" borderId="0" xfId="31685"/>
    <xf numFmtId="0" fontId="5" fillId="0" borderId="32" xfId="31685" applyFont="1" applyBorder="1" applyAlignment="1">
      <alignment horizontal="center"/>
    </xf>
    <xf numFmtId="37" fontId="20" fillId="0" borderId="0" xfId="31683" applyNumberFormat="1" applyFont="1"/>
    <xf numFmtId="37" fontId="5" fillId="0" borderId="0" xfId="31685" applyNumberFormat="1" applyFont="1" applyAlignment="1">
      <alignment horizontal="center"/>
    </xf>
    <xf numFmtId="37" fontId="5" fillId="0" borderId="0" xfId="31685" applyNumberFormat="1" applyFont="1"/>
    <xf numFmtId="0" fontId="5" fillId="0" borderId="0" xfId="31685" applyFont="1" applyAlignment="1">
      <alignment horizontal="center"/>
    </xf>
    <xf numFmtId="0" fontId="5" fillId="0" borderId="32" xfId="31685" applyFont="1" applyBorder="1"/>
    <xf numFmtId="0" fontId="97" fillId="0" borderId="15" xfId="31683" applyFont="1" applyBorder="1" applyAlignment="1">
      <alignment horizontal="center"/>
    </xf>
    <xf numFmtId="0" fontId="6" fillId="0" borderId="0" xfId="31685" applyFont="1" applyAlignment="1">
      <alignment horizontal="center"/>
    </xf>
    <xf numFmtId="0" fontId="6" fillId="0" borderId="0" xfId="31685" applyFont="1" applyAlignment="1">
      <alignment horizontal="center" wrapText="1"/>
    </xf>
    <xf numFmtId="203" fontId="20" fillId="0" borderId="0" xfId="31683" applyNumberFormat="1" applyFont="1" applyAlignment="1">
      <alignment horizontal="center"/>
    </xf>
    <xf numFmtId="37" fontId="20" fillId="0" borderId="32" xfId="31683" applyNumberFormat="1" applyFont="1" applyBorder="1"/>
    <xf numFmtId="0" fontId="5" fillId="0" borderId="0" xfId="24911" applyFont="1"/>
    <xf numFmtId="37" fontId="20" fillId="93" borderId="0" xfId="31683" applyNumberFormat="1" applyFont="1" applyFill="1"/>
    <xf numFmtId="37" fontId="116" fillId="0" borderId="0" xfId="31683" quotePrefix="1" applyNumberFormat="1" applyFont="1" applyAlignment="1">
      <alignment horizontal="center"/>
    </xf>
    <xf numFmtId="0" fontId="20" fillId="0" borderId="0" xfId="31683" quotePrefix="1" applyFont="1" applyAlignment="1">
      <alignment horizontal="center"/>
    </xf>
    <xf numFmtId="0" fontId="98" fillId="0" borderId="0" xfId="31685" applyFont="1" applyAlignment="1">
      <alignment horizontal="center"/>
    </xf>
    <xf numFmtId="0" fontId="20" fillId="0" borderId="0" xfId="31685" applyFont="1"/>
    <xf numFmtId="0" fontId="20" fillId="0" borderId="32" xfId="31683" applyFont="1" applyBorder="1"/>
    <xf numFmtId="0" fontId="20" fillId="93" borderId="0" xfId="31683" applyFont="1" applyFill="1" applyAlignment="1">
      <alignment horizontal="left"/>
    </xf>
    <xf numFmtId="0" fontId="20" fillId="93" borderId="0" xfId="31683" applyFont="1" applyFill="1" applyAlignment="1">
      <alignment horizontal="center"/>
    </xf>
    <xf numFmtId="0" fontId="20" fillId="0" borderId="0" xfId="31683" applyFont="1" applyAlignment="1">
      <alignment horizontal="right"/>
    </xf>
    <xf numFmtId="0" fontId="5" fillId="0" borderId="0" xfId="31685" applyFont="1" applyAlignment="1">
      <alignment wrapText="1"/>
    </xf>
    <xf numFmtId="199" fontId="20" fillId="0" borderId="0" xfId="2" applyNumberFormat="1" applyFont="1" applyFill="1" applyBorder="1"/>
    <xf numFmtId="0" fontId="98" fillId="0" borderId="0" xfId="0" applyFont="1" applyAlignment="1">
      <alignment horizontal="right"/>
    </xf>
    <xf numFmtId="0" fontId="109" fillId="0" borderId="0" xfId="0" applyFont="1"/>
    <xf numFmtId="0" fontId="96" fillId="0" borderId="0" xfId="0" applyFont="1" applyAlignment="1">
      <alignment horizontal="center"/>
    </xf>
    <xf numFmtId="0" fontId="97" fillId="0" borderId="32" xfId="0" applyFont="1" applyBorder="1" applyAlignment="1">
      <alignment horizontal="right"/>
    </xf>
    <xf numFmtId="164" fontId="20" fillId="0" borderId="32" xfId="0" applyNumberFormat="1" applyFont="1" applyBorder="1"/>
    <xf numFmtId="3" fontId="20" fillId="0" borderId="32" xfId="0" applyNumberFormat="1" applyFont="1" applyBorder="1"/>
    <xf numFmtId="164" fontId="20" fillId="0" borderId="32" xfId="0" applyNumberFormat="1" applyFont="1" applyBorder="1" applyAlignment="1">
      <alignment horizontal="left"/>
    </xf>
    <xf numFmtId="202" fontId="97" fillId="0" borderId="32" xfId="0" applyNumberFormat="1" applyFont="1" applyBorder="1"/>
    <xf numFmtId="0" fontId="97" fillId="0" borderId="32" xfId="0" quotePrefix="1" applyFont="1" applyBorder="1" applyAlignment="1">
      <alignment horizontal="left"/>
    </xf>
    <xf numFmtId="202" fontId="20" fillId="0" borderId="32" xfId="0" applyNumberFormat="1" applyFont="1" applyBorder="1" applyAlignment="1">
      <alignment horizontal="center"/>
    </xf>
    <xf numFmtId="164" fontId="20" fillId="0" borderId="0" xfId="0" applyNumberFormat="1" applyFont="1" applyAlignment="1">
      <alignment horizontal="left"/>
    </xf>
    <xf numFmtId="202" fontId="97" fillId="0" borderId="0" xfId="0" applyNumberFormat="1" applyFont="1"/>
    <xf numFmtId="3" fontId="20" fillId="91" borderId="0" xfId="0" applyNumberFormat="1" applyFont="1" applyFill="1"/>
    <xf numFmtId="199" fontId="97" fillId="0" borderId="0" xfId="0" applyNumberFormat="1" applyFont="1"/>
    <xf numFmtId="202" fontId="20" fillId="0" borderId="0" xfId="0" applyNumberFormat="1" applyFont="1" applyAlignment="1">
      <alignment horizontal="center"/>
    </xf>
    <xf numFmtId="0" fontId="97" fillId="0" borderId="32" xfId="0" applyFont="1" applyBorder="1"/>
    <xf numFmtId="199" fontId="97" fillId="0" borderId="32" xfId="0" applyNumberFormat="1" applyFont="1" applyBorder="1"/>
    <xf numFmtId="0" fontId="20" fillId="0" borderId="32" xfId="0" applyFont="1" applyBorder="1" applyAlignment="1">
      <alignment horizontal="center"/>
    </xf>
    <xf numFmtId="164" fontId="103" fillId="0" borderId="0" xfId="0" applyNumberFormat="1" applyFont="1"/>
    <xf numFmtId="202" fontId="20" fillId="0" borderId="0" xfId="31682" applyNumberFormat="1" applyFont="1" applyAlignment="1">
      <alignment horizontal="center"/>
    </xf>
    <xf numFmtId="0" fontId="97" fillId="0" borderId="0" xfId="0" quotePrefix="1" applyFont="1" applyAlignment="1">
      <alignment horizontal="left"/>
    </xf>
    <xf numFmtId="0" fontId="20" fillId="0" borderId="0" xfId="31682" applyFont="1" applyAlignment="1">
      <alignment horizontal="center"/>
    </xf>
    <xf numFmtId="202" fontId="20" fillId="0" borderId="32" xfId="31682" applyNumberFormat="1" applyFont="1" applyBorder="1" applyAlignment="1">
      <alignment horizontal="center"/>
    </xf>
    <xf numFmtId="167" fontId="106" fillId="0" borderId="0" xfId="0" applyNumberFormat="1" applyFont="1"/>
    <xf numFmtId="167" fontId="103" fillId="0" borderId="0" xfId="0" applyNumberFormat="1" applyFont="1"/>
    <xf numFmtId="164" fontId="103" fillId="0" borderId="0" xfId="0" applyNumberFormat="1" applyFont="1" applyAlignment="1">
      <alignment horizontal="right"/>
    </xf>
    <xf numFmtId="202" fontId="20" fillId="0" borderId="0" xfId="0" applyNumberFormat="1" applyFont="1"/>
    <xf numFmtId="164" fontId="97" fillId="0" borderId="0" xfId="0" applyNumberFormat="1" applyFont="1"/>
    <xf numFmtId="164" fontId="107" fillId="0" borderId="0" xfId="0" applyNumberFormat="1" applyFont="1"/>
    <xf numFmtId="3" fontId="20" fillId="0" borderId="0" xfId="0" quotePrefix="1" applyNumberFormat="1" applyFont="1" applyAlignment="1">
      <alignment horizontal="center"/>
    </xf>
    <xf numFmtId="3" fontId="20" fillId="0" borderId="45" xfId="0" quotePrefix="1" applyNumberFormat="1" applyFont="1" applyBorder="1" applyAlignment="1">
      <alignment horizontal="center"/>
    </xf>
    <xf numFmtId="3" fontId="20" fillId="0" borderId="0" xfId="0" quotePrefix="1" applyNumberFormat="1" applyFont="1" applyAlignment="1">
      <alignment horizontal="center" vertical="center"/>
    </xf>
    <xf numFmtId="0" fontId="20" fillId="0" borderId="0" xfId="0" quotePrefix="1" applyFont="1" applyAlignment="1">
      <alignment horizontal="center" vertical="center" wrapText="1"/>
    </xf>
    <xf numFmtId="3" fontId="96" fillId="0" borderId="0" xfId="0" applyNumberFormat="1" applyFont="1" applyAlignment="1">
      <alignment horizontal="center"/>
    </xf>
    <xf numFmtId="203" fontId="96" fillId="0" borderId="0" xfId="0" applyNumberFormat="1" applyFont="1" applyAlignment="1">
      <alignment horizontal="center"/>
    </xf>
    <xf numFmtId="167" fontId="96" fillId="0" borderId="0" xfId="0" applyNumberFormat="1" applyFont="1" applyAlignment="1">
      <alignment horizontal="center"/>
    </xf>
    <xf numFmtId="203" fontId="20" fillId="91" borderId="0" xfId="0" applyNumberFormat="1" applyFont="1" applyFill="1" applyAlignment="1">
      <alignment horizontal="center"/>
    </xf>
    <xf numFmtId="3" fontId="20" fillId="0" borderId="0" xfId="0" applyNumberFormat="1" applyFont="1" applyAlignment="1">
      <alignment horizontal="right"/>
    </xf>
    <xf numFmtId="10" fontId="20" fillId="0" borderId="0" xfId="31682" applyNumberFormat="1" applyFont="1" applyAlignment="1">
      <alignment horizontal="center"/>
    </xf>
    <xf numFmtId="10" fontId="20" fillId="0" borderId="45" xfId="31682" applyNumberFormat="1" applyFont="1" applyBorder="1" applyAlignment="1">
      <alignment horizontal="center"/>
    </xf>
    <xf numFmtId="10" fontId="20" fillId="0" borderId="0" xfId="0" applyNumberFormat="1" applyFont="1" applyAlignment="1">
      <alignment horizontal="center"/>
    </xf>
    <xf numFmtId="10" fontId="97" fillId="0" borderId="0" xfId="0" applyNumberFormat="1" applyFont="1" applyAlignment="1">
      <alignment horizontal="center"/>
    </xf>
    <xf numFmtId="10" fontId="97" fillId="0" borderId="45" xfId="31682" applyNumberFormat="1" applyFont="1" applyBorder="1" applyAlignment="1">
      <alignment horizontal="center"/>
    </xf>
    <xf numFmtId="10" fontId="108" fillId="0" borderId="0" xfId="0" applyNumberFormat="1" applyFont="1" applyAlignment="1">
      <alignment horizontal="center"/>
    </xf>
    <xf numFmtId="10" fontId="108" fillId="0" borderId="45" xfId="31682" applyNumberFormat="1" applyFont="1" applyBorder="1" applyAlignment="1">
      <alignment horizontal="center"/>
    </xf>
    <xf numFmtId="10" fontId="97" fillId="0" borderId="0" xfId="1" applyNumberFormat="1" applyFont="1" applyFill="1" applyBorder="1" applyAlignment="1">
      <alignment horizontal="center"/>
    </xf>
    <xf numFmtId="10" fontId="20" fillId="91" borderId="45" xfId="31682" applyNumberFormat="1" applyFont="1" applyFill="1" applyBorder="1" applyAlignment="1">
      <alignment horizontal="center"/>
    </xf>
    <xf numFmtId="10" fontId="20" fillId="0" borderId="45" xfId="0" applyNumberFormat="1" applyFont="1" applyBorder="1" applyAlignment="1">
      <alignment horizontal="center"/>
    </xf>
    <xf numFmtId="10" fontId="108" fillId="0" borderId="45" xfId="0" applyNumberFormat="1" applyFont="1" applyBorder="1" applyAlignment="1">
      <alignment horizontal="center"/>
    </xf>
    <xf numFmtId="0" fontId="97" fillId="0" borderId="14" xfId="0" applyFont="1" applyBorder="1"/>
    <xf numFmtId="3" fontId="97" fillId="0" borderId="14" xfId="0" applyNumberFormat="1" applyFont="1" applyBorder="1"/>
    <xf numFmtId="5" fontId="97" fillId="0" borderId="48" xfId="0" applyNumberFormat="1" applyFont="1" applyBorder="1"/>
    <xf numFmtId="5" fontId="20" fillId="91" borderId="32" xfId="0" applyNumberFormat="1" applyFont="1" applyFill="1" applyBorder="1"/>
    <xf numFmtId="167" fontId="0" fillId="0" borderId="32" xfId="1" applyNumberFormat="1" applyFont="1" applyFill="1" applyBorder="1"/>
    <xf numFmtId="42" fontId="0" fillId="0" borderId="0" xfId="4" applyNumberFormat="1" applyFont="1" applyFill="1"/>
    <xf numFmtId="0" fontId="100" fillId="95" borderId="0" xfId="0" applyFont="1" applyFill="1" applyAlignment="1">
      <alignment horizontal="center"/>
    </xf>
    <xf numFmtId="0" fontId="100" fillId="95" borderId="0" xfId="0" applyFont="1" applyFill="1"/>
    <xf numFmtId="5" fontId="0" fillId="93" borderId="32" xfId="4" applyNumberFormat="1" applyFont="1" applyFill="1" applyBorder="1"/>
    <xf numFmtId="166" fontId="0" fillId="93" borderId="32" xfId="4" applyNumberFormat="1" applyFont="1" applyFill="1" applyBorder="1"/>
    <xf numFmtId="166" fontId="0" fillId="93" borderId="0" xfId="4" applyNumberFormat="1" applyFont="1" applyFill="1"/>
    <xf numFmtId="43" fontId="20" fillId="91" borderId="0" xfId="47" applyNumberFormat="1" applyFont="1" applyFill="1"/>
    <xf numFmtId="0" fontId="20" fillId="91" borderId="0" xfId="0" applyFont="1" applyFill="1" applyAlignment="1">
      <alignment horizontal="right"/>
    </xf>
    <xf numFmtId="37" fontId="0" fillId="0" borderId="0" xfId="1" applyNumberFormat="1" applyFont="1" applyFill="1" applyAlignment="1">
      <alignment horizontal="right"/>
    </xf>
    <xf numFmtId="6" fontId="0" fillId="0" borderId="0" xfId="2" applyNumberFormat="1" applyFont="1"/>
    <xf numFmtId="0" fontId="97" fillId="0" borderId="0" xfId="47" applyFont="1" applyAlignment="1">
      <alignment horizontal="left" indent="1"/>
    </xf>
    <xf numFmtId="0" fontId="20" fillId="0" borderId="0" xfId="8" applyNumberFormat="1" applyFont="1" applyFill="1" applyBorder="1" applyAlignment="1">
      <alignment horizontal="center"/>
    </xf>
    <xf numFmtId="5" fontId="0" fillId="91" borderId="32" xfId="0" applyNumberFormat="1" applyFill="1" applyBorder="1"/>
    <xf numFmtId="205" fontId="0" fillId="0" borderId="0" xfId="4" applyNumberFormat="1" applyFont="1"/>
    <xf numFmtId="206" fontId="0" fillId="0" borderId="0" xfId="2" applyNumberFormat="1" applyFont="1"/>
    <xf numFmtId="44" fontId="20" fillId="0" borderId="0" xfId="0" applyNumberFormat="1" applyFont="1" applyAlignment="1">
      <alignment horizontal="left"/>
    </xf>
    <xf numFmtId="44" fontId="20" fillId="92" borderId="0" xfId="0" applyNumberFormat="1" applyFont="1" applyFill="1" applyAlignment="1">
      <alignment horizontal="left"/>
    </xf>
    <xf numFmtId="5" fontId="97" fillId="0" borderId="0" xfId="4" applyNumberFormat="1" applyFont="1"/>
    <xf numFmtId="167" fontId="97" fillId="0" borderId="0" xfId="0" quotePrefix="1" applyNumberFormat="1" applyFont="1" applyAlignment="1">
      <alignment horizontal="right"/>
    </xf>
    <xf numFmtId="0" fontId="94" fillId="0" borderId="0" xfId="0" applyFont="1" applyAlignment="1">
      <alignment horizontal="center"/>
    </xf>
    <xf numFmtId="0" fontId="95" fillId="0" borderId="0" xfId="0" applyFont="1" applyAlignment="1">
      <alignment horizontal="center"/>
    </xf>
    <xf numFmtId="0" fontId="2" fillId="0" borderId="0" xfId="0" applyFont="1" applyAlignment="1">
      <alignment horizontal="center"/>
    </xf>
    <xf numFmtId="0" fontId="0" fillId="0" borderId="37" xfId="0" applyBorder="1" applyAlignment="1">
      <alignment horizontal="left" wrapText="1"/>
    </xf>
    <xf numFmtId="0" fontId="0" fillId="0" borderId="47" xfId="0" applyBorder="1" applyAlignment="1">
      <alignment horizontal="left" wrapText="1"/>
    </xf>
    <xf numFmtId="0" fontId="0" fillId="0" borderId="0" xfId="0" applyAlignment="1">
      <alignment horizontal="left" wrapText="1"/>
    </xf>
    <xf numFmtId="0" fontId="0" fillId="0" borderId="0" xfId="0" applyAlignment="1">
      <alignment horizontal="left"/>
    </xf>
    <xf numFmtId="5" fontId="0" fillId="0" borderId="0" xfId="4" applyNumberFormat="1" applyFont="1" applyAlignment="1">
      <alignment horizontal="left"/>
    </xf>
    <xf numFmtId="0" fontId="0" fillId="0" borderId="0" xfId="0" applyAlignment="1">
      <alignment horizontal="left" vertical="top" wrapText="1"/>
    </xf>
    <xf numFmtId="0" fontId="20" fillId="0" borderId="0" xfId="0" applyFont="1" applyAlignment="1">
      <alignment horizontal="left" wrapText="1"/>
    </xf>
    <xf numFmtId="0" fontId="20" fillId="0" borderId="0" xfId="0" applyFont="1" applyAlignment="1">
      <alignment horizontal="left"/>
    </xf>
    <xf numFmtId="0" fontId="20" fillId="0" borderId="0" xfId="47" applyFont="1" applyAlignment="1">
      <alignment horizontal="left"/>
    </xf>
    <xf numFmtId="0" fontId="20" fillId="91" borderId="0" xfId="0" applyFont="1" applyFill="1" applyAlignment="1">
      <alignment horizontal="left"/>
    </xf>
    <xf numFmtId="0" fontId="97" fillId="0" borderId="0" xfId="6" applyFont="1" applyAlignment="1">
      <alignment horizontal="center"/>
    </xf>
    <xf numFmtId="0" fontId="97" fillId="37" borderId="49" xfId="0" applyFont="1" applyFill="1" applyBorder="1" applyAlignment="1">
      <alignment horizontal="center"/>
    </xf>
    <xf numFmtId="0" fontId="97" fillId="37" borderId="15" xfId="0" applyFont="1" applyFill="1" applyBorder="1" applyAlignment="1">
      <alignment horizontal="center"/>
    </xf>
    <xf numFmtId="0" fontId="97" fillId="37" borderId="50" xfId="0" applyFont="1" applyFill="1" applyBorder="1" applyAlignment="1">
      <alignment horizontal="center"/>
    </xf>
    <xf numFmtId="0" fontId="97" fillId="0" borderId="32" xfId="0" applyFont="1" applyBorder="1" applyAlignment="1">
      <alignment horizontal="center"/>
    </xf>
    <xf numFmtId="0" fontId="2" fillId="0" borderId="32" xfId="0" applyFont="1" applyBorder="1" applyAlignment="1">
      <alignment horizontal="center"/>
    </xf>
    <xf numFmtId="0" fontId="0" fillId="0" borderId="0" xfId="0" applyAlignment="1">
      <alignment horizontal="left" vertical="center" wrapText="1"/>
    </xf>
    <xf numFmtId="0" fontId="2" fillId="0" borderId="0" xfId="0" applyFont="1" applyAlignment="1">
      <alignment horizontal="center" vertical="center" wrapText="1"/>
    </xf>
    <xf numFmtId="0" fontId="2" fillId="0" borderId="32" xfId="0" applyFont="1" applyBorder="1" applyAlignment="1">
      <alignment horizontal="center" vertical="center" wrapText="1"/>
    </xf>
    <xf numFmtId="0" fontId="20" fillId="0" borderId="0" xfId="0" applyFont="1" applyAlignment="1">
      <alignment wrapText="1"/>
    </xf>
    <xf numFmtId="0" fontId="20" fillId="0" borderId="0" xfId="0" applyFont="1" applyAlignment="1">
      <alignment horizontal="left" vertical="center" wrapText="1"/>
    </xf>
    <xf numFmtId="0" fontId="100" fillId="0" borderId="0" xfId="0" applyFont="1" applyAlignment="1">
      <alignment wrapText="1"/>
    </xf>
    <xf numFmtId="0" fontId="0" fillId="0" borderId="0" xfId="0" applyAlignment="1">
      <alignment wrapText="1"/>
    </xf>
    <xf numFmtId="0" fontId="5" fillId="0" borderId="0" xfId="31685" applyFont="1" applyAlignment="1">
      <alignment horizontal="left" wrapText="1"/>
    </xf>
    <xf numFmtId="0" fontId="1" fillId="0" borderId="0" xfId="31685" applyAlignment="1">
      <alignment horizontal="left" wrapText="1"/>
    </xf>
    <xf numFmtId="0" fontId="1" fillId="0" borderId="32" xfId="24911" applyBorder="1" applyAlignment="1">
      <alignment horizontal="center"/>
    </xf>
    <xf numFmtId="37" fontId="97" fillId="0" borderId="15" xfId="31683" applyNumberFormat="1" applyFont="1" applyBorder="1" applyAlignment="1">
      <alignment horizontal="center"/>
    </xf>
    <xf numFmtId="0" fontId="111" fillId="0" borderId="15" xfId="0" applyFont="1" applyBorder="1" applyAlignment="1">
      <alignment horizontal="center" vertical="center" wrapText="1"/>
    </xf>
    <xf numFmtId="0" fontId="5" fillId="0" borderId="32" xfId="31685" applyFont="1" applyBorder="1" applyAlignment="1">
      <alignment horizontal="center"/>
    </xf>
    <xf numFmtId="0" fontId="117" fillId="0" borderId="15" xfId="0" applyFont="1" applyBorder="1" applyAlignment="1">
      <alignment horizontal="center" vertical="center" wrapText="1"/>
    </xf>
    <xf numFmtId="0" fontId="5" fillId="0" borderId="0" xfId="31685" applyFont="1" applyAlignment="1">
      <alignment horizontal="left"/>
    </xf>
    <xf numFmtId="0" fontId="2" fillId="0" borderId="49" xfId="0" applyFont="1" applyBorder="1" applyAlignment="1">
      <alignment horizontal="center"/>
    </xf>
    <xf numFmtId="0" fontId="2" fillId="0" borderId="15" xfId="0" applyFont="1" applyBorder="1" applyAlignment="1">
      <alignment horizontal="center"/>
    </xf>
    <xf numFmtId="0" fontId="2" fillId="0" borderId="50" xfId="0" applyFont="1" applyBorder="1" applyAlignment="1">
      <alignment horizontal="center"/>
    </xf>
    <xf numFmtId="0" fontId="2" fillId="0" borderId="8" xfId="0" applyFont="1" applyBorder="1" applyAlignment="1">
      <alignment horizontal="center"/>
    </xf>
    <xf numFmtId="0" fontId="20" fillId="91" borderId="0" xfId="0" quotePrefix="1" applyFont="1" applyFill="1" applyAlignment="1">
      <alignment horizontal="left" wrapText="1"/>
    </xf>
    <xf numFmtId="0" fontId="20" fillId="91" borderId="0" xfId="0" applyFont="1" applyFill="1" applyAlignment="1">
      <alignment horizontal="left" wrapText="1"/>
    </xf>
    <xf numFmtId="0" fontId="2" fillId="0" borderId="42" xfId="0" applyFont="1" applyBorder="1" applyAlignment="1">
      <alignment horizontal="right"/>
    </xf>
    <xf numFmtId="0" fontId="2" fillId="0" borderId="39" xfId="0" applyFont="1" applyBorder="1" applyAlignment="1">
      <alignment horizontal="center" wrapText="1"/>
    </xf>
    <xf numFmtId="0" fontId="2" fillId="0" borderId="41" xfId="0" applyFont="1" applyBorder="1" applyAlignment="1">
      <alignment horizontal="center" wrapText="1"/>
    </xf>
    <xf numFmtId="0" fontId="2" fillId="0" borderId="8" xfId="0" applyFont="1" applyBorder="1" applyAlignment="1">
      <alignment horizontal="center" wrapText="1"/>
    </xf>
    <xf numFmtId="0" fontId="97" fillId="0" borderId="8" xfId="0" applyFont="1" applyBorder="1" applyAlignment="1">
      <alignment horizontal="center" wrapText="1"/>
    </xf>
    <xf numFmtId="0" fontId="97" fillId="0" borderId="8" xfId="0" applyFont="1" applyBorder="1" applyAlignment="1">
      <alignment horizontal="center"/>
    </xf>
    <xf numFmtId="0" fontId="20" fillId="0" borderId="6" xfId="47" applyFont="1" applyBorder="1" applyAlignment="1">
      <alignment horizontal="right" wrapText="1"/>
    </xf>
    <xf numFmtId="0" fontId="20" fillId="0" borderId="0" xfId="47" applyFont="1" applyAlignment="1">
      <alignment horizontal="right" wrapText="1"/>
    </xf>
    <xf numFmtId="0" fontId="20" fillId="91" borderId="0" xfId="0" applyFont="1" applyFill="1" applyAlignment="1">
      <alignment horizontal="left" vertical="top" wrapText="1"/>
    </xf>
    <xf numFmtId="3" fontId="20" fillId="0" borderId="0" xfId="0" applyNumberFormat="1" applyFont="1" applyAlignment="1">
      <alignment horizontal="center"/>
    </xf>
    <xf numFmtId="167" fontId="97" fillId="0" borderId="38" xfId="0" quotePrefix="1" applyNumberFormat="1" applyFont="1" applyBorder="1" applyAlignment="1">
      <alignment horizontal="right"/>
    </xf>
    <xf numFmtId="167" fontId="97" fillId="0" borderId="14" xfId="0" quotePrefix="1" applyNumberFormat="1" applyFont="1" applyBorder="1" applyAlignment="1">
      <alignment horizontal="right"/>
    </xf>
  </cellXfs>
  <cellStyles count="31686">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1" xfId="126" xr:uid="{00000000-0005-0000-0000-00007E000000}"/>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3" xfId="139" xr:uid="{00000000-0005-0000-0000-00008B000000}"/>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3" xfId="144" xr:uid="{00000000-0005-0000-0000-000090000000}"/>
    <cellStyle name="20% - Accent1 2 2 4 3" xfId="145" xr:uid="{00000000-0005-0000-0000-000091000000}"/>
    <cellStyle name="20% - Accent1 2 2 4 3 2" xfId="146" xr:uid="{00000000-0005-0000-0000-000092000000}"/>
    <cellStyle name="20% - Accent1 2 2 4 4" xfId="147" xr:uid="{00000000-0005-0000-0000-000093000000}"/>
    <cellStyle name="20% - Accent1 2 2 5" xfId="148" xr:uid="{00000000-0005-0000-0000-000094000000}"/>
    <cellStyle name="20% - Accent1 2 2 5 2" xfId="149" xr:uid="{00000000-0005-0000-0000-000095000000}"/>
    <cellStyle name="20% - Accent1 2 2 6" xfId="150" xr:uid="{00000000-0005-0000-0000-000096000000}"/>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3" xfId="155" xr:uid="{00000000-0005-0000-0000-00009B000000}"/>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3" xfId="160" xr:uid="{00000000-0005-0000-0000-0000A0000000}"/>
    <cellStyle name="20% - Accent1 2 3 3 3" xfId="161" xr:uid="{00000000-0005-0000-0000-0000A1000000}"/>
    <cellStyle name="20% - Accent1 2 3 3 3 2" xfId="162" xr:uid="{00000000-0005-0000-0000-0000A2000000}"/>
    <cellStyle name="20% - Accent1 2 3 3 4" xfId="163" xr:uid="{00000000-0005-0000-0000-0000A3000000}"/>
    <cellStyle name="20% - Accent1 2 3 4" xfId="164" xr:uid="{00000000-0005-0000-0000-0000A4000000}"/>
    <cellStyle name="20% - Accent1 2 3 4 2" xfId="165" xr:uid="{00000000-0005-0000-0000-0000A5000000}"/>
    <cellStyle name="20% - Accent1 2 3 5" xfId="166" xr:uid="{00000000-0005-0000-0000-0000A6000000}"/>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3" xfId="171" xr:uid="{00000000-0005-0000-0000-0000AB000000}"/>
    <cellStyle name="20% - Accent1 2 4 3" xfId="172" xr:uid="{00000000-0005-0000-0000-0000AC000000}"/>
    <cellStyle name="20% - Accent1 2 4 3 2" xfId="173" xr:uid="{00000000-0005-0000-0000-0000AD000000}"/>
    <cellStyle name="20% - Accent1 2 4 4" xfId="174" xr:uid="{00000000-0005-0000-0000-0000AE000000}"/>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3" xfId="179" xr:uid="{00000000-0005-0000-0000-0000B3000000}"/>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3" xfId="184" xr:uid="{00000000-0005-0000-0000-0000B8000000}"/>
    <cellStyle name="20% - Accent1 2 5 3 3" xfId="185" xr:uid="{00000000-0005-0000-0000-0000B9000000}"/>
    <cellStyle name="20% - Accent1 2 5 3 3 2" xfId="186" xr:uid="{00000000-0005-0000-0000-0000BA000000}"/>
    <cellStyle name="20% - Accent1 2 5 3 4" xfId="187" xr:uid="{00000000-0005-0000-0000-0000BB000000}"/>
    <cellStyle name="20% - Accent1 2 5 4" xfId="188" xr:uid="{00000000-0005-0000-0000-0000BC000000}"/>
    <cellStyle name="20% - Accent1 2 5 4 2" xfId="189" xr:uid="{00000000-0005-0000-0000-0000BD000000}"/>
    <cellStyle name="20% - Accent1 2 5 5" xfId="190" xr:uid="{00000000-0005-0000-0000-0000BE000000}"/>
    <cellStyle name="20% - Accent1 2 6" xfId="191" xr:uid="{00000000-0005-0000-0000-0000BF000000}"/>
    <cellStyle name="20% - Accent1 2 6 2" xfId="192" xr:uid="{00000000-0005-0000-0000-0000C0000000}"/>
    <cellStyle name="20% - Accent1 2 6 2 2" xfId="193" xr:uid="{00000000-0005-0000-0000-0000C1000000}"/>
    <cellStyle name="20% - Accent1 2 6 3" xfId="194" xr:uid="{00000000-0005-0000-0000-0000C2000000}"/>
    <cellStyle name="20% - Accent1 2 7" xfId="195" xr:uid="{00000000-0005-0000-0000-0000C3000000}"/>
    <cellStyle name="20% - Accent1 2 7 2" xfId="196" xr:uid="{00000000-0005-0000-0000-0000C4000000}"/>
    <cellStyle name="20% - Accent1 2 7 2 2" xfId="197" xr:uid="{00000000-0005-0000-0000-0000C5000000}"/>
    <cellStyle name="20% - Accent1 2 7 3" xfId="198" xr:uid="{00000000-0005-0000-0000-0000C6000000}"/>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3" xfId="203" xr:uid="{00000000-0005-0000-0000-0000CB000000}"/>
    <cellStyle name="20% - Accent1 2 8 3" xfId="204" xr:uid="{00000000-0005-0000-0000-0000CC000000}"/>
    <cellStyle name="20% - Accent1 2 8 3 2" xfId="205" xr:uid="{00000000-0005-0000-0000-0000CD000000}"/>
    <cellStyle name="20% - Accent1 2 8 4" xfId="206" xr:uid="{00000000-0005-0000-0000-0000CE000000}"/>
    <cellStyle name="20% - Accent1 2 9" xfId="207" xr:uid="{00000000-0005-0000-0000-0000CF000000}"/>
    <cellStyle name="20% - Accent1 2 9 2" xfId="208" xr:uid="{00000000-0005-0000-0000-0000D0000000}"/>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3" xfId="213" xr:uid="{00000000-0005-0000-0000-0000D5000000}"/>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3" xfId="233" xr:uid="{00000000-0005-0000-0000-0000E9000000}"/>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3" xfId="238" xr:uid="{00000000-0005-0000-0000-0000EE000000}"/>
    <cellStyle name="20% - Accent1 5 3 3" xfId="239" xr:uid="{00000000-0005-0000-0000-0000EF000000}"/>
    <cellStyle name="20% - Accent1 5 3 3 2" xfId="240" xr:uid="{00000000-0005-0000-0000-0000F0000000}"/>
    <cellStyle name="20% - Accent1 5 3 4" xfId="241" xr:uid="{00000000-0005-0000-0000-0000F1000000}"/>
    <cellStyle name="20% - Accent1 5 4" xfId="242" xr:uid="{00000000-0005-0000-0000-0000F2000000}"/>
    <cellStyle name="20% - Accent1 5 4 2" xfId="243" xr:uid="{00000000-0005-0000-0000-0000F3000000}"/>
    <cellStyle name="20% - Accent1 5 5" xfId="244" xr:uid="{00000000-0005-0000-0000-0000F4000000}"/>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3" xfId="249" xr:uid="{00000000-0005-0000-0000-0000F9000000}"/>
    <cellStyle name="20% - Accent1 6 3" xfId="250" xr:uid="{00000000-0005-0000-0000-0000FA000000}"/>
    <cellStyle name="20% - Accent1 6 3 2" xfId="251" xr:uid="{00000000-0005-0000-0000-0000FB000000}"/>
    <cellStyle name="20% - Accent1 6 4" xfId="252" xr:uid="{00000000-0005-0000-0000-0000FC000000}"/>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3" xfId="271" xr:uid="{00000000-0005-0000-0000-00000F010000}"/>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3" xfId="276" xr:uid="{00000000-0005-0000-0000-000014010000}"/>
    <cellStyle name="20% - Accent2 2 2 4 3" xfId="277" xr:uid="{00000000-0005-0000-0000-000015010000}"/>
    <cellStyle name="20% - Accent2 2 2 4 3 2" xfId="278" xr:uid="{00000000-0005-0000-0000-000016010000}"/>
    <cellStyle name="20% - Accent2 2 2 4 4" xfId="279" xr:uid="{00000000-0005-0000-0000-000017010000}"/>
    <cellStyle name="20% - Accent2 2 2 5" xfId="280" xr:uid="{00000000-0005-0000-0000-000018010000}"/>
    <cellStyle name="20% - Accent2 2 2 5 2" xfId="281" xr:uid="{00000000-0005-0000-0000-000019010000}"/>
    <cellStyle name="20% - Accent2 2 2 6" xfId="282" xr:uid="{00000000-0005-0000-0000-00001A010000}"/>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3" xfId="330" xr:uid="{00000000-0005-0000-0000-00004A010000}"/>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3" xfId="335" xr:uid="{00000000-0005-0000-0000-00004F010000}"/>
    <cellStyle name="20% - Accent2 2 8 3" xfId="336" xr:uid="{00000000-0005-0000-0000-000050010000}"/>
    <cellStyle name="20% - Accent2 2 8 3 2" xfId="337" xr:uid="{00000000-0005-0000-0000-000051010000}"/>
    <cellStyle name="20% - Accent2 2 8 4" xfId="338" xr:uid="{00000000-0005-0000-0000-000052010000}"/>
    <cellStyle name="20% - Accent2 2 9" xfId="339" xr:uid="{00000000-0005-0000-0000-000053010000}"/>
    <cellStyle name="20% - Accent2 2 9 2" xfId="340" xr:uid="{00000000-0005-0000-0000-000054010000}"/>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3" xfId="365" xr:uid="{00000000-0005-0000-0000-00006D010000}"/>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3" xfId="370" xr:uid="{00000000-0005-0000-0000-000072010000}"/>
    <cellStyle name="20% - Accent2 5 3 3" xfId="371" xr:uid="{00000000-0005-0000-0000-000073010000}"/>
    <cellStyle name="20% - Accent2 5 3 3 2" xfId="372" xr:uid="{00000000-0005-0000-0000-000074010000}"/>
    <cellStyle name="20% - Accent2 5 3 4" xfId="373" xr:uid="{00000000-0005-0000-0000-000075010000}"/>
    <cellStyle name="20% - Accent2 5 4" xfId="374" xr:uid="{00000000-0005-0000-0000-000076010000}"/>
    <cellStyle name="20% - Accent2 5 4 2" xfId="375" xr:uid="{00000000-0005-0000-0000-000077010000}"/>
    <cellStyle name="20% - Accent2 5 5" xfId="376" xr:uid="{00000000-0005-0000-0000-000078010000}"/>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1" xfId="390" xr:uid="{00000000-0005-0000-0000-000086010000}"/>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3" xfId="403" xr:uid="{00000000-0005-0000-0000-000093010000}"/>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3" xfId="408" xr:uid="{00000000-0005-0000-0000-000098010000}"/>
    <cellStyle name="20% - Accent3 2 2 4 3" xfId="409" xr:uid="{00000000-0005-0000-0000-000099010000}"/>
    <cellStyle name="20% - Accent3 2 2 4 3 2" xfId="410" xr:uid="{00000000-0005-0000-0000-00009A010000}"/>
    <cellStyle name="20% - Accent3 2 2 4 4" xfId="411" xr:uid="{00000000-0005-0000-0000-00009B010000}"/>
    <cellStyle name="20% - Accent3 2 2 5" xfId="412" xr:uid="{00000000-0005-0000-0000-00009C010000}"/>
    <cellStyle name="20% - Accent3 2 2 5 2" xfId="413" xr:uid="{00000000-0005-0000-0000-00009D010000}"/>
    <cellStyle name="20% - Accent3 2 2 6" xfId="414" xr:uid="{00000000-0005-0000-0000-00009E010000}"/>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3" xfId="419" xr:uid="{00000000-0005-0000-0000-0000A3010000}"/>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3" xfId="424" xr:uid="{00000000-0005-0000-0000-0000A8010000}"/>
    <cellStyle name="20% - Accent3 2 3 3 3" xfId="425" xr:uid="{00000000-0005-0000-0000-0000A9010000}"/>
    <cellStyle name="20% - Accent3 2 3 3 3 2" xfId="426" xr:uid="{00000000-0005-0000-0000-0000AA010000}"/>
    <cellStyle name="20% - Accent3 2 3 3 4" xfId="427" xr:uid="{00000000-0005-0000-0000-0000AB010000}"/>
    <cellStyle name="20% - Accent3 2 3 4" xfId="428" xr:uid="{00000000-0005-0000-0000-0000AC010000}"/>
    <cellStyle name="20% - Accent3 2 3 4 2" xfId="429" xr:uid="{00000000-0005-0000-0000-0000AD010000}"/>
    <cellStyle name="20% - Accent3 2 3 5" xfId="430" xr:uid="{00000000-0005-0000-0000-0000AE010000}"/>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3" xfId="435" xr:uid="{00000000-0005-0000-0000-0000B3010000}"/>
    <cellStyle name="20% - Accent3 2 4 3" xfId="436" xr:uid="{00000000-0005-0000-0000-0000B4010000}"/>
    <cellStyle name="20% - Accent3 2 4 3 2" xfId="437" xr:uid="{00000000-0005-0000-0000-0000B5010000}"/>
    <cellStyle name="20% - Accent3 2 4 4" xfId="438" xr:uid="{00000000-0005-0000-0000-0000B6010000}"/>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3" xfId="443" xr:uid="{00000000-0005-0000-0000-0000BB010000}"/>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3" xfId="448" xr:uid="{00000000-0005-0000-0000-0000C0010000}"/>
    <cellStyle name="20% - Accent3 2 5 3 3" xfId="449" xr:uid="{00000000-0005-0000-0000-0000C1010000}"/>
    <cellStyle name="20% - Accent3 2 5 3 3 2" xfId="450" xr:uid="{00000000-0005-0000-0000-0000C2010000}"/>
    <cellStyle name="20% - Accent3 2 5 3 4" xfId="451" xr:uid="{00000000-0005-0000-0000-0000C3010000}"/>
    <cellStyle name="20% - Accent3 2 5 4" xfId="452" xr:uid="{00000000-0005-0000-0000-0000C4010000}"/>
    <cellStyle name="20% - Accent3 2 5 4 2" xfId="453" xr:uid="{00000000-0005-0000-0000-0000C5010000}"/>
    <cellStyle name="20% - Accent3 2 5 5" xfId="454" xr:uid="{00000000-0005-0000-0000-0000C6010000}"/>
    <cellStyle name="20% - Accent3 2 6" xfId="455" xr:uid="{00000000-0005-0000-0000-0000C7010000}"/>
    <cellStyle name="20% - Accent3 2 6 2" xfId="456" xr:uid="{00000000-0005-0000-0000-0000C8010000}"/>
    <cellStyle name="20% - Accent3 2 6 2 2" xfId="457" xr:uid="{00000000-0005-0000-0000-0000C9010000}"/>
    <cellStyle name="20% - Accent3 2 6 3" xfId="458" xr:uid="{00000000-0005-0000-0000-0000CA010000}"/>
    <cellStyle name="20% - Accent3 2 7" xfId="459" xr:uid="{00000000-0005-0000-0000-0000CB010000}"/>
    <cellStyle name="20% - Accent3 2 7 2" xfId="460" xr:uid="{00000000-0005-0000-0000-0000CC010000}"/>
    <cellStyle name="20% - Accent3 2 7 2 2" xfId="461" xr:uid="{00000000-0005-0000-0000-0000CD010000}"/>
    <cellStyle name="20% - Accent3 2 7 3" xfId="462" xr:uid="{00000000-0005-0000-0000-0000CE010000}"/>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3" xfId="467" xr:uid="{00000000-0005-0000-0000-0000D3010000}"/>
    <cellStyle name="20% - Accent3 2 8 3" xfId="468" xr:uid="{00000000-0005-0000-0000-0000D4010000}"/>
    <cellStyle name="20% - Accent3 2 8 3 2" xfId="469" xr:uid="{00000000-0005-0000-0000-0000D5010000}"/>
    <cellStyle name="20% - Accent3 2 8 4" xfId="470" xr:uid="{00000000-0005-0000-0000-0000D6010000}"/>
    <cellStyle name="20% - Accent3 2 9" xfId="471" xr:uid="{00000000-0005-0000-0000-0000D7010000}"/>
    <cellStyle name="20% - Accent3 2 9 2" xfId="472" xr:uid="{00000000-0005-0000-0000-0000D8010000}"/>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3" xfId="477" xr:uid="{00000000-0005-0000-0000-0000DD010000}"/>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3" xfId="497" xr:uid="{00000000-0005-0000-0000-0000F1010000}"/>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3" xfId="502" xr:uid="{00000000-0005-0000-0000-0000F6010000}"/>
    <cellStyle name="20% - Accent3 5 3 3" xfId="503" xr:uid="{00000000-0005-0000-0000-0000F7010000}"/>
    <cellStyle name="20% - Accent3 5 3 3 2" xfId="504" xr:uid="{00000000-0005-0000-0000-0000F8010000}"/>
    <cellStyle name="20% - Accent3 5 3 4" xfId="505" xr:uid="{00000000-0005-0000-0000-0000F9010000}"/>
    <cellStyle name="20% - Accent3 5 4" xfId="506" xr:uid="{00000000-0005-0000-0000-0000FA010000}"/>
    <cellStyle name="20% - Accent3 5 4 2" xfId="507" xr:uid="{00000000-0005-0000-0000-0000FB010000}"/>
    <cellStyle name="20% - Accent3 5 5" xfId="508" xr:uid="{00000000-0005-0000-0000-0000FC010000}"/>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3" xfId="513" xr:uid="{00000000-0005-0000-0000-000001020000}"/>
    <cellStyle name="20% - Accent3 6 3" xfId="514" xr:uid="{00000000-0005-0000-0000-000002020000}"/>
    <cellStyle name="20% - Accent3 6 3 2" xfId="515" xr:uid="{00000000-0005-0000-0000-000003020000}"/>
    <cellStyle name="20% - Accent3 6 4" xfId="516" xr:uid="{00000000-0005-0000-0000-000004020000}"/>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3" xfId="551" xr:uid="{00000000-0005-0000-0000-00002702000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3" xfId="556" xr:uid="{00000000-0005-0000-0000-00002C020000}"/>
    <cellStyle name="20% - Accent4 2 3 3 3" xfId="557" xr:uid="{00000000-0005-0000-0000-00002D020000}"/>
    <cellStyle name="20% - Accent4 2 3 3 3 2" xfId="558" xr:uid="{00000000-0005-0000-0000-00002E020000}"/>
    <cellStyle name="20% - Accent4 2 3 3 4" xfId="559" xr:uid="{00000000-0005-0000-0000-00002F020000}"/>
    <cellStyle name="20% - Accent4 2 3 4" xfId="560" xr:uid="{00000000-0005-0000-0000-000030020000}"/>
    <cellStyle name="20% - Accent4 2 3 4 2" xfId="561" xr:uid="{00000000-0005-0000-0000-000031020000}"/>
    <cellStyle name="20% - Accent4 2 3 5" xfId="562" xr:uid="{00000000-0005-0000-0000-00003202000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3" xfId="567" xr:uid="{00000000-0005-0000-0000-000037020000}"/>
    <cellStyle name="20% - Accent4 2 4 3" xfId="568" xr:uid="{00000000-0005-0000-0000-000038020000}"/>
    <cellStyle name="20% - Accent4 2 4 3 2" xfId="569" xr:uid="{00000000-0005-0000-0000-000039020000}"/>
    <cellStyle name="20% - Accent4 2 4 4" xfId="570" xr:uid="{00000000-0005-0000-0000-00003A020000}"/>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3" xfId="575" xr:uid="{00000000-0005-0000-0000-00003F020000}"/>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3" xfId="580" xr:uid="{00000000-0005-0000-0000-000044020000}"/>
    <cellStyle name="20% - Accent4 2 5 3 3" xfId="581" xr:uid="{00000000-0005-0000-0000-000045020000}"/>
    <cellStyle name="20% - Accent4 2 5 3 3 2" xfId="582" xr:uid="{00000000-0005-0000-0000-000046020000}"/>
    <cellStyle name="20% - Accent4 2 5 3 4" xfId="583" xr:uid="{00000000-0005-0000-0000-000047020000}"/>
    <cellStyle name="20% - Accent4 2 5 4" xfId="584" xr:uid="{00000000-0005-0000-0000-000048020000}"/>
    <cellStyle name="20% - Accent4 2 5 4 2" xfId="585" xr:uid="{00000000-0005-0000-0000-000049020000}"/>
    <cellStyle name="20% - Accent4 2 5 5" xfId="586" xr:uid="{00000000-0005-0000-0000-00004A020000}"/>
    <cellStyle name="20% - Accent4 2 6" xfId="587" xr:uid="{00000000-0005-0000-0000-00004B020000}"/>
    <cellStyle name="20% - Accent4 2 6 2" xfId="588" xr:uid="{00000000-0005-0000-0000-00004C020000}"/>
    <cellStyle name="20% - Accent4 2 6 2 2" xfId="589" xr:uid="{00000000-0005-0000-0000-00004D020000}"/>
    <cellStyle name="20% - Accent4 2 6 3" xfId="590" xr:uid="{00000000-0005-0000-0000-00004E020000}"/>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3" xfId="609" xr:uid="{00000000-0005-0000-0000-000061020000}"/>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3" xfId="645" xr:uid="{00000000-0005-0000-0000-000085020000}"/>
    <cellStyle name="20% - Accent4 6 3" xfId="646" xr:uid="{00000000-0005-0000-0000-000086020000}"/>
    <cellStyle name="20% - Accent4 6 3 2" xfId="647" xr:uid="{00000000-0005-0000-0000-000087020000}"/>
    <cellStyle name="20% - Accent4 6 4" xfId="648" xr:uid="{00000000-0005-0000-0000-000088020000}"/>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3" xfId="683" xr:uid="{00000000-0005-0000-0000-0000AB02000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3" xfId="688" xr:uid="{00000000-0005-0000-0000-0000B0020000}"/>
    <cellStyle name="20% - Accent5 2 3 3 3" xfId="689" xr:uid="{00000000-0005-0000-0000-0000B1020000}"/>
    <cellStyle name="20% - Accent5 2 3 3 3 2" xfId="690" xr:uid="{00000000-0005-0000-0000-0000B2020000}"/>
    <cellStyle name="20% - Accent5 2 3 3 4" xfId="691" xr:uid="{00000000-0005-0000-0000-0000B3020000}"/>
    <cellStyle name="20% - Accent5 2 3 4" xfId="692" xr:uid="{00000000-0005-0000-0000-0000B4020000}"/>
    <cellStyle name="20% - Accent5 2 3 4 2" xfId="693" xr:uid="{00000000-0005-0000-0000-0000B5020000}"/>
    <cellStyle name="20% - Accent5 2 3 5" xfId="694" xr:uid="{00000000-0005-0000-0000-0000B6020000}"/>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3" xfId="699" xr:uid="{00000000-0005-0000-0000-0000BB020000}"/>
    <cellStyle name="20% - Accent5 2 4 3" xfId="700" xr:uid="{00000000-0005-0000-0000-0000BC020000}"/>
    <cellStyle name="20% - Accent5 2 4 3 2" xfId="701" xr:uid="{00000000-0005-0000-0000-0000BD020000}"/>
    <cellStyle name="20% - Accent5 2 4 4" xfId="702" xr:uid="{00000000-0005-0000-0000-0000BE020000}"/>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3" xfId="707" xr:uid="{00000000-0005-0000-0000-0000C3020000}"/>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3" xfId="712" xr:uid="{00000000-0005-0000-0000-0000C8020000}"/>
    <cellStyle name="20% - Accent5 2 5 3 3" xfId="713" xr:uid="{00000000-0005-0000-0000-0000C9020000}"/>
    <cellStyle name="20% - Accent5 2 5 3 3 2" xfId="714" xr:uid="{00000000-0005-0000-0000-0000CA020000}"/>
    <cellStyle name="20% - Accent5 2 5 3 4" xfId="715" xr:uid="{00000000-0005-0000-0000-0000CB020000}"/>
    <cellStyle name="20% - Accent5 2 5 4" xfId="716" xr:uid="{00000000-0005-0000-0000-0000CC020000}"/>
    <cellStyle name="20% - Accent5 2 5 4 2" xfId="717" xr:uid="{00000000-0005-0000-0000-0000CD020000}"/>
    <cellStyle name="20% - Accent5 2 5 5" xfId="718" xr:uid="{00000000-0005-0000-0000-0000CE020000}"/>
    <cellStyle name="20% - Accent5 2 6" xfId="719" xr:uid="{00000000-0005-0000-0000-0000CF020000}"/>
    <cellStyle name="20% - Accent5 2 6 2" xfId="720" xr:uid="{00000000-0005-0000-0000-0000D0020000}"/>
    <cellStyle name="20% - Accent5 2 6 2 2" xfId="721" xr:uid="{00000000-0005-0000-0000-0000D1020000}"/>
    <cellStyle name="20% - Accent5 2 6 3" xfId="722" xr:uid="{00000000-0005-0000-0000-0000D2020000}"/>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3" xfId="741" xr:uid="{00000000-0005-0000-0000-0000E5020000}"/>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3" xfId="777" xr:uid="{00000000-0005-0000-0000-000009030000}"/>
    <cellStyle name="20% - Accent5 6 3" xfId="778" xr:uid="{00000000-0005-0000-0000-00000A030000}"/>
    <cellStyle name="20% - Accent5 6 3 2" xfId="779" xr:uid="{00000000-0005-0000-0000-00000B030000}"/>
    <cellStyle name="20% - Accent5 6 4" xfId="780" xr:uid="{00000000-0005-0000-0000-00000C030000}"/>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1" xfId="786" xr:uid="{00000000-0005-0000-0000-000012030000}"/>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3" xfId="799" xr:uid="{00000000-0005-0000-0000-00001F030000}"/>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3" xfId="804" xr:uid="{00000000-0005-0000-0000-000024030000}"/>
    <cellStyle name="20% - Accent6 2 2 4 3" xfId="805" xr:uid="{00000000-0005-0000-0000-000025030000}"/>
    <cellStyle name="20% - Accent6 2 2 4 3 2" xfId="806" xr:uid="{00000000-0005-0000-0000-000026030000}"/>
    <cellStyle name="20% - Accent6 2 2 4 4" xfId="807" xr:uid="{00000000-0005-0000-0000-000027030000}"/>
    <cellStyle name="20% - Accent6 2 2 5" xfId="808" xr:uid="{00000000-0005-0000-0000-000028030000}"/>
    <cellStyle name="20% - Accent6 2 2 5 2" xfId="809" xr:uid="{00000000-0005-0000-0000-000029030000}"/>
    <cellStyle name="20% - Accent6 2 2 6" xfId="810" xr:uid="{00000000-0005-0000-0000-00002A030000}"/>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3" xfId="815" xr:uid="{00000000-0005-0000-0000-00002F030000}"/>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3" xfId="820" xr:uid="{00000000-0005-0000-0000-000034030000}"/>
    <cellStyle name="20% - Accent6 2 3 3 3" xfId="821" xr:uid="{00000000-0005-0000-0000-000035030000}"/>
    <cellStyle name="20% - Accent6 2 3 3 3 2" xfId="822" xr:uid="{00000000-0005-0000-0000-000036030000}"/>
    <cellStyle name="20% - Accent6 2 3 3 4" xfId="823" xr:uid="{00000000-0005-0000-0000-000037030000}"/>
    <cellStyle name="20% - Accent6 2 3 4" xfId="824" xr:uid="{00000000-0005-0000-0000-000038030000}"/>
    <cellStyle name="20% - Accent6 2 3 4 2" xfId="825" xr:uid="{00000000-0005-0000-0000-000039030000}"/>
    <cellStyle name="20% - Accent6 2 3 5" xfId="826" xr:uid="{00000000-0005-0000-0000-00003A030000}"/>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3" xfId="831" xr:uid="{00000000-0005-0000-0000-00003F030000}"/>
    <cellStyle name="20% - Accent6 2 4 3" xfId="832" xr:uid="{00000000-0005-0000-0000-000040030000}"/>
    <cellStyle name="20% - Accent6 2 4 3 2" xfId="833" xr:uid="{00000000-0005-0000-0000-000041030000}"/>
    <cellStyle name="20% - Accent6 2 4 4" xfId="834" xr:uid="{00000000-0005-0000-0000-000042030000}"/>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3" xfId="839" xr:uid="{00000000-0005-0000-0000-000047030000}"/>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3" xfId="844" xr:uid="{00000000-0005-0000-0000-00004C030000}"/>
    <cellStyle name="20% - Accent6 2 5 3 3" xfId="845" xr:uid="{00000000-0005-0000-0000-00004D030000}"/>
    <cellStyle name="20% - Accent6 2 5 3 3 2" xfId="846" xr:uid="{00000000-0005-0000-0000-00004E030000}"/>
    <cellStyle name="20% - Accent6 2 5 3 4" xfId="847" xr:uid="{00000000-0005-0000-0000-00004F030000}"/>
    <cellStyle name="20% - Accent6 2 5 4" xfId="848" xr:uid="{00000000-0005-0000-0000-000050030000}"/>
    <cellStyle name="20% - Accent6 2 5 4 2" xfId="849" xr:uid="{00000000-0005-0000-0000-000051030000}"/>
    <cellStyle name="20% - Accent6 2 5 5" xfId="850" xr:uid="{00000000-0005-0000-0000-000052030000}"/>
    <cellStyle name="20% - Accent6 2 6" xfId="851" xr:uid="{00000000-0005-0000-0000-000053030000}"/>
    <cellStyle name="20% - Accent6 2 6 2" xfId="852" xr:uid="{00000000-0005-0000-0000-000054030000}"/>
    <cellStyle name="20% - Accent6 2 6 2 2" xfId="853" xr:uid="{00000000-0005-0000-0000-000055030000}"/>
    <cellStyle name="20% - Accent6 2 6 3" xfId="854" xr:uid="{00000000-0005-0000-0000-000056030000}"/>
    <cellStyle name="20% - Accent6 2 7" xfId="855" xr:uid="{00000000-0005-0000-0000-000057030000}"/>
    <cellStyle name="20% - Accent6 2 7 2" xfId="856" xr:uid="{00000000-0005-0000-0000-000058030000}"/>
    <cellStyle name="20% - Accent6 2 7 2 2" xfId="857" xr:uid="{00000000-0005-0000-0000-000059030000}"/>
    <cellStyle name="20% - Accent6 2 7 3" xfId="858" xr:uid="{00000000-0005-0000-0000-00005A030000}"/>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3" xfId="863" xr:uid="{00000000-0005-0000-0000-00005F030000}"/>
    <cellStyle name="20% - Accent6 2 8 3" xfId="864" xr:uid="{00000000-0005-0000-0000-000060030000}"/>
    <cellStyle name="20% - Accent6 2 8 3 2" xfId="865" xr:uid="{00000000-0005-0000-0000-000061030000}"/>
    <cellStyle name="20% - Accent6 2 8 4" xfId="866" xr:uid="{00000000-0005-0000-0000-000062030000}"/>
    <cellStyle name="20% - Accent6 2 9" xfId="867" xr:uid="{00000000-0005-0000-0000-000063030000}"/>
    <cellStyle name="20% - Accent6 2 9 2" xfId="868" xr:uid="{00000000-0005-0000-0000-000064030000}"/>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3" xfId="873" xr:uid="{00000000-0005-0000-0000-000069030000}"/>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3" xfId="893" xr:uid="{00000000-0005-0000-0000-00007D030000}"/>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3" xfId="898" xr:uid="{00000000-0005-0000-0000-000082030000}"/>
    <cellStyle name="20% - Accent6 5 3 3" xfId="899" xr:uid="{00000000-0005-0000-0000-000083030000}"/>
    <cellStyle name="20% - Accent6 5 3 3 2" xfId="900" xr:uid="{00000000-0005-0000-0000-000084030000}"/>
    <cellStyle name="20% - Accent6 5 3 4" xfId="901" xr:uid="{00000000-0005-0000-0000-000085030000}"/>
    <cellStyle name="20% - Accent6 5 4" xfId="902" xr:uid="{00000000-0005-0000-0000-000086030000}"/>
    <cellStyle name="20% - Accent6 5 4 2" xfId="903" xr:uid="{00000000-0005-0000-0000-000087030000}"/>
    <cellStyle name="20% - Accent6 5 5" xfId="904" xr:uid="{00000000-0005-0000-0000-000088030000}"/>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3" xfId="909" xr:uid="{00000000-0005-0000-0000-00008D030000}"/>
    <cellStyle name="20% - Accent6 6 3" xfId="910" xr:uid="{00000000-0005-0000-0000-00008E030000}"/>
    <cellStyle name="20% - Accent6 6 3 2" xfId="911" xr:uid="{00000000-0005-0000-0000-00008F030000}"/>
    <cellStyle name="20% - Accent6 6 4" xfId="912" xr:uid="{00000000-0005-0000-0000-000090030000}"/>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1" xfId="918" xr:uid="{00000000-0005-0000-0000-000096030000}"/>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3" xfId="931" xr:uid="{00000000-0005-0000-0000-0000A3030000}"/>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3" xfId="936" xr:uid="{00000000-0005-0000-0000-0000A8030000}"/>
    <cellStyle name="40% - Accent1 2 2 4 3" xfId="937" xr:uid="{00000000-0005-0000-0000-0000A9030000}"/>
    <cellStyle name="40% - Accent1 2 2 4 3 2" xfId="938" xr:uid="{00000000-0005-0000-0000-0000AA030000}"/>
    <cellStyle name="40% - Accent1 2 2 4 4" xfId="939" xr:uid="{00000000-0005-0000-0000-0000AB030000}"/>
    <cellStyle name="40% - Accent1 2 2 5" xfId="940" xr:uid="{00000000-0005-0000-0000-0000AC030000}"/>
    <cellStyle name="40% - Accent1 2 2 5 2" xfId="941" xr:uid="{00000000-0005-0000-0000-0000AD030000}"/>
    <cellStyle name="40% - Accent1 2 2 6" xfId="942" xr:uid="{00000000-0005-0000-0000-0000AE030000}"/>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3" xfId="947" xr:uid="{00000000-0005-0000-0000-0000B3030000}"/>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3" xfId="952" xr:uid="{00000000-0005-0000-0000-0000B8030000}"/>
    <cellStyle name="40% - Accent1 2 3 3 3" xfId="953" xr:uid="{00000000-0005-0000-0000-0000B9030000}"/>
    <cellStyle name="40% - Accent1 2 3 3 3 2" xfId="954" xr:uid="{00000000-0005-0000-0000-0000BA030000}"/>
    <cellStyle name="40% - Accent1 2 3 3 4" xfId="955" xr:uid="{00000000-0005-0000-0000-0000BB030000}"/>
    <cellStyle name="40% - Accent1 2 3 4" xfId="956" xr:uid="{00000000-0005-0000-0000-0000BC030000}"/>
    <cellStyle name="40% - Accent1 2 3 4 2" xfId="957" xr:uid="{00000000-0005-0000-0000-0000BD030000}"/>
    <cellStyle name="40% - Accent1 2 3 5" xfId="958" xr:uid="{00000000-0005-0000-0000-0000BE030000}"/>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3" xfId="963" xr:uid="{00000000-0005-0000-0000-0000C3030000}"/>
    <cellStyle name="40% - Accent1 2 4 3" xfId="964" xr:uid="{00000000-0005-0000-0000-0000C4030000}"/>
    <cellStyle name="40% - Accent1 2 4 3 2" xfId="965" xr:uid="{00000000-0005-0000-0000-0000C5030000}"/>
    <cellStyle name="40% - Accent1 2 4 4" xfId="966" xr:uid="{00000000-0005-0000-0000-0000C6030000}"/>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3" xfId="971" xr:uid="{00000000-0005-0000-0000-0000CB030000}"/>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3" xfId="976" xr:uid="{00000000-0005-0000-0000-0000D0030000}"/>
    <cellStyle name="40% - Accent1 2 5 3 3" xfId="977" xr:uid="{00000000-0005-0000-0000-0000D1030000}"/>
    <cellStyle name="40% - Accent1 2 5 3 3 2" xfId="978" xr:uid="{00000000-0005-0000-0000-0000D2030000}"/>
    <cellStyle name="40% - Accent1 2 5 3 4" xfId="979" xr:uid="{00000000-0005-0000-0000-0000D3030000}"/>
    <cellStyle name="40% - Accent1 2 5 4" xfId="980" xr:uid="{00000000-0005-0000-0000-0000D4030000}"/>
    <cellStyle name="40% - Accent1 2 5 4 2" xfId="981" xr:uid="{00000000-0005-0000-0000-0000D5030000}"/>
    <cellStyle name="40% - Accent1 2 5 5" xfId="982" xr:uid="{00000000-0005-0000-0000-0000D6030000}"/>
    <cellStyle name="40% - Accent1 2 6" xfId="983" xr:uid="{00000000-0005-0000-0000-0000D7030000}"/>
    <cellStyle name="40% - Accent1 2 6 2" xfId="984" xr:uid="{00000000-0005-0000-0000-0000D8030000}"/>
    <cellStyle name="40% - Accent1 2 6 2 2" xfId="985" xr:uid="{00000000-0005-0000-0000-0000D9030000}"/>
    <cellStyle name="40% - Accent1 2 6 3" xfId="986" xr:uid="{00000000-0005-0000-0000-0000DA030000}"/>
    <cellStyle name="40% - Accent1 2 7" xfId="987" xr:uid="{00000000-0005-0000-0000-0000DB030000}"/>
    <cellStyle name="40% - Accent1 2 7 2" xfId="988" xr:uid="{00000000-0005-0000-0000-0000DC030000}"/>
    <cellStyle name="40% - Accent1 2 7 2 2" xfId="989" xr:uid="{00000000-0005-0000-0000-0000DD030000}"/>
    <cellStyle name="40% - Accent1 2 7 3" xfId="990" xr:uid="{00000000-0005-0000-0000-0000DE030000}"/>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3" xfId="995" xr:uid="{00000000-0005-0000-0000-0000E3030000}"/>
    <cellStyle name="40% - Accent1 2 8 3" xfId="996" xr:uid="{00000000-0005-0000-0000-0000E4030000}"/>
    <cellStyle name="40% - Accent1 2 8 3 2" xfId="997" xr:uid="{00000000-0005-0000-0000-0000E5030000}"/>
    <cellStyle name="40% - Accent1 2 8 4" xfId="998" xr:uid="{00000000-0005-0000-0000-0000E6030000}"/>
    <cellStyle name="40% - Accent1 2 9" xfId="999" xr:uid="{00000000-0005-0000-0000-0000E7030000}"/>
    <cellStyle name="40% - Accent1 2 9 2" xfId="1000" xr:uid="{00000000-0005-0000-0000-0000E8030000}"/>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3" xfId="1005" xr:uid="{00000000-0005-0000-0000-0000ED030000}"/>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3" xfId="1025" xr:uid="{00000000-0005-0000-0000-000001040000}"/>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3" xfId="1030" xr:uid="{00000000-0005-0000-0000-000006040000}"/>
    <cellStyle name="40% - Accent1 5 3 3" xfId="1031" xr:uid="{00000000-0005-0000-0000-000007040000}"/>
    <cellStyle name="40% - Accent1 5 3 3 2" xfId="1032" xr:uid="{00000000-0005-0000-0000-000008040000}"/>
    <cellStyle name="40% - Accent1 5 3 4" xfId="1033" xr:uid="{00000000-0005-0000-0000-000009040000}"/>
    <cellStyle name="40% - Accent1 5 4" xfId="1034" xr:uid="{00000000-0005-0000-0000-00000A040000}"/>
    <cellStyle name="40% - Accent1 5 4 2" xfId="1035" xr:uid="{00000000-0005-0000-0000-00000B040000}"/>
    <cellStyle name="40% - Accent1 5 5" xfId="1036" xr:uid="{00000000-0005-0000-0000-00000C040000}"/>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3" xfId="1041" xr:uid="{00000000-0005-0000-0000-000011040000}"/>
    <cellStyle name="40% - Accent1 6 3" xfId="1042" xr:uid="{00000000-0005-0000-0000-000012040000}"/>
    <cellStyle name="40% - Accent1 6 3 2" xfId="1043" xr:uid="{00000000-0005-0000-0000-000013040000}"/>
    <cellStyle name="40% - Accent1 6 4" xfId="1044" xr:uid="{00000000-0005-0000-0000-000014040000}"/>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1" xfId="1182" xr:uid="{00000000-0005-0000-0000-00009E040000}"/>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3" xfId="1195" xr:uid="{00000000-0005-0000-0000-0000AB040000}"/>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3" xfId="1200" xr:uid="{00000000-0005-0000-0000-0000B0040000}"/>
    <cellStyle name="40% - Accent3 2 2 4 3" xfId="1201" xr:uid="{00000000-0005-0000-0000-0000B1040000}"/>
    <cellStyle name="40% - Accent3 2 2 4 3 2" xfId="1202" xr:uid="{00000000-0005-0000-0000-0000B2040000}"/>
    <cellStyle name="40% - Accent3 2 2 4 4" xfId="1203" xr:uid="{00000000-0005-0000-0000-0000B3040000}"/>
    <cellStyle name="40% - Accent3 2 2 5" xfId="1204" xr:uid="{00000000-0005-0000-0000-0000B4040000}"/>
    <cellStyle name="40% - Accent3 2 2 5 2" xfId="1205" xr:uid="{00000000-0005-0000-0000-0000B5040000}"/>
    <cellStyle name="40% - Accent3 2 2 6" xfId="1206" xr:uid="{00000000-0005-0000-0000-0000B6040000}"/>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3" xfId="1211" xr:uid="{00000000-0005-0000-0000-0000BB040000}"/>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3" xfId="1216" xr:uid="{00000000-0005-0000-0000-0000C0040000}"/>
    <cellStyle name="40% - Accent3 2 3 3 3" xfId="1217" xr:uid="{00000000-0005-0000-0000-0000C1040000}"/>
    <cellStyle name="40% - Accent3 2 3 3 3 2" xfId="1218" xr:uid="{00000000-0005-0000-0000-0000C2040000}"/>
    <cellStyle name="40% - Accent3 2 3 3 4" xfId="1219" xr:uid="{00000000-0005-0000-0000-0000C3040000}"/>
    <cellStyle name="40% - Accent3 2 3 4" xfId="1220" xr:uid="{00000000-0005-0000-0000-0000C4040000}"/>
    <cellStyle name="40% - Accent3 2 3 4 2" xfId="1221" xr:uid="{00000000-0005-0000-0000-0000C5040000}"/>
    <cellStyle name="40% - Accent3 2 3 5" xfId="1222" xr:uid="{00000000-0005-0000-0000-0000C6040000}"/>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3" xfId="1227" xr:uid="{00000000-0005-0000-0000-0000CB040000}"/>
    <cellStyle name="40% - Accent3 2 4 3" xfId="1228" xr:uid="{00000000-0005-0000-0000-0000CC040000}"/>
    <cellStyle name="40% - Accent3 2 4 3 2" xfId="1229" xr:uid="{00000000-0005-0000-0000-0000CD040000}"/>
    <cellStyle name="40% - Accent3 2 4 4" xfId="1230" xr:uid="{00000000-0005-0000-0000-0000CE040000}"/>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3" xfId="1235" xr:uid="{00000000-0005-0000-0000-0000D3040000}"/>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3" xfId="1240" xr:uid="{00000000-0005-0000-0000-0000D8040000}"/>
    <cellStyle name="40% - Accent3 2 5 3 3" xfId="1241" xr:uid="{00000000-0005-0000-0000-0000D9040000}"/>
    <cellStyle name="40% - Accent3 2 5 3 3 2" xfId="1242" xr:uid="{00000000-0005-0000-0000-0000DA040000}"/>
    <cellStyle name="40% - Accent3 2 5 3 4" xfId="1243" xr:uid="{00000000-0005-0000-0000-0000DB040000}"/>
    <cellStyle name="40% - Accent3 2 5 4" xfId="1244" xr:uid="{00000000-0005-0000-0000-0000DC040000}"/>
    <cellStyle name="40% - Accent3 2 5 4 2" xfId="1245" xr:uid="{00000000-0005-0000-0000-0000DD040000}"/>
    <cellStyle name="40% - Accent3 2 5 5" xfId="1246" xr:uid="{00000000-0005-0000-0000-0000DE040000}"/>
    <cellStyle name="40% - Accent3 2 6" xfId="1247" xr:uid="{00000000-0005-0000-0000-0000DF040000}"/>
    <cellStyle name="40% - Accent3 2 6 2" xfId="1248" xr:uid="{00000000-0005-0000-0000-0000E0040000}"/>
    <cellStyle name="40% - Accent3 2 6 2 2" xfId="1249" xr:uid="{00000000-0005-0000-0000-0000E1040000}"/>
    <cellStyle name="40% - Accent3 2 6 3" xfId="1250" xr:uid="{00000000-0005-0000-0000-0000E2040000}"/>
    <cellStyle name="40% - Accent3 2 7" xfId="1251" xr:uid="{00000000-0005-0000-0000-0000E3040000}"/>
    <cellStyle name="40% - Accent3 2 7 2" xfId="1252" xr:uid="{00000000-0005-0000-0000-0000E4040000}"/>
    <cellStyle name="40% - Accent3 2 7 2 2" xfId="1253" xr:uid="{00000000-0005-0000-0000-0000E5040000}"/>
    <cellStyle name="40% - Accent3 2 7 3" xfId="1254" xr:uid="{00000000-0005-0000-0000-0000E6040000}"/>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3" xfId="1259" xr:uid="{00000000-0005-0000-0000-0000EB040000}"/>
    <cellStyle name="40% - Accent3 2 8 3" xfId="1260" xr:uid="{00000000-0005-0000-0000-0000EC040000}"/>
    <cellStyle name="40% - Accent3 2 8 3 2" xfId="1261" xr:uid="{00000000-0005-0000-0000-0000ED040000}"/>
    <cellStyle name="40% - Accent3 2 8 4" xfId="1262" xr:uid="{00000000-0005-0000-0000-0000EE040000}"/>
    <cellStyle name="40% - Accent3 2 9" xfId="1263" xr:uid="{00000000-0005-0000-0000-0000EF040000}"/>
    <cellStyle name="40% - Accent3 2 9 2" xfId="1264" xr:uid="{00000000-0005-0000-0000-0000F0040000}"/>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3" xfId="1269" xr:uid="{00000000-0005-0000-0000-0000F5040000}"/>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3" xfId="1289" xr:uid="{00000000-0005-0000-0000-000009050000}"/>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3" xfId="1294" xr:uid="{00000000-0005-0000-0000-00000E050000}"/>
    <cellStyle name="40% - Accent3 5 3 3" xfId="1295" xr:uid="{00000000-0005-0000-0000-00000F050000}"/>
    <cellStyle name="40% - Accent3 5 3 3 2" xfId="1296" xr:uid="{00000000-0005-0000-0000-000010050000}"/>
    <cellStyle name="40% - Accent3 5 3 4" xfId="1297" xr:uid="{00000000-0005-0000-0000-000011050000}"/>
    <cellStyle name="40% - Accent3 5 4" xfId="1298" xr:uid="{00000000-0005-0000-0000-000012050000}"/>
    <cellStyle name="40% - Accent3 5 4 2" xfId="1299" xr:uid="{00000000-0005-0000-0000-000013050000}"/>
    <cellStyle name="40% - Accent3 5 5" xfId="1300" xr:uid="{00000000-0005-0000-0000-000014050000}"/>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3" xfId="1305" xr:uid="{00000000-0005-0000-0000-000019050000}"/>
    <cellStyle name="40% - Accent3 6 3" xfId="1306" xr:uid="{00000000-0005-0000-0000-00001A050000}"/>
    <cellStyle name="40% - Accent3 6 3 2" xfId="1307" xr:uid="{00000000-0005-0000-0000-00001B050000}"/>
    <cellStyle name="40% - Accent3 6 4" xfId="1308" xr:uid="{00000000-0005-0000-0000-00001C050000}"/>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3" xfId="1343" xr:uid="{00000000-0005-0000-0000-00003F050000}"/>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3" xfId="1348" xr:uid="{00000000-0005-0000-0000-000044050000}"/>
    <cellStyle name="40% - Accent4 2 3 3 3" xfId="1349" xr:uid="{00000000-0005-0000-0000-000045050000}"/>
    <cellStyle name="40% - Accent4 2 3 3 3 2" xfId="1350" xr:uid="{00000000-0005-0000-0000-000046050000}"/>
    <cellStyle name="40% - Accent4 2 3 3 4" xfId="1351" xr:uid="{00000000-0005-0000-0000-000047050000}"/>
    <cellStyle name="40% - Accent4 2 3 4" xfId="1352" xr:uid="{00000000-0005-0000-0000-000048050000}"/>
    <cellStyle name="40% - Accent4 2 3 4 2" xfId="1353" xr:uid="{00000000-0005-0000-0000-000049050000}"/>
    <cellStyle name="40% - Accent4 2 3 5" xfId="1354" xr:uid="{00000000-0005-0000-0000-00004A050000}"/>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3" xfId="1359" xr:uid="{00000000-0005-0000-0000-00004F050000}"/>
    <cellStyle name="40% - Accent4 2 4 3" xfId="1360" xr:uid="{00000000-0005-0000-0000-000050050000}"/>
    <cellStyle name="40% - Accent4 2 4 3 2" xfId="1361" xr:uid="{00000000-0005-0000-0000-000051050000}"/>
    <cellStyle name="40% - Accent4 2 4 4" xfId="1362" xr:uid="{00000000-0005-0000-0000-000052050000}"/>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3" xfId="1367" xr:uid="{00000000-0005-0000-0000-00005705000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3" xfId="1372" xr:uid="{00000000-0005-0000-0000-00005C050000}"/>
    <cellStyle name="40% - Accent4 2 5 3 3" xfId="1373" xr:uid="{00000000-0005-0000-0000-00005D050000}"/>
    <cellStyle name="40% - Accent4 2 5 3 3 2" xfId="1374" xr:uid="{00000000-0005-0000-0000-00005E050000}"/>
    <cellStyle name="40% - Accent4 2 5 3 4" xfId="1375" xr:uid="{00000000-0005-0000-0000-00005F050000}"/>
    <cellStyle name="40% - Accent4 2 5 4" xfId="1376" xr:uid="{00000000-0005-0000-0000-000060050000}"/>
    <cellStyle name="40% - Accent4 2 5 4 2" xfId="1377" xr:uid="{00000000-0005-0000-0000-000061050000}"/>
    <cellStyle name="40% - Accent4 2 5 5" xfId="1378" xr:uid="{00000000-0005-0000-0000-000062050000}"/>
    <cellStyle name="40% - Accent4 2 6" xfId="1379" xr:uid="{00000000-0005-0000-0000-000063050000}"/>
    <cellStyle name="40% - Accent4 2 6 2" xfId="1380" xr:uid="{00000000-0005-0000-0000-000064050000}"/>
    <cellStyle name="40% - Accent4 2 6 2 2" xfId="1381" xr:uid="{00000000-0005-0000-0000-000065050000}"/>
    <cellStyle name="40% - Accent4 2 6 3" xfId="1382" xr:uid="{00000000-0005-0000-0000-00006605000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3" xfId="1401" xr:uid="{00000000-0005-0000-0000-000079050000}"/>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3" xfId="1437" xr:uid="{00000000-0005-0000-0000-00009D050000}"/>
    <cellStyle name="40% - Accent4 6 3" xfId="1438" xr:uid="{00000000-0005-0000-0000-00009E050000}"/>
    <cellStyle name="40% - Accent4 6 3 2" xfId="1439" xr:uid="{00000000-0005-0000-0000-00009F050000}"/>
    <cellStyle name="40% - Accent4 6 4" xfId="1440" xr:uid="{00000000-0005-0000-0000-0000A005000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1" xfId="1446" xr:uid="{00000000-0005-0000-0000-0000A6050000}"/>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3" xfId="1459" xr:uid="{00000000-0005-0000-0000-0000B3050000}"/>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3" xfId="1464" xr:uid="{00000000-0005-0000-0000-0000B8050000}"/>
    <cellStyle name="40% - Accent5 2 2 4 3" xfId="1465" xr:uid="{00000000-0005-0000-0000-0000B9050000}"/>
    <cellStyle name="40% - Accent5 2 2 4 3 2" xfId="1466" xr:uid="{00000000-0005-0000-0000-0000BA050000}"/>
    <cellStyle name="40% - Accent5 2 2 4 4" xfId="1467" xr:uid="{00000000-0005-0000-0000-0000BB050000}"/>
    <cellStyle name="40% - Accent5 2 2 5" xfId="1468" xr:uid="{00000000-0005-0000-0000-0000BC050000}"/>
    <cellStyle name="40% - Accent5 2 2 5 2" xfId="1469" xr:uid="{00000000-0005-0000-0000-0000BD050000}"/>
    <cellStyle name="40% - Accent5 2 2 6" xfId="1470" xr:uid="{00000000-0005-0000-0000-0000BE050000}"/>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3" xfId="1475" xr:uid="{00000000-0005-0000-0000-0000C3050000}"/>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3" xfId="1480" xr:uid="{00000000-0005-0000-0000-0000C8050000}"/>
    <cellStyle name="40% - Accent5 2 3 3 3" xfId="1481" xr:uid="{00000000-0005-0000-0000-0000C9050000}"/>
    <cellStyle name="40% - Accent5 2 3 3 3 2" xfId="1482" xr:uid="{00000000-0005-0000-0000-0000CA050000}"/>
    <cellStyle name="40% - Accent5 2 3 3 4" xfId="1483" xr:uid="{00000000-0005-0000-0000-0000CB050000}"/>
    <cellStyle name="40% - Accent5 2 3 4" xfId="1484" xr:uid="{00000000-0005-0000-0000-0000CC050000}"/>
    <cellStyle name="40% - Accent5 2 3 4 2" xfId="1485" xr:uid="{00000000-0005-0000-0000-0000CD050000}"/>
    <cellStyle name="40% - Accent5 2 3 5" xfId="1486" xr:uid="{00000000-0005-0000-0000-0000CE050000}"/>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3" xfId="1491" xr:uid="{00000000-0005-0000-0000-0000D3050000}"/>
    <cellStyle name="40% - Accent5 2 4 3" xfId="1492" xr:uid="{00000000-0005-0000-0000-0000D4050000}"/>
    <cellStyle name="40% - Accent5 2 4 3 2" xfId="1493" xr:uid="{00000000-0005-0000-0000-0000D5050000}"/>
    <cellStyle name="40% - Accent5 2 4 4" xfId="1494" xr:uid="{00000000-0005-0000-0000-0000D6050000}"/>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3" xfId="1499" xr:uid="{00000000-0005-0000-0000-0000DB050000}"/>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3" xfId="1504" xr:uid="{00000000-0005-0000-0000-0000E0050000}"/>
    <cellStyle name="40% - Accent5 2 5 3 3" xfId="1505" xr:uid="{00000000-0005-0000-0000-0000E1050000}"/>
    <cellStyle name="40% - Accent5 2 5 3 3 2" xfId="1506" xr:uid="{00000000-0005-0000-0000-0000E2050000}"/>
    <cellStyle name="40% - Accent5 2 5 3 4" xfId="1507" xr:uid="{00000000-0005-0000-0000-0000E3050000}"/>
    <cellStyle name="40% - Accent5 2 5 4" xfId="1508" xr:uid="{00000000-0005-0000-0000-0000E4050000}"/>
    <cellStyle name="40% - Accent5 2 5 4 2" xfId="1509" xr:uid="{00000000-0005-0000-0000-0000E5050000}"/>
    <cellStyle name="40% - Accent5 2 5 5" xfId="1510" xr:uid="{00000000-0005-0000-0000-0000E6050000}"/>
    <cellStyle name="40% - Accent5 2 6" xfId="1511" xr:uid="{00000000-0005-0000-0000-0000E7050000}"/>
    <cellStyle name="40% - Accent5 2 6 2" xfId="1512" xr:uid="{00000000-0005-0000-0000-0000E8050000}"/>
    <cellStyle name="40% - Accent5 2 6 2 2" xfId="1513" xr:uid="{00000000-0005-0000-0000-0000E9050000}"/>
    <cellStyle name="40% - Accent5 2 6 3" xfId="1514" xr:uid="{00000000-0005-0000-0000-0000EA050000}"/>
    <cellStyle name="40% - Accent5 2 7" xfId="1515" xr:uid="{00000000-0005-0000-0000-0000EB050000}"/>
    <cellStyle name="40% - Accent5 2 7 2" xfId="1516" xr:uid="{00000000-0005-0000-0000-0000EC050000}"/>
    <cellStyle name="40% - Accent5 2 7 2 2" xfId="1517" xr:uid="{00000000-0005-0000-0000-0000ED050000}"/>
    <cellStyle name="40% - Accent5 2 7 3" xfId="1518" xr:uid="{00000000-0005-0000-0000-0000EE050000}"/>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3" xfId="1523" xr:uid="{00000000-0005-0000-0000-0000F3050000}"/>
    <cellStyle name="40% - Accent5 2 8 3" xfId="1524" xr:uid="{00000000-0005-0000-0000-0000F4050000}"/>
    <cellStyle name="40% - Accent5 2 8 3 2" xfId="1525" xr:uid="{00000000-0005-0000-0000-0000F5050000}"/>
    <cellStyle name="40% - Accent5 2 8 4" xfId="1526" xr:uid="{00000000-0005-0000-0000-0000F6050000}"/>
    <cellStyle name="40% - Accent5 2 9" xfId="1527" xr:uid="{00000000-0005-0000-0000-0000F7050000}"/>
    <cellStyle name="40% - Accent5 2 9 2" xfId="1528" xr:uid="{00000000-0005-0000-0000-0000F8050000}"/>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3" xfId="1533" xr:uid="{00000000-0005-0000-0000-0000FD050000}"/>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3" xfId="1553" xr:uid="{00000000-0005-0000-0000-000011060000}"/>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3" xfId="1558" xr:uid="{00000000-0005-0000-0000-000016060000}"/>
    <cellStyle name="40% - Accent5 5 3 3" xfId="1559" xr:uid="{00000000-0005-0000-0000-000017060000}"/>
    <cellStyle name="40% - Accent5 5 3 3 2" xfId="1560" xr:uid="{00000000-0005-0000-0000-000018060000}"/>
    <cellStyle name="40% - Accent5 5 3 4" xfId="1561" xr:uid="{00000000-0005-0000-0000-000019060000}"/>
    <cellStyle name="40% - Accent5 5 4" xfId="1562" xr:uid="{00000000-0005-0000-0000-00001A060000}"/>
    <cellStyle name="40% - Accent5 5 4 2" xfId="1563" xr:uid="{00000000-0005-0000-0000-00001B060000}"/>
    <cellStyle name="40% - Accent5 5 5" xfId="1564" xr:uid="{00000000-0005-0000-0000-00001C06000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3" xfId="1569" xr:uid="{00000000-0005-0000-0000-000021060000}"/>
    <cellStyle name="40% - Accent5 6 3" xfId="1570" xr:uid="{00000000-0005-0000-0000-000022060000}"/>
    <cellStyle name="40% - Accent5 6 3 2" xfId="1571" xr:uid="{00000000-0005-0000-0000-000023060000}"/>
    <cellStyle name="40% - Accent5 6 4" xfId="1572" xr:uid="{00000000-0005-0000-0000-000024060000}"/>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1" xfId="1578" xr:uid="{00000000-0005-0000-0000-00002A060000}"/>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3" xfId="1591" xr:uid="{00000000-0005-0000-0000-00003706000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3" xfId="1596" xr:uid="{00000000-0005-0000-0000-00003C060000}"/>
    <cellStyle name="40% - Accent6 2 2 4 3" xfId="1597" xr:uid="{00000000-0005-0000-0000-00003D060000}"/>
    <cellStyle name="40% - Accent6 2 2 4 3 2" xfId="1598" xr:uid="{00000000-0005-0000-0000-00003E060000}"/>
    <cellStyle name="40% - Accent6 2 2 4 4" xfId="1599" xr:uid="{00000000-0005-0000-0000-00003F060000}"/>
    <cellStyle name="40% - Accent6 2 2 5" xfId="1600" xr:uid="{00000000-0005-0000-0000-000040060000}"/>
    <cellStyle name="40% - Accent6 2 2 5 2" xfId="1601" xr:uid="{00000000-0005-0000-0000-000041060000}"/>
    <cellStyle name="40% - Accent6 2 2 6" xfId="1602" xr:uid="{00000000-0005-0000-0000-000042060000}"/>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3" xfId="1607" xr:uid="{00000000-0005-0000-0000-000047060000}"/>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3" xfId="1612" xr:uid="{00000000-0005-0000-0000-00004C060000}"/>
    <cellStyle name="40% - Accent6 2 3 3 3" xfId="1613" xr:uid="{00000000-0005-0000-0000-00004D060000}"/>
    <cellStyle name="40% - Accent6 2 3 3 3 2" xfId="1614" xr:uid="{00000000-0005-0000-0000-00004E060000}"/>
    <cellStyle name="40% - Accent6 2 3 3 4" xfId="1615" xr:uid="{00000000-0005-0000-0000-00004F060000}"/>
    <cellStyle name="40% - Accent6 2 3 4" xfId="1616" xr:uid="{00000000-0005-0000-0000-000050060000}"/>
    <cellStyle name="40% - Accent6 2 3 4 2" xfId="1617" xr:uid="{00000000-0005-0000-0000-000051060000}"/>
    <cellStyle name="40% - Accent6 2 3 5" xfId="1618" xr:uid="{00000000-0005-0000-0000-000052060000}"/>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3" xfId="1623" xr:uid="{00000000-0005-0000-0000-000057060000}"/>
    <cellStyle name="40% - Accent6 2 4 3" xfId="1624" xr:uid="{00000000-0005-0000-0000-000058060000}"/>
    <cellStyle name="40% - Accent6 2 4 3 2" xfId="1625" xr:uid="{00000000-0005-0000-0000-000059060000}"/>
    <cellStyle name="40% - Accent6 2 4 4" xfId="1626" xr:uid="{00000000-0005-0000-0000-00005A060000}"/>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3" xfId="1631" xr:uid="{00000000-0005-0000-0000-00005F060000}"/>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3" xfId="1636" xr:uid="{00000000-0005-0000-0000-000064060000}"/>
    <cellStyle name="40% - Accent6 2 5 3 3" xfId="1637" xr:uid="{00000000-0005-0000-0000-000065060000}"/>
    <cellStyle name="40% - Accent6 2 5 3 3 2" xfId="1638" xr:uid="{00000000-0005-0000-0000-000066060000}"/>
    <cellStyle name="40% - Accent6 2 5 3 4" xfId="1639" xr:uid="{00000000-0005-0000-0000-000067060000}"/>
    <cellStyle name="40% - Accent6 2 5 4" xfId="1640" xr:uid="{00000000-0005-0000-0000-000068060000}"/>
    <cellStyle name="40% - Accent6 2 5 4 2" xfId="1641" xr:uid="{00000000-0005-0000-0000-000069060000}"/>
    <cellStyle name="40% - Accent6 2 5 5" xfId="1642" xr:uid="{00000000-0005-0000-0000-00006A060000}"/>
    <cellStyle name="40% - Accent6 2 6" xfId="1643" xr:uid="{00000000-0005-0000-0000-00006B060000}"/>
    <cellStyle name="40% - Accent6 2 6 2" xfId="1644" xr:uid="{00000000-0005-0000-0000-00006C060000}"/>
    <cellStyle name="40% - Accent6 2 6 2 2" xfId="1645" xr:uid="{00000000-0005-0000-0000-00006D060000}"/>
    <cellStyle name="40% - Accent6 2 6 3" xfId="1646" xr:uid="{00000000-0005-0000-0000-00006E060000}"/>
    <cellStyle name="40% - Accent6 2 7" xfId="1647" xr:uid="{00000000-0005-0000-0000-00006F060000}"/>
    <cellStyle name="40% - Accent6 2 7 2" xfId="1648" xr:uid="{00000000-0005-0000-0000-000070060000}"/>
    <cellStyle name="40% - Accent6 2 7 2 2" xfId="1649" xr:uid="{00000000-0005-0000-0000-000071060000}"/>
    <cellStyle name="40% - Accent6 2 7 3" xfId="1650" xr:uid="{00000000-0005-0000-0000-000072060000}"/>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3" xfId="1655" xr:uid="{00000000-0005-0000-0000-000077060000}"/>
    <cellStyle name="40% - Accent6 2 8 3" xfId="1656" xr:uid="{00000000-0005-0000-0000-000078060000}"/>
    <cellStyle name="40% - Accent6 2 8 3 2" xfId="1657" xr:uid="{00000000-0005-0000-0000-000079060000}"/>
    <cellStyle name="40% - Accent6 2 8 4" xfId="1658" xr:uid="{00000000-0005-0000-0000-00007A060000}"/>
    <cellStyle name="40% - Accent6 2 9" xfId="1659" xr:uid="{00000000-0005-0000-0000-00007B060000}"/>
    <cellStyle name="40% - Accent6 2 9 2" xfId="1660" xr:uid="{00000000-0005-0000-0000-00007C060000}"/>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3" xfId="1665" xr:uid="{00000000-0005-0000-0000-000081060000}"/>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3" xfId="1685" xr:uid="{00000000-0005-0000-0000-000095060000}"/>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3" xfId="1690" xr:uid="{00000000-0005-0000-0000-00009A060000}"/>
    <cellStyle name="40% - Accent6 5 3 3" xfId="1691" xr:uid="{00000000-0005-0000-0000-00009B060000}"/>
    <cellStyle name="40% - Accent6 5 3 3 2" xfId="1692" xr:uid="{00000000-0005-0000-0000-00009C060000}"/>
    <cellStyle name="40% - Accent6 5 3 4" xfId="1693" xr:uid="{00000000-0005-0000-0000-00009D060000}"/>
    <cellStyle name="40% - Accent6 5 4" xfId="1694" xr:uid="{00000000-0005-0000-0000-00009E060000}"/>
    <cellStyle name="40% - Accent6 5 4 2" xfId="1695" xr:uid="{00000000-0005-0000-0000-00009F060000}"/>
    <cellStyle name="40% - Accent6 5 5" xfId="1696" xr:uid="{00000000-0005-0000-0000-0000A0060000}"/>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3" xfId="1701" xr:uid="{00000000-0005-0000-0000-0000A5060000}"/>
    <cellStyle name="40% - Accent6 6 3" xfId="1702" xr:uid="{00000000-0005-0000-0000-0000A6060000}"/>
    <cellStyle name="40% - Accent6 6 3 2" xfId="1703" xr:uid="{00000000-0005-0000-0000-0000A7060000}"/>
    <cellStyle name="40% - Accent6 6 4" xfId="1704" xr:uid="{00000000-0005-0000-0000-0000A8060000}"/>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3" xfId="1720" xr:uid="{00000000-0005-0000-0000-0000B8060000}"/>
    <cellStyle name="60% - Accent1 2 3 3 2" xfId="1721" xr:uid="{00000000-0005-0000-0000-0000B9060000}"/>
    <cellStyle name="60% - Accent1 2 3 3 2 2" xfId="1722" xr:uid="{00000000-0005-0000-0000-0000BA060000}"/>
    <cellStyle name="60% - Accent1 2 3 3 3" xfId="1723" xr:uid="{00000000-0005-0000-0000-0000BB060000}"/>
    <cellStyle name="60% - Accent1 2 3 4" xfId="1724" xr:uid="{00000000-0005-0000-0000-0000BC060000}"/>
    <cellStyle name="60% - Accent1 2 4" xfId="1725" xr:uid="{00000000-0005-0000-0000-0000BD060000}"/>
    <cellStyle name="60% - Accent1 2 4 2" xfId="1726" xr:uid="{00000000-0005-0000-0000-0000BE060000}"/>
    <cellStyle name="60% - Accent1 2 4 2 2" xfId="1727" xr:uid="{00000000-0005-0000-0000-0000BF060000}"/>
    <cellStyle name="60% - Accent1 2 4 3" xfId="1728" xr:uid="{00000000-0005-0000-0000-0000C0060000}"/>
    <cellStyle name="60% - Accent1 2 5" xfId="1729" xr:uid="{00000000-0005-0000-0000-0000C1060000}"/>
    <cellStyle name="60% - Accent1 2 5 2" xfId="1730" xr:uid="{00000000-0005-0000-0000-0000C2060000}"/>
    <cellStyle name="60% - Accent1 2 5 2 2" xfId="1731" xr:uid="{00000000-0005-0000-0000-0000C3060000}"/>
    <cellStyle name="60% - Accent1 2 5 3" xfId="1732" xr:uid="{00000000-0005-0000-0000-0000C4060000}"/>
    <cellStyle name="60% - Accent1 2 5 3 2" xfId="1733" xr:uid="{00000000-0005-0000-0000-0000C5060000}"/>
    <cellStyle name="60% - Accent1 2 5 3 2 2" xfId="1734" xr:uid="{00000000-0005-0000-0000-0000C6060000}"/>
    <cellStyle name="60% - Accent1 2 5 3 3" xfId="1735" xr:uid="{00000000-0005-0000-0000-0000C7060000}"/>
    <cellStyle name="60% - Accent1 2 5 4" xfId="1736" xr:uid="{00000000-0005-0000-0000-0000C8060000}"/>
    <cellStyle name="60% - Accent1 2 6" xfId="1737" xr:uid="{00000000-0005-0000-0000-0000C9060000}"/>
    <cellStyle name="60% - Accent1 2 6 2" xfId="1738" xr:uid="{00000000-0005-0000-0000-0000CA060000}"/>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3" xfId="1749" xr:uid="{00000000-0005-0000-0000-0000D5060000}"/>
    <cellStyle name="60% - Accent1 3 2" xfId="1750" xr:uid="{00000000-0005-0000-0000-0000D6060000}"/>
    <cellStyle name="60% - Accent1 3 2 2" xfId="1751" xr:uid="{00000000-0005-0000-0000-0000D7060000}"/>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3" xfId="1778" xr:uid="{00000000-0005-0000-0000-0000F206000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3" xfId="1868" xr:uid="{00000000-0005-0000-0000-00004C070000}"/>
    <cellStyle name="60% - Accent3 2 3 3 2" xfId="1869" xr:uid="{00000000-0005-0000-0000-00004D070000}"/>
    <cellStyle name="60% - Accent3 2 3 3 2 2" xfId="1870" xr:uid="{00000000-0005-0000-0000-00004E070000}"/>
    <cellStyle name="60% - Accent3 2 3 3 3" xfId="1871" xr:uid="{00000000-0005-0000-0000-00004F070000}"/>
    <cellStyle name="60% - Accent3 2 3 4" xfId="1872" xr:uid="{00000000-0005-0000-0000-000050070000}"/>
    <cellStyle name="60% - Accent3 2 4" xfId="1873" xr:uid="{00000000-0005-0000-0000-000051070000}"/>
    <cellStyle name="60% - Accent3 2 4 2" xfId="1874" xr:uid="{00000000-0005-0000-0000-000052070000}"/>
    <cellStyle name="60% - Accent3 2 4 2 2" xfId="1875" xr:uid="{00000000-0005-0000-0000-000053070000}"/>
    <cellStyle name="60% - Accent3 2 4 3" xfId="1876" xr:uid="{00000000-0005-0000-0000-000054070000}"/>
    <cellStyle name="60% - Accent3 2 5" xfId="1877" xr:uid="{00000000-0005-0000-0000-000055070000}"/>
    <cellStyle name="60% - Accent3 2 5 2" xfId="1878" xr:uid="{00000000-0005-0000-0000-000056070000}"/>
    <cellStyle name="60% - Accent3 2 5 2 2" xfId="1879" xr:uid="{00000000-0005-0000-0000-000057070000}"/>
    <cellStyle name="60% - Accent3 2 5 3" xfId="1880" xr:uid="{00000000-0005-0000-0000-000058070000}"/>
    <cellStyle name="60% - Accent3 2 5 3 2" xfId="1881" xr:uid="{00000000-0005-0000-0000-000059070000}"/>
    <cellStyle name="60% - Accent3 2 5 3 2 2" xfId="1882" xr:uid="{00000000-0005-0000-0000-00005A070000}"/>
    <cellStyle name="60% - Accent3 2 5 3 3" xfId="1883" xr:uid="{00000000-0005-0000-0000-00005B070000}"/>
    <cellStyle name="60% - Accent3 2 5 4" xfId="1884" xr:uid="{00000000-0005-0000-0000-00005C070000}"/>
    <cellStyle name="60% - Accent3 2 6" xfId="1885" xr:uid="{00000000-0005-0000-0000-00005D070000}"/>
    <cellStyle name="60% - Accent3 2 6 2" xfId="1886" xr:uid="{00000000-0005-0000-0000-00005E070000}"/>
    <cellStyle name="60% - Accent3 2 7" xfId="1887" xr:uid="{00000000-0005-0000-0000-00005F070000}"/>
    <cellStyle name="60% - Accent3 2 7 2" xfId="1888" xr:uid="{00000000-0005-0000-0000-000060070000}"/>
    <cellStyle name="60% - Accent3 2 8" xfId="1889" xr:uid="{00000000-0005-0000-0000-000061070000}"/>
    <cellStyle name="60% - Accent3 2 8 2" xfId="1890" xr:uid="{00000000-0005-0000-0000-000062070000}"/>
    <cellStyle name="60% - Accent3 2 8 2 2" xfId="1891" xr:uid="{00000000-0005-0000-0000-000063070000}"/>
    <cellStyle name="60% - Accent3 2 8 3" xfId="1892" xr:uid="{00000000-0005-0000-0000-000064070000}"/>
    <cellStyle name="60% - Accent3 2 9" xfId="1893" xr:uid="{00000000-0005-0000-0000-000065070000}"/>
    <cellStyle name="60% - Accent3 2 9 2" xfId="1894" xr:uid="{00000000-0005-0000-0000-000066070000}"/>
    <cellStyle name="60% - Accent3 2 9 2 2" xfId="1895" xr:uid="{00000000-0005-0000-0000-000067070000}"/>
    <cellStyle name="60% - Accent3 2 9 3" xfId="1896" xr:uid="{00000000-0005-0000-0000-000068070000}"/>
    <cellStyle name="60% - Accent3 3" xfId="1897" xr:uid="{00000000-0005-0000-0000-000069070000}"/>
    <cellStyle name="60% - Accent3 3 2" xfId="1898" xr:uid="{00000000-0005-0000-0000-00006A070000}"/>
    <cellStyle name="60% - Accent3 3 2 2" xfId="1899" xr:uid="{00000000-0005-0000-0000-00006B070000}"/>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5" xfId="1915" xr:uid="{00000000-0005-0000-0000-00007B070000}"/>
    <cellStyle name="60% - Accent3 5 2" xfId="1916" xr:uid="{00000000-0005-0000-0000-00007C070000}"/>
    <cellStyle name="60% - Accent3 5 2 2" xfId="1917" xr:uid="{00000000-0005-0000-0000-00007D070000}"/>
    <cellStyle name="60% - Accent3 5 3" xfId="1918" xr:uid="{00000000-0005-0000-0000-00007E070000}"/>
    <cellStyle name="60% - Accent3 5 3 2" xfId="1919" xr:uid="{00000000-0005-0000-0000-00007F070000}"/>
    <cellStyle name="60% - Accent3 5 3 2 2" xfId="1920" xr:uid="{00000000-0005-0000-0000-000080070000}"/>
    <cellStyle name="60% - Accent3 5 3 3" xfId="1921" xr:uid="{00000000-0005-0000-0000-000081070000}"/>
    <cellStyle name="60% - Accent3 5 4" xfId="1922" xr:uid="{00000000-0005-0000-0000-000082070000}"/>
    <cellStyle name="60% - Accent3 6" xfId="1923" xr:uid="{00000000-0005-0000-0000-000083070000}"/>
    <cellStyle name="60% - Accent3 6 2" xfId="1924" xr:uid="{00000000-0005-0000-0000-000084070000}"/>
    <cellStyle name="60% - Accent3 6 2 2" xfId="1925" xr:uid="{00000000-0005-0000-0000-000085070000}"/>
    <cellStyle name="60% - Accent3 6 3" xfId="1926" xr:uid="{00000000-0005-0000-0000-000086070000}"/>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3" xfId="1942" xr:uid="{00000000-0005-0000-0000-000096070000}"/>
    <cellStyle name="60% - Accent4 2 3 3 2" xfId="1943" xr:uid="{00000000-0005-0000-0000-000097070000}"/>
    <cellStyle name="60% - Accent4 2 3 3 2 2" xfId="1944" xr:uid="{00000000-0005-0000-0000-000098070000}"/>
    <cellStyle name="60% - Accent4 2 3 3 3" xfId="1945" xr:uid="{00000000-0005-0000-0000-000099070000}"/>
    <cellStyle name="60% - Accent4 2 3 4" xfId="1946" xr:uid="{00000000-0005-0000-0000-00009A070000}"/>
    <cellStyle name="60% - Accent4 2 4" xfId="1947" xr:uid="{00000000-0005-0000-0000-00009B070000}"/>
    <cellStyle name="60% - Accent4 2 4 2" xfId="1948" xr:uid="{00000000-0005-0000-0000-00009C070000}"/>
    <cellStyle name="60% - Accent4 2 4 2 2" xfId="1949" xr:uid="{00000000-0005-0000-0000-00009D070000}"/>
    <cellStyle name="60% - Accent4 2 4 3" xfId="1950" xr:uid="{00000000-0005-0000-0000-00009E070000}"/>
    <cellStyle name="60% - Accent4 2 5" xfId="1951" xr:uid="{00000000-0005-0000-0000-00009F070000}"/>
    <cellStyle name="60% - Accent4 2 5 2" xfId="1952" xr:uid="{00000000-0005-0000-0000-0000A0070000}"/>
    <cellStyle name="60% - Accent4 2 5 2 2" xfId="1953" xr:uid="{00000000-0005-0000-0000-0000A1070000}"/>
    <cellStyle name="60% - Accent4 2 5 3" xfId="1954" xr:uid="{00000000-0005-0000-0000-0000A2070000}"/>
    <cellStyle name="60% - Accent4 2 5 3 2" xfId="1955" xr:uid="{00000000-0005-0000-0000-0000A3070000}"/>
    <cellStyle name="60% - Accent4 2 5 3 2 2" xfId="1956" xr:uid="{00000000-0005-0000-0000-0000A4070000}"/>
    <cellStyle name="60% - Accent4 2 5 3 3" xfId="1957" xr:uid="{00000000-0005-0000-0000-0000A5070000}"/>
    <cellStyle name="60% - Accent4 2 5 4" xfId="1958" xr:uid="{00000000-0005-0000-0000-0000A6070000}"/>
    <cellStyle name="60% - Accent4 2 6" xfId="1959" xr:uid="{00000000-0005-0000-0000-0000A7070000}"/>
    <cellStyle name="60% - Accent4 2 6 2" xfId="1960" xr:uid="{00000000-0005-0000-0000-0000A8070000}"/>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3" xfId="1971" xr:uid="{00000000-0005-0000-0000-0000B3070000}"/>
    <cellStyle name="60% - Accent4 3 2" xfId="1972" xr:uid="{00000000-0005-0000-0000-0000B4070000}"/>
    <cellStyle name="60% - Accent4 3 2 2" xfId="1973" xr:uid="{00000000-0005-0000-0000-0000B5070000}"/>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3" xfId="2000" xr:uid="{00000000-0005-0000-0000-0000D0070000}"/>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3" xfId="2016" xr:uid="{00000000-0005-0000-0000-0000E0070000}"/>
    <cellStyle name="60% - Accent5 2 3 3 2" xfId="2017" xr:uid="{00000000-0005-0000-0000-0000E1070000}"/>
    <cellStyle name="60% - Accent5 2 3 3 2 2" xfId="2018" xr:uid="{00000000-0005-0000-0000-0000E2070000}"/>
    <cellStyle name="60% - Accent5 2 3 3 3" xfId="2019" xr:uid="{00000000-0005-0000-0000-0000E3070000}"/>
    <cellStyle name="60% - Accent5 2 3 4" xfId="2020" xr:uid="{00000000-0005-0000-0000-0000E4070000}"/>
    <cellStyle name="60% - Accent5 2 4" xfId="2021" xr:uid="{00000000-0005-0000-0000-0000E5070000}"/>
    <cellStyle name="60% - Accent5 2 4 2" xfId="2022" xr:uid="{00000000-0005-0000-0000-0000E6070000}"/>
    <cellStyle name="60% - Accent5 2 4 2 2" xfId="2023" xr:uid="{00000000-0005-0000-0000-0000E7070000}"/>
    <cellStyle name="60% - Accent5 2 4 3" xfId="2024" xr:uid="{00000000-0005-0000-0000-0000E8070000}"/>
    <cellStyle name="60% - Accent5 2 5" xfId="2025" xr:uid="{00000000-0005-0000-0000-0000E9070000}"/>
    <cellStyle name="60% - Accent5 2 5 2" xfId="2026" xr:uid="{00000000-0005-0000-0000-0000EA070000}"/>
    <cellStyle name="60% - Accent5 2 5 2 2" xfId="2027" xr:uid="{00000000-0005-0000-0000-0000EB070000}"/>
    <cellStyle name="60% - Accent5 2 5 3" xfId="2028" xr:uid="{00000000-0005-0000-0000-0000EC070000}"/>
    <cellStyle name="60% - Accent5 2 5 3 2" xfId="2029" xr:uid="{00000000-0005-0000-0000-0000ED070000}"/>
    <cellStyle name="60% - Accent5 2 5 3 2 2" xfId="2030" xr:uid="{00000000-0005-0000-0000-0000EE070000}"/>
    <cellStyle name="60% - Accent5 2 5 3 3" xfId="2031" xr:uid="{00000000-0005-0000-0000-0000EF070000}"/>
    <cellStyle name="60% - Accent5 2 5 4" xfId="2032" xr:uid="{00000000-0005-0000-0000-0000F0070000}"/>
    <cellStyle name="60% - Accent5 2 6" xfId="2033" xr:uid="{00000000-0005-0000-0000-0000F1070000}"/>
    <cellStyle name="60% - Accent5 2 6 2" xfId="2034" xr:uid="{00000000-0005-0000-0000-0000F2070000}"/>
    <cellStyle name="60% - Accent5 2 7" xfId="2035" xr:uid="{00000000-0005-0000-0000-0000F3070000}"/>
    <cellStyle name="60% - Accent5 2 7 2" xfId="2036" xr:uid="{00000000-0005-0000-0000-0000F4070000}"/>
    <cellStyle name="60% - Accent5 2 8" xfId="2037" xr:uid="{00000000-0005-0000-0000-0000F5070000}"/>
    <cellStyle name="60% - Accent5 2 8 2" xfId="2038" xr:uid="{00000000-0005-0000-0000-0000F6070000}"/>
    <cellStyle name="60% - Accent5 2 8 2 2" xfId="2039" xr:uid="{00000000-0005-0000-0000-0000F7070000}"/>
    <cellStyle name="60% - Accent5 2 8 3" xfId="2040" xr:uid="{00000000-0005-0000-0000-0000F8070000}"/>
    <cellStyle name="60% - Accent5 2 9" xfId="2041" xr:uid="{00000000-0005-0000-0000-0000F9070000}"/>
    <cellStyle name="60% - Accent5 2 9 2" xfId="2042" xr:uid="{00000000-0005-0000-0000-0000FA070000}"/>
    <cellStyle name="60% - Accent5 2 9 2 2" xfId="2043" xr:uid="{00000000-0005-0000-0000-0000FB070000}"/>
    <cellStyle name="60% - Accent5 2 9 3" xfId="2044" xr:uid="{00000000-0005-0000-0000-0000FC070000}"/>
    <cellStyle name="60% - Accent5 3" xfId="2045" xr:uid="{00000000-0005-0000-0000-0000FD070000}"/>
    <cellStyle name="60% - Accent5 3 2" xfId="2046" xr:uid="{00000000-0005-0000-0000-0000FE070000}"/>
    <cellStyle name="60% - Accent5 3 2 2" xfId="2047" xr:uid="{00000000-0005-0000-0000-0000FF070000}"/>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5" xfId="2063" xr:uid="{00000000-0005-0000-0000-00000F080000}"/>
    <cellStyle name="60% - Accent5 5 2" xfId="2064" xr:uid="{00000000-0005-0000-0000-000010080000}"/>
    <cellStyle name="60% - Accent5 5 2 2" xfId="2065" xr:uid="{00000000-0005-0000-0000-000011080000}"/>
    <cellStyle name="60% - Accent5 5 3" xfId="2066" xr:uid="{00000000-0005-0000-0000-000012080000}"/>
    <cellStyle name="60% - Accent5 5 3 2" xfId="2067" xr:uid="{00000000-0005-0000-0000-000013080000}"/>
    <cellStyle name="60% - Accent5 5 3 2 2" xfId="2068" xr:uid="{00000000-0005-0000-0000-000014080000}"/>
    <cellStyle name="60% - Accent5 5 3 3" xfId="2069" xr:uid="{00000000-0005-0000-0000-000015080000}"/>
    <cellStyle name="60% - Accent5 5 4" xfId="2070" xr:uid="{00000000-0005-0000-0000-000016080000}"/>
    <cellStyle name="60% - Accent5 6" xfId="2071" xr:uid="{00000000-0005-0000-0000-000017080000}"/>
    <cellStyle name="60% - Accent5 6 2" xfId="2072" xr:uid="{00000000-0005-0000-0000-000018080000}"/>
    <cellStyle name="60% - Accent5 6 2 2" xfId="2073" xr:uid="{00000000-0005-0000-0000-000019080000}"/>
    <cellStyle name="60% - Accent5 6 3" xfId="2074" xr:uid="{00000000-0005-0000-0000-00001A080000}"/>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3" xfId="2090" xr:uid="{00000000-0005-0000-0000-00002A080000}"/>
    <cellStyle name="60% - Accent6 2 3 3 2" xfId="2091" xr:uid="{00000000-0005-0000-0000-00002B080000}"/>
    <cellStyle name="60% - Accent6 2 3 3 2 2" xfId="2092" xr:uid="{00000000-0005-0000-0000-00002C080000}"/>
    <cellStyle name="60% - Accent6 2 3 3 3" xfId="2093" xr:uid="{00000000-0005-0000-0000-00002D080000}"/>
    <cellStyle name="60% - Accent6 2 3 4" xfId="2094" xr:uid="{00000000-0005-0000-0000-00002E080000}"/>
    <cellStyle name="60% - Accent6 2 4" xfId="2095" xr:uid="{00000000-0005-0000-0000-00002F080000}"/>
    <cellStyle name="60% - Accent6 2 4 2" xfId="2096" xr:uid="{00000000-0005-0000-0000-000030080000}"/>
    <cellStyle name="60% - Accent6 2 4 2 2" xfId="2097" xr:uid="{00000000-0005-0000-0000-000031080000}"/>
    <cellStyle name="60% - Accent6 2 4 3" xfId="2098" xr:uid="{00000000-0005-0000-0000-000032080000}"/>
    <cellStyle name="60% - Accent6 2 5" xfId="2099" xr:uid="{00000000-0005-0000-0000-000033080000}"/>
    <cellStyle name="60% - Accent6 2 5 2" xfId="2100" xr:uid="{00000000-0005-0000-0000-000034080000}"/>
    <cellStyle name="60% - Accent6 2 5 2 2" xfId="2101" xr:uid="{00000000-0005-0000-0000-000035080000}"/>
    <cellStyle name="60% - Accent6 2 5 3" xfId="2102" xr:uid="{00000000-0005-0000-0000-000036080000}"/>
    <cellStyle name="60% - Accent6 2 5 3 2" xfId="2103" xr:uid="{00000000-0005-0000-0000-000037080000}"/>
    <cellStyle name="60% - Accent6 2 5 3 2 2" xfId="2104" xr:uid="{00000000-0005-0000-0000-000038080000}"/>
    <cellStyle name="60% - Accent6 2 5 3 3" xfId="2105" xr:uid="{00000000-0005-0000-0000-000039080000}"/>
    <cellStyle name="60% - Accent6 2 5 4" xfId="2106" xr:uid="{00000000-0005-0000-0000-00003A080000}"/>
    <cellStyle name="60% - Accent6 2 6" xfId="2107" xr:uid="{00000000-0005-0000-0000-00003B080000}"/>
    <cellStyle name="60% - Accent6 2 6 2" xfId="2108" xr:uid="{00000000-0005-0000-0000-00003C080000}"/>
    <cellStyle name="60% - Accent6 2 7" xfId="2109" xr:uid="{00000000-0005-0000-0000-00003D080000}"/>
    <cellStyle name="60% - Accent6 2 7 2" xfId="2110" xr:uid="{00000000-0005-0000-0000-00003E080000}"/>
    <cellStyle name="60% - Accent6 2 8" xfId="2111" xr:uid="{00000000-0005-0000-0000-00003F080000}"/>
    <cellStyle name="60% - Accent6 2 8 2" xfId="2112" xr:uid="{00000000-0005-0000-0000-000040080000}"/>
    <cellStyle name="60% - Accent6 2 8 2 2" xfId="2113" xr:uid="{00000000-0005-0000-0000-000041080000}"/>
    <cellStyle name="60% - Accent6 2 8 3" xfId="2114" xr:uid="{00000000-0005-0000-0000-000042080000}"/>
    <cellStyle name="60% - Accent6 2 9" xfId="2115" xr:uid="{00000000-0005-0000-0000-000043080000}"/>
    <cellStyle name="60% - Accent6 2 9 2" xfId="2116" xr:uid="{00000000-0005-0000-0000-000044080000}"/>
    <cellStyle name="60% - Accent6 2 9 2 2" xfId="2117" xr:uid="{00000000-0005-0000-0000-000045080000}"/>
    <cellStyle name="60% - Accent6 2 9 3" xfId="2118" xr:uid="{00000000-0005-0000-0000-000046080000}"/>
    <cellStyle name="60% - Accent6 3" xfId="2119" xr:uid="{00000000-0005-0000-0000-000047080000}"/>
    <cellStyle name="60% - Accent6 3 2" xfId="2120" xr:uid="{00000000-0005-0000-0000-000048080000}"/>
    <cellStyle name="60% - Accent6 3 2 2" xfId="2121" xr:uid="{00000000-0005-0000-0000-000049080000}"/>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5" xfId="2137" xr:uid="{00000000-0005-0000-0000-000059080000}"/>
    <cellStyle name="60% - Accent6 5 2" xfId="2138" xr:uid="{00000000-0005-0000-0000-00005A080000}"/>
    <cellStyle name="60% - Accent6 5 2 2" xfId="2139" xr:uid="{00000000-0005-0000-0000-00005B080000}"/>
    <cellStyle name="60% - Accent6 5 3" xfId="2140" xr:uid="{00000000-0005-0000-0000-00005C080000}"/>
    <cellStyle name="60% - Accent6 5 3 2" xfId="2141" xr:uid="{00000000-0005-0000-0000-00005D080000}"/>
    <cellStyle name="60% - Accent6 5 3 2 2" xfId="2142" xr:uid="{00000000-0005-0000-0000-00005E080000}"/>
    <cellStyle name="60% - Accent6 5 3 3" xfId="2143" xr:uid="{00000000-0005-0000-0000-00005F080000}"/>
    <cellStyle name="60% - Accent6 5 4" xfId="2144" xr:uid="{00000000-0005-0000-0000-000060080000}"/>
    <cellStyle name="60% - Accent6 6" xfId="2145" xr:uid="{00000000-0005-0000-0000-000061080000}"/>
    <cellStyle name="60% - Accent6 6 2" xfId="2146" xr:uid="{00000000-0005-0000-0000-000062080000}"/>
    <cellStyle name="60% - Accent6 6 2 2" xfId="2147" xr:uid="{00000000-0005-0000-0000-000063080000}"/>
    <cellStyle name="60% - Accent6 6 3" xfId="2148" xr:uid="{00000000-0005-0000-0000-000064080000}"/>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2" xfId="3175" xr:uid="{00000000-0005-0000-0000-0000670C0000}"/>
    <cellStyle name="Accent2 - 60% 2 2" xfId="3176" xr:uid="{00000000-0005-0000-0000-0000680C0000}"/>
    <cellStyle name="Accent2 - 60% 2 2 2" xfId="3177" xr:uid="{00000000-0005-0000-0000-0000690C0000}"/>
    <cellStyle name="Accent2 - 60% 2 3" xfId="3178" xr:uid="{00000000-0005-0000-0000-00006A0C0000}"/>
    <cellStyle name="Accent2 - 60% 2 3 2" xfId="3179" xr:uid="{00000000-0005-0000-0000-00006B0C0000}"/>
    <cellStyle name="Accent2 - 60% 2 3 2 2" xfId="3180" xr:uid="{00000000-0005-0000-0000-00006C0C0000}"/>
    <cellStyle name="Accent2 - 60% 2 3 3" xfId="3181" xr:uid="{00000000-0005-0000-0000-00006D0C0000}"/>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3" xfId="3187" xr:uid="{00000000-0005-0000-0000-0000730C0000}"/>
    <cellStyle name="Accent2 - 60% 3 2" xfId="3188" xr:uid="{00000000-0005-0000-0000-0000740C0000}"/>
    <cellStyle name="Accent2 - 60% 3 2 2" xfId="3189" xr:uid="{00000000-0005-0000-0000-0000750C0000}"/>
    <cellStyle name="Accent2 - 60% 3 3" xfId="3190" xr:uid="{00000000-0005-0000-0000-0000760C0000}"/>
    <cellStyle name="Accent2 - 60% 4" xfId="3191" xr:uid="{00000000-0005-0000-0000-0000770C0000}"/>
    <cellStyle name="Accent2 - 60% 4 2" xfId="3192" xr:uid="{00000000-0005-0000-0000-0000780C0000}"/>
    <cellStyle name="Accent2 - 60% 5" xfId="3193" xr:uid="{00000000-0005-0000-0000-0000790C0000}"/>
    <cellStyle name="Accent2 - 60% 5 2" xfId="3194" xr:uid="{00000000-0005-0000-0000-00007A0C0000}"/>
    <cellStyle name="Accent2 - 60% 6" xfId="3195" xr:uid="{00000000-0005-0000-0000-00007B0C0000}"/>
    <cellStyle name="Accent2 - 60% 6 2" xfId="3196" xr:uid="{00000000-0005-0000-0000-00007C0C0000}"/>
    <cellStyle name="Accent2 - 60% 6 2 2" xfId="3197" xr:uid="{00000000-0005-0000-0000-00007D0C0000}"/>
    <cellStyle name="Accent2 - 60% 6 3" xfId="3198" xr:uid="{00000000-0005-0000-0000-00007E0C0000}"/>
    <cellStyle name="Accent2 - 60% 7" xfId="3199" xr:uid="{00000000-0005-0000-0000-00007F0C0000}"/>
    <cellStyle name="Accent2 - 60% 7 2" xfId="3200" xr:uid="{00000000-0005-0000-0000-0000800C0000}"/>
    <cellStyle name="Accent2 - 60% 8" xfId="3201" xr:uid="{00000000-0005-0000-0000-0000810C0000}"/>
    <cellStyle name="Accent2 - 60% 8 2" xfId="3202" xr:uid="{00000000-0005-0000-0000-0000820C0000}"/>
    <cellStyle name="Accent2 - 60% 9" xfId="3203" xr:uid="{00000000-0005-0000-0000-0000830C0000}"/>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3" xfId="4003" xr:uid="{00000000-0005-0000-0000-0000A30F0000}"/>
    <cellStyle name="Accent3 - 20% 2 4 3" xfId="4004" xr:uid="{00000000-0005-0000-0000-0000A40F0000}"/>
    <cellStyle name="Accent3 - 20% 2 4 3 2" xfId="4005" xr:uid="{00000000-0005-0000-0000-0000A50F0000}"/>
    <cellStyle name="Accent3 - 20% 2 4 4" xfId="4006" xr:uid="{00000000-0005-0000-0000-0000A60F0000}"/>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3" xfId="4123" xr:uid="{00000000-0005-0000-0000-00001B100000}"/>
    <cellStyle name="Accent3 100" xfId="4124" xr:uid="{00000000-0005-0000-0000-00001C100000}"/>
    <cellStyle name="Accent3 100 2" xfId="4125" xr:uid="{00000000-0005-0000-0000-00001D100000}"/>
    <cellStyle name="Accent3 100 2 2" xfId="4126" xr:uid="{00000000-0005-0000-0000-00001E100000}"/>
    <cellStyle name="Accent3 100 3" xfId="4127" xr:uid="{00000000-0005-0000-0000-00001F100000}"/>
    <cellStyle name="Accent3 101" xfId="4128" xr:uid="{00000000-0005-0000-0000-000020100000}"/>
    <cellStyle name="Accent3 101 2" xfId="4129" xr:uid="{00000000-0005-0000-0000-000021100000}"/>
    <cellStyle name="Accent3 101 2 2" xfId="4130" xr:uid="{00000000-0005-0000-0000-000022100000}"/>
    <cellStyle name="Accent3 101 3" xfId="4131" xr:uid="{00000000-0005-0000-0000-000023100000}"/>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3" xfId="4143" xr:uid="{00000000-0005-0000-0000-00002F100000}"/>
    <cellStyle name="Accent3 106" xfId="4144" xr:uid="{00000000-0005-0000-0000-000030100000}"/>
    <cellStyle name="Accent3 106 2" xfId="4145" xr:uid="{00000000-0005-0000-0000-000031100000}"/>
    <cellStyle name="Accent3 106 2 2" xfId="4146" xr:uid="{00000000-0005-0000-0000-000032100000}"/>
    <cellStyle name="Accent3 106 3" xfId="4147" xr:uid="{00000000-0005-0000-0000-000033100000}"/>
    <cellStyle name="Accent3 107" xfId="4148" xr:uid="{00000000-0005-0000-0000-000034100000}"/>
    <cellStyle name="Accent3 107 2" xfId="4149" xr:uid="{00000000-0005-0000-0000-000035100000}"/>
    <cellStyle name="Accent3 107 2 2" xfId="4150" xr:uid="{00000000-0005-0000-0000-000036100000}"/>
    <cellStyle name="Accent3 107 3" xfId="4151" xr:uid="{00000000-0005-0000-0000-000037100000}"/>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3" xfId="4163" xr:uid="{00000000-0005-0000-0000-000043100000}"/>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3" xfId="4195" xr:uid="{00000000-0005-0000-0000-000063100000}"/>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3" xfId="4215" xr:uid="{00000000-0005-0000-0000-000077100000}"/>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3" xfId="4229" xr:uid="{00000000-0005-0000-0000-000085100000}"/>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3" xfId="4243" xr:uid="{00000000-0005-0000-0000-000093100000}"/>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3" xfId="4257" xr:uid="{00000000-0005-0000-0000-0000A1100000}"/>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3" xfId="4271" xr:uid="{00000000-0005-0000-0000-0000AF100000}"/>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3" xfId="4285" xr:uid="{00000000-0005-0000-0000-0000BD100000}"/>
    <cellStyle name="Accent3 19" xfId="4286" xr:uid="{00000000-0005-0000-0000-0000BE100000}"/>
    <cellStyle name="Accent3 19 2" xfId="4287" xr:uid="{00000000-0005-0000-0000-0000BF100000}"/>
    <cellStyle name="Accent3 19 2 2" xfId="4288" xr:uid="{00000000-0005-0000-0000-0000C0100000}"/>
    <cellStyle name="Accent3 19 3" xfId="4289" xr:uid="{00000000-0005-0000-0000-0000C1100000}"/>
    <cellStyle name="Accent3 2" xfId="4290" xr:uid="{00000000-0005-0000-0000-0000C2100000}"/>
    <cellStyle name="Accent3 2 10" xfId="4291" xr:uid="{00000000-0005-0000-0000-0000C3100000}"/>
    <cellStyle name="Accent3 2 10 2" xfId="4292" xr:uid="{00000000-0005-0000-0000-0000C4100000}"/>
    <cellStyle name="Accent3 2 11" xfId="4293" xr:uid="{00000000-0005-0000-0000-0000C5100000}"/>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3" xfId="4306" xr:uid="{00000000-0005-0000-0000-0000D2100000}"/>
    <cellStyle name="Accent3 2 3 3 2" xfId="4307" xr:uid="{00000000-0005-0000-0000-0000D3100000}"/>
    <cellStyle name="Accent3 2 3 3 2 2" xfId="4308" xr:uid="{00000000-0005-0000-0000-0000D4100000}"/>
    <cellStyle name="Accent3 2 3 3 3" xfId="4309" xr:uid="{00000000-0005-0000-0000-0000D5100000}"/>
    <cellStyle name="Accent3 2 3 4" xfId="4310" xr:uid="{00000000-0005-0000-0000-0000D6100000}"/>
    <cellStyle name="Accent3 2 4" xfId="4311" xr:uid="{00000000-0005-0000-0000-0000D7100000}"/>
    <cellStyle name="Accent3 2 4 2" xfId="4312" xr:uid="{00000000-0005-0000-0000-0000D8100000}"/>
    <cellStyle name="Accent3 2 4 2 2" xfId="4313" xr:uid="{00000000-0005-0000-0000-0000D9100000}"/>
    <cellStyle name="Accent3 2 4 3" xfId="4314" xr:uid="{00000000-0005-0000-0000-0000DA100000}"/>
    <cellStyle name="Accent3 2 5" xfId="4315" xr:uid="{00000000-0005-0000-0000-0000DB100000}"/>
    <cellStyle name="Accent3 2 5 2" xfId="4316" xr:uid="{00000000-0005-0000-0000-0000DC100000}"/>
    <cellStyle name="Accent3 2 5 2 2" xfId="4317" xr:uid="{00000000-0005-0000-0000-0000DD100000}"/>
    <cellStyle name="Accent3 2 5 3" xfId="4318" xr:uid="{00000000-0005-0000-0000-0000DE100000}"/>
    <cellStyle name="Accent3 2 5 3 2" xfId="4319" xr:uid="{00000000-0005-0000-0000-0000DF100000}"/>
    <cellStyle name="Accent3 2 5 3 2 2" xfId="4320" xr:uid="{00000000-0005-0000-0000-0000E0100000}"/>
    <cellStyle name="Accent3 2 5 3 3" xfId="4321" xr:uid="{00000000-0005-0000-0000-0000E1100000}"/>
    <cellStyle name="Accent3 2 5 4" xfId="4322" xr:uid="{00000000-0005-0000-0000-0000E2100000}"/>
    <cellStyle name="Accent3 2 6" xfId="4323" xr:uid="{00000000-0005-0000-0000-0000E3100000}"/>
    <cellStyle name="Accent3 2 6 2" xfId="4324" xr:uid="{00000000-0005-0000-0000-0000E4100000}"/>
    <cellStyle name="Accent3 2 6 2 2" xfId="4325" xr:uid="{00000000-0005-0000-0000-0000E5100000}"/>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8" xfId="4331" xr:uid="{00000000-0005-0000-0000-0000EB100000}"/>
    <cellStyle name="Accent3 2 8 2" xfId="4332" xr:uid="{00000000-0005-0000-0000-0000EC100000}"/>
    <cellStyle name="Accent3 2 8 2 2" xfId="4333" xr:uid="{00000000-0005-0000-0000-0000ED100000}"/>
    <cellStyle name="Accent3 2 8 3" xfId="4334" xr:uid="{00000000-0005-0000-0000-0000EE100000}"/>
    <cellStyle name="Accent3 2 9" xfId="4335" xr:uid="{00000000-0005-0000-0000-0000EF100000}"/>
    <cellStyle name="Accent3 2 9 2" xfId="4336" xr:uid="{00000000-0005-0000-0000-0000F0100000}"/>
    <cellStyle name="Accent3 2 9 2 2" xfId="4337" xr:uid="{00000000-0005-0000-0000-0000F1100000}"/>
    <cellStyle name="Accent3 2 9 3" xfId="4338" xr:uid="{00000000-0005-0000-0000-0000F2100000}"/>
    <cellStyle name="Accent3 20" xfId="4339" xr:uid="{00000000-0005-0000-0000-0000F3100000}"/>
    <cellStyle name="Accent3 20 2" xfId="4340" xr:uid="{00000000-0005-0000-0000-0000F4100000}"/>
    <cellStyle name="Accent3 20 2 2" xfId="4341" xr:uid="{00000000-0005-0000-0000-0000F5100000}"/>
    <cellStyle name="Accent3 20 3" xfId="4342" xr:uid="{00000000-0005-0000-0000-0000F6100000}"/>
    <cellStyle name="Accent3 21" xfId="4343" xr:uid="{00000000-0005-0000-0000-0000F7100000}"/>
    <cellStyle name="Accent3 21 2" xfId="4344" xr:uid="{00000000-0005-0000-0000-0000F8100000}"/>
    <cellStyle name="Accent3 21 2 2" xfId="4345" xr:uid="{00000000-0005-0000-0000-0000F9100000}"/>
    <cellStyle name="Accent3 21 3" xfId="4346" xr:uid="{00000000-0005-0000-0000-0000FA100000}"/>
    <cellStyle name="Accent3 22" xfId="4347" xr:uid="{00000000-0005-0000-0000-0000FB100000}"/>
    <cellStyle name="Accent3 22 2" xfId="4348" xr:uid="{00000000-0005-0000-0000-0000FC100000}"/>
    <cellStyle name="Accent3 22 2 2" xfId="4349" xr:uid="{00000000-0005-0000-0000-0000FD100000}"/>
    <cellStyle name="Accent3 22 3" xfId="4350" xr:uid="{00000000-0005-0000-0000-0000FE100000}"/>
    <cellStyle name="Accent3 23" xfId="4351" xr:uid="{00000000-0005-0000-0000-0000FF100000}"/>
    <cellStyle name="Accent3 23 2" xfId="4352" xr:uid="{00000000-0005-0000-0000-000000110000}"/>
    <cellStyle name="Accent3 23 2 2" xfId="4353" xr:uid="{00000000-0005-0000-0000-000001110000}"/>
    <cellStyle name="Accent3 23 3" xfId="4354" xr:uid="{00000000-0005-0000-0000-000002110000}"/>
    <cellStyle name="Accent3 24" xfId="4355" xr:uid="{00000000-0005-0000-0000-000003110000}"/>
    <cellStyle name="Accent3 24 2" xfId="4356" xr:uid="{00000000-0005-0000-0000-000004110000}"/>
    <cellStyle name="Accent3 24 2 2" xfId="4357" xr:uid="{00000000-0005-0000-0000-000005110000}"/>
    <cellStyle name="Accent3 24 3" xfId="4358" xr:uid="{00000000-0005-0000-0000-000006110000}"/>
    <cellStyle name="Accent3 25" xfId="4359" xr:uid="{00000000-0005-0000-0000-000007110000}"/>
    <cellStyle name="Accent3 25 2" xfId="4360" xr:uid="{00000000-0005-0000-0000-000008110000}"/>
    <cellStyle name="Accent3 25 2 2" xfId="4361" xr:uid="{00000000-0005-0000-0000-000009110000}"/>
    <cellStyle name="Accent3 25 3" xfId="4362" xr:uid="{00000000-0005-0000-0000-00000A110000}"/>
    <cellStyle name="Accent3 26" xfId="4363" xr:uid="{00000000-0005-0000-0000-00000B110000}"/>
    <cellStyle name="Accent3 26 2" xfId="4364" xr:uid="{00000000-0005-0000-0000-00000C110000}"/>
    <cellStyle name="Accent3 26 2 2" xfId="4365" xr:uid="{00000000-0005-0000-0000-00000D110000}"/>
    <cellStyle name="Accent3 26 3" xfId="4366" xr:uid="{00000000-0005-0000-0000-00000E110000}"/>
    <cellStyle name="Accent3 27" xfId="4367" xr:uid="{00000000-0005-0000-0000-00000F110000}"/>
    <cellStyle name="Accent3 27 2" xfId="4368" xr:uid="{00000000-0005-0000-0000-000010110000}"/>
    <cellStyle name="Accent3 27 2 2" xfId="4369" xr:uid="{00000000-0005-0000-0000-000011110000}"/>
    <cellStyle name="Accent3 27 3" xfId="4370" xr:uid="{00000000-0005-0000-0000-000012110000}"/>
    <cellStyle name="Accent3 28" xfId="4371" xr:uid="{00000000-0005-0000-0000-000013110000}"/>
    <cellStyle name="Accent3 28 2" xfId="4372" xr:uid="{00000000-0005-0000-0000-000014110000}"/>
    <cellStyle name="Accent3 28 2 2" xfId="4373" xr:uid="{00000000-0005-0000-0000-000015110000}"/>
    <cellStyle name="Accent3 28 3" xfId="4374" xr:uid="{00000000-0005-0000-0000-000016110000}"/>
    <cellStyle name="Accent3 29" xfId="4375" xr:uid="{00000000-0005-0000-0000-000017110000}"/>
    <cellStyle name="Accent3 29 2" xfId="4376" xr:uid="{00000000-0005-0000-0000-000018110000}"/>
    <cellStyle name="Accent3 29 2 2" xfId="4377" xr:uid="{00000000-0005-0000-0000-000019110000}"/>
    <cellStyle name="Accent3 29 3" xfId="4378" xr:uid="{00000000-0005-0000-0000-00001A11000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3" xfId="4383" xr:uid="{00000000-0005-0000-0000-00001F110000}"/>
    <cellStyle name="Accent3 3 11" xfId="4384" xr:uid="{00000000-0005-0000-0000-000020110000}"/>
    <cellStyle name="Accent3 3 11 2" xfId="4385" xr:uid="{00000000-0005-0000-0000-000021110000}"/>
    <cellStyle name="Accent3 3 12" xfId="4386" xr:uid="{00000000-0005-0000-0000-000022110000}"/>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3" xfId="4398" xr:uid="{00000000-0005-0000-0000-00002E110000}"/>
    <cellStyle name="Accent3 3 3 3 2" xfId="4399" xr:uid="{00000000-0005-0000-0000-00002F110000}"/>
    <cellStyle name="Accent3 3 3 3 2 2" xfId="4400" xr:uid="{00000000-0005-0000-0000-000030110000}"/>
    <cellStyle name="Accent3 3 3 3 3" xfId="4401" xr:uid="{00000000-0005-0000-0000-000031110000}"/>
    <cellStyle name="Accent3 3 3 4" xfId="4402" xr:uid="{00000000-0005-0000-0000-000032110000}"/>
    <cellStyle name="Accent3 3 4" xfId="4403" xr:uid="{00000000-0005-0000-0000-000033110000}"/>
    <cellStyle name="Accent3 3 4 2" xfId="4404" xr:uid="{00000000-0005-0000-0000-000034110000}"/>
    <cellStyle name="Accent3 3 4 2 2" xfId="4405" xr:uid="{00000000-0005-0000-0000-000035110000}"/>
    <cellStyle name="Accent3 3 4 3" xfId="4406" xr:uid="{00000000-0005-0000-0000-000036110000}"/>
    <cellStyle name="Accent3 3 5" xfId="4407" xr:uid="{00000000-0005-0000-0000-000037110000}"/>
    <cellStyle name="Accent3 3 5 2" xfId="4408" xr:uid="{00000000-0005-0000-0000-000038110000}"/>
    <cellStyle name="Accent3 3 5 2 2" xfId="4409" xr:uid="{00000000-0005-0000-0000-000039110000}"/>
    <cellStyle name="Accent3 3 5 3" xfId="4410" xr:uid="{00000000-0005-0000-0000-00003A110000}"/>
    <cellStyle name="Accent3 3 5 3 2" xfId="4411" xr:uid="{00000000-0005-0000-0000-00003B110000}"/>
    <cellStyle name="Accent3 3 5 3 2 2" xfId="4412" xr:uid="{00000000-0005-0000-0000-00003C110000}"/>
    <cellStyle name="Accent3 3 5 3 3" xfId="4413" xr:uid="{00000000-0005-0000-0000-00003D110000}"/>
    <cellStyle name="Accent3 3 5 4" xfId="4414" xr:uid="{00000000-0005-0000-0000-00003E110000}"/>
    <cellStyle name="Accent3 3 6" xfId="4415" xr:uid="{00000000-0005-0000-0000-00003F110000}"/>
    <cellStyle name="Accent3 3 6 2" xfId="4416" xr:uid="{00000000-0005-0000-0000-000040110000}"/>
    <cellStyle name="Accent3 3 7" xfId="4417" xr:uid="{00000000-0005-0000-0000-000041110000}"/>
    <cellStyle name="Accent3 3 7 2" xfId="4418" xr:uid="{00000000-0005-0000-0000-000042110000}"/>
    <cellStyle name="Accent3 3 8" xfId="4419" xr:uid="{00000000-0005-0000-0000-000043110000}"/>
    <cellStyle name="Accent3 3 8 2" xfId="4420" xr:uid="{00000000-0005-0000-0000-000044110000}"/>
    <cellStyle name="Accent3 3 8 2 2" xfId="4421" xr:uid="{00000000-0005-0000-0000-000045110000}"/>
    <cellStyle name="Accent3 3 8 3" xfId="4422" xr:uid="{00000000-0005-0000-0000-000046110000}"/>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3" xfId="4430" xr:uid="{00000000-0005-0000-0000-00004E110000}"/>
    <cellStyle name="Accent3 31" xfId="4431" xr:uid="{00000000-0005-0000-0000-00004F110000}"/>
    <cellStyle name="Accent3 31 2" xfId="4432" xr:uid="{00000000-0005-0000-0000-000050110000}"/>
    <cellStyle name="Accent3 31 2 2" xfId="4433" xr:uid="{00000000-0005-0000-0000-000051110000}"/>
    <cellStyle name="Accent3 31 3" xfId="4434" xr:uid="{00000000-0005-0000-0000-000052110000}"/>
    <cellStyle name="Accent3 32" xfId="4435" xr:uid="{00000000-0005-0000-0000-000053110000}"/>
    <cellStyle name="Accent3 32 2" xfId="4436" xr:uid="{00000000-0005-0000-0000-000054110000}"/>
    <cellStyle name="Accent3 32 2 2" xfId="4437" xr:uid="{00000000-0005-0000-0000-000055110000}"/>
    <cellStyle name="Accent3 32 3" xfId="4438" xr:uid="{00000000-0005-0000-0000-000056110000}"/>
    <cellStyle name="Accent3 33" xfId="4439" xr:uid="{00000000-0005-0000-0000-000057110000}"/>
    <cellStyle name="Accent3 33 2" xfId="4440" xr:uid="{00000000-0005-0000-0000-000058110000}"/>
    <cellStyle name="Accent3 33 2 2" xfId="4441" xr:uid="{00000000-0005-0000-0000-000059110000}"/>
    <cellStyle name="Accent3 33 3" xfId="4442" xr:uid="{00000000-0005-0000-0000-00005A110000}"/>
    <cellStyle name="Accent3 34" xfId="4443" xr:uid="{00000000-0005-0000-0000-00005B110000}"/>
    <cellStyle name="Accent3 34 2" xfId="4444" xr:uid="{00000000-0005-0000-0000-00005C110000}"/>
    <cellStyle name="Accent3 34 2 2" xfId="4445" xr:uid="{00000000-0005-0000-0000-00005D110000}"/>
    <cellStyle name="Accent3 34 3" xfId="4446" xr:uid="{00000000-0005-0000-0000-00005E110000}"/>
    <cellStyle name="Accent3 35" xfId="4447" xr:uid="{00000000-0005-0000-0000-00005F110000}"/>
    <cellStyle name="Accent3 35 2" xfId="4448" xr:uid="{00000000-0005-0000-0000-000060110000}"/>
    <cellStyle name="Accent3 35 2 2" xfId="4449" xr:uid="{00000000-0005-0000-0000-000061110000}"/>
    <cellStyle name="Accent3 35 3" xfId="4450" xr:uid="{00000000-0005-0000-0000-000062110000}"/>
    <cellStyle name="Accent3 36" xfId="4451" xr:uid="{00000000-0005-0000-0000-000063110000}"/>
    <cellStyle name="Accent3 36 2" xfId="4452" xr:uid="{00000000-0005-0000-0000-000064110000}"/>
    <cellStyle name="Accent3 36 2 2" xfId="4453" xr:uid="{00000000-0005-0000-0000-000065110000}"/>
    <cellStyle name="Accent3 36 3" xfId="4454" xr:uid="{00000000-0005-0000-0000-000066110000}"/>
    <cellStyle name="Accent3 37" xfId="4455" xr:uid="{00000000-0005-0000-0000-000067110000}"/>
    <cellStyle name="Accent3 37 2" xfId="4456" xr:uid="{00000000-0005-0000-0000-000068110000}"/>
    <cellStyle name="Accent3 37 2 2" xfId="4457" xr:uid="{00000000-0005-0000-0000-000069110000}"/>
    <cellStyle name="Accent3 37 3" xfId="4458" xr:uid="{00000000-0005-0000-0000-00006A110000}"/>
    <cellStyle name="Accent3 38" xfId="4459" xr:uid="{00000000-0005-0000-0000-00006B110000}"/>
    <cellStyle name="Accent3 38 2" xfId="4460" xr:uid="{00000000-0005-0000-0000-00006C110000}"/>
    <cellStyle name="Accent3 38 2 2" xfId="4461" xr:uid="{00000000-0005-0000-0000-00006D110000}"/>
    <cellStyle name="Accent3 38 3" xfId="4462" xr:uid="{00000000-0005-0000-0000-00006E110000}"/>
    <cellStyle name="Accent3 39" xfId="4463" xr:uid="{00000000-0005-0000-0000-00006F110000}"/>
    <cellStyle name="Accent3 39 2" xfId="4464" xr:uid="{00000000-0005-0000-0000-000070110000}"/>
    <cellStyle name="Accent3 39 2 2" xfId="4465" xr:uid="{00000000-0005-0000-0000-000071110000}"/>
    <cellStyle name="Accent3 39 3" xfId="4466" xr:uid="{00000000-0005-0000-0000-000072110000}"/>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3" xfId="4479" xr:uid="{00000000-0005-0000-0000-00007F110000}"/>
    <cellStyle name="Accent3 4 3 3 2" xfId="4480" xr:uid="{00000000-0005-0000-0000-000080110000}"/>
    <cellStyle name="Accent3 4 3 3 2 2" xfId="4481" xr:uid="{00000000-0005-0000-0000-000081110000}"/>
    <cellStyle name="Accent3 4 3 3 3" xfId="4482" xr:uid="{00000000-0005-0000-0000-000082110000}"/>
    <cellStyle name="Accent3 4 3 4" xfId="4483" xr:uid="{00000000-0005-0000-0000-000083110000}"/>
    <cellStyle name="Accent3 4 4" xfId="4484" xr:uid="{00000000-0005-0000-0000-000084110000}"/>
    <cellStyle name="Accent3 4 4 2" xfId="4485" xr:uid="{00000000-0005-0000-0000-000085110000}"/>
    <cellStyle name="Accent3 4 4 2 2" xfId="4486" xr:uid="{00000000-0005-0000-0000-000086110000}"/>
    <cellStyle name="Accent3 4 4 3" xfId="4487" xr:uid="{00000000-0005-0000-0000-000087110000}"/>
    <cellStyle name="Accent3 4 5" xfId="4488" xr:uid="{00000000-0005-0000-0000-000088110000}"/>
    <cellStyle name="Accent3 4 5 2" xfId="4489" xr:uid="{00000000-0005-0000-0000-000089110000}"/>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3" xfId="4497" xr:uid="{00000000-0005-0000-0000-000091110000}"/>
    <cellStyle name="Accent3 4 8" xfId="4498" xr:uid="{00000000-0005-0000-0000-000092110000}"/>
    <cellStyle name="Accent3 40" xfId="4499" xr:uid="{00000000-0005-0000-0000-000093110000}"/>
    <cellStyle name="Accent3 40 2" xfId="4500" xr:uid="{00000000-0005-0000-0000-000094110000}"/>
    <cellStyle name="Accent3 40 2 2" xfId="4501" xr:uid="{00000000-0005-0000-0000-000095110000}"/>
    <cellStyle name="Accent3 40 3" xfId="4502" xr:uid="{00000000-0005-0000-0000-000096110000}"/>
    <cellStyle name="Accent3 41" xfId="4503" xr:uid="{00000000-0005-0000-0000-000097110000}"/>
    <cellStyle name="Accent3 41 2" xfId="4504" xr:uid="{00000000-0005-0000-0000-000098110000}"/>
    <cellStyle name="Accent3 41 2 2" xfId="4505" xr:uid="{00000000-0005-0000-0000-000099110000}"/>
    <cellStyle name="Accent3 41 3" xfId="4506" xr:uid="{00000000-0005-0000-0000-00009A110000}"/>
    <cellStyle name="Accent3 42" xfId="4507" xr:uid="{00000000-0005-0000-0000-00009B110000}"/>
    <cellStyle name="Accent3 42 2" xfId="4508" xr:uid="{00000000-0005-0000-0000-00009C110000}"/>
    <cellStyle name="Accent3 42 2 2" xfId="4509" xr:uid="{00000000-0005-0000-0000-00009D110000}"/>
    <cellStyle name="Accent3 42 3" xfId="4510" xr:uid="{00000000-0005-0000-0000-00009E110000}"/>
    <cellStyle name="Accent3 43" xfId="4511" xr:uid="{00000000-0005-0000-0000-00009F110000}"/>
    <cellStyle name="Accent3 43 2" xfId="4512" xr:uid="{00000000-0005-0000-0000-0000A0110000}"/>
    <cellStyle name="Accent3 43 2 2" xfId="4513" xr:uid="{00000000-0005-0000-0000-0000A1110000}"/>
    <cellStyle name="Accent3 43 3" xfId="4514" xr:uid="{00000000-0005-0000-0000-0000A2110000}"/>
    <cellStyle name="Accent3 44" xfId="4515" xr:uid="{00000000-0005-0000-0000-0000A3110000}"/>
    <cellStyle name="Accent3 44 2" xfId="4516" xr:uid="{00000000-0005-0000-0000-0000A4110000}"/>
    <cellStyle name="Accent3 44 2 2" xfId="4517" xr:uid="{00000000-0005-0000-0000-0000A5110000}"/>
    <cellStyle name="Accent3 44 3" xfId="4518" xr:uid="{00000000-0005-0000-0000-0000A6110000}"/>
    <cellStyle name="Accent3 45" xfId="4519" xr:uid="{00000000-0005-0000-0000-0000A7110000}"/>
    <cellStyle name="Accent3 45 2" xfId="4520" xr:uid="{00000000-0005-0000-0000-0000A8110000}"/>
    <cellStyle name="Accent3 45 2 2" xfId="4521" xr:uid="{00000000-0005-0000-0000-0000A9110000}"/>
    <cellStyle name="Accent3 45 3" xfId="4522" xr:uid="{00000000-0005-0000-0000-0000AA110000}"/>
    <cellStyle name="Accent3 46" xfId="4523" xr:uid="{00000000-0005-0000-0000-0000AB110000}"/>
    <cellStyle name="Accent3 46 2" xfId="4524" xr:uid="{00000000-0005-0000-0000-0000AC110000}"/>
    <cellStyle name="Accent3 46 2 2" xfId="4525" xr:uid="{00000000-0005-0000-0000-0000AD110000}"/>
    <cellStyle name="Accent3 46 3" xfId="4526" xr:uid="{00000000-0005-0000-0000-0000AE110000}"/>
    <cellStyle name="Accent3 47" xfId="4527" xr:uid="{00000000-0005-0000-0000-0000AF110000}"/>
    <cellStyle name="Accent3 47 2" xfId="4528" xr:uid="{00000000-0005-0000-0000-0000B0110000}"/>
    <cellStyle name="Accent3 47 2 2" xfId="4529" xr:uid="{00000000-0005-0000-0000-0000B1110000}"/>
    <cellStyle name="Accent3 47 3" xfId="4530" xr:uid="{00000000-0005-0000-0000-0000B2110000}"/>
    <cellStyle name="Accent3 48" xfId="4531" xr:uid="{00000000-0005-0000-0000-0000B3110000}"/>
    <cellStyle name="Accent3 48 2" xfId="4532" xr:uid="{00000000-0005-0000-0000-0000B4110000}"/>
    <cellStyle name="Accent3 48 2 2" xfId="4533" xr:uid="{00000000-0005-0000-0000-0000B5110000}"/>
    <cellStyle name="Accent3 48 3" xfId="4534" xr:uid="{00000000-0005-0000-0000-0000B6110000}"/>
    <cellStyle name="Accent3 48 3 2" xfId="4535" xr:uid="{00000000-0005-0000-0000-0000B7110000}"/>
    <cellStyle name="Accent3 48 3 2 2" xfId="4536" xr:uid="{00000000-0005-0000-0000-0000B8110000}"/>
    <cellStyle name="Accent3 48 3 3" xfId="4537" xr:uid="{00000000-0005-0000-0000-0000B9110000}"/>
    <cellStyle name="Accent3 48 4" xfId="4538" xr:uid="{00000000-0005-0000-0000-0000BA110000}"/>
    <cellStyle name="Accent3 49" xfId="4539" xr:uid="{00000000-0005-0000-0000-0000BB110000}"/>
    <cellStyle name="Accent3 49 2" xfId="4540" xr:uid="{00000000-0005-0000-0000-0000BC110000}"/>
    <cellStyle name="Accent3 49 2 2" xfId="4541" xr:uid="{00000000-0005-0000-0000-0000BD110000}"/>
    <cellStyle name="Accent3 49 3" xfId="4542" xr:uid="{00000000-0005-0000-0000-0000BE110000}"/>
    <cellStyle name="Accent3 49 3 2" xfId="4543" xr:uid="{00000000-0005-0000-0000-0000BF110000}"/>
    <cellStyle name="Accent3 49 3 2 2" xfId="4544" xr:uid="{00000000-0005-0000-0000-0000C0110000}"/>
    <cellStyle name="Accent3 49 3 3" xfId="4545" xr:uid="{00000000-0005-0000-0000-0000C1110000}"/>
    <cellStyle name="Accent3 49 4" xfId="4546" xr:uid="{00000000-0005-0000-0000-0000C2110000}"/>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3" xfId="4551" xr:uid="{00000000-0005-0000-0000-0000C7110000}"/>
    <cellStyle name="Accent3 5 2 3 2" xfId="4552" xr:uid="{00000000-0005-0000-0000-0000C8110000}"/>
    <cellStyle name="Accent3 5 2 3 2 2" xfId="4553" xr:uid="{00000000-0005-0000-0000-0000C9110000}"/>
    <cellStyle name="Accent3 5 2 3 3" xfId="4554" xr:uid="{00000000-0005-0000-0000-0000CA110000}"/>
    <cellStyle name="Accent3 5 2 4" xfId="4555" xr:uid="{00000000-0005-0000-0000-0000CB110000}"/>
    <cellStyle name="Accent3 5 3" xfId="4556" xr:uid="{00000000-0005-0000-0000-0000CC110000}"/>
    <cellStyle name="Accent3 5 3 2" xfId="4557" xr:uid="{00000000-0005-0000-0000-0000CD110000}"/>
    <cellStyle name="Accent3 5 3 2 2" xfId="4558" xr:uid="{00000000-0005-0000-0000-0000CE110000}"/>
    <cellStyle name="Accent3 5 3 3" xfId="4559" xr:uid="{00000000-0005-0000-0000-0000CF110000}"/>
    <cellStyle name="Accent3 5 3 3 2" xfId="4560" xr:uid="{00000000-0005-0000-0000-0000D0110000}"/>
    <cellStyle name="Accent3 5 3 3 2 2" xfId="4561" xr:uid="{00000000-0005-0000-0000-0000D1110000}"/>
    <cellStyle name="Accent3 5 3 3 3" xfId="4562" xr:uid="{00000000-0005-0000-0000-0000D2110000}"/>
    <cellStyle name="Accent3 5 3 4" xfId="4563" xr:uid="{00000000-0005-0000-0000-0000D3110000}"/>
    <cellStyle name="Accent3 5 4" xfId="4564" xr:uid="{00000000-0005-0000-0000-0000D4110000}"/>
    <cellStyle name="Accent3 5 4 2" xfId="4565" xr:uid="{00000000-0005-0000-0000-0000D5110000}"/>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7" xfId="4572" xr:uid="{00000000-0005-0000-0000-0000DC110000}"/>
    <cellStyle name="Accent3 50" xfId="4573" xr:uid="{00000000-0005-0000-0000-0000DD110000}"/>
    <cellStyle name="Accent3 50 2" xfId="4574" xr:uid="{00000000-0005-0000-0000-0000DE110000}"/>
    <cellStyle name="Accent3 50 2 2" xfId="4575" xr:uid="{00000000-0005-0000-0000-0000DF110000}"/>
    <cellStyle name="Accent3 50 3" xfId="4576" xr:uid="{00000000-0005-0000-0000-0000E0110000}"/>
    <cellStyle name="Accent3 50 3 2" xfId="4577" xr:uid="{00000000-0005-0000-0000-0000E1110000}"/>
    <cellStyle name="Accent3 50 3 2 2" xfId="4578" xr:uid="{00000000-0005-0000-0000-0000E2110000}"/>
    <cellStyle name="Accent3 50 3 3" xfId="4579" xr:uid="{00000000-0005-0000-0000-0000E3110000}"/>
    <cellStyle name="Accent3 50 4" xfId="4580" xr:uid="{00000000-0005-0000-0000-0000E4110000}"/>
    <cellStyle name="Accent3 51" xfId="4581" xr:uid="{00000000-0005-0000-0000-0000E5110000}"/>
    <cellStyle name="Accent3 51 2" xfId="4582" xr:uid="{00000000-0005-0000-0000-0000E6110000}"/>
    <cellStyle name="Accent3 51 2 2" xfId="4583" xr:uid="{00000000-0005-0000-0000-0000E7110000}"/>
    <cellStyle name="Accent3 51 3" xfId="4584" xr:uid="{00000000-0005-0000-0000-0000E8110000}"/>
    <cellStyle name="Accent3 51 3 2" xfId="4585" xr:uid="{00000000-0005-0000-0000-0000E9110000}"/>
    <cellStyle name="Accent3 51 3 2 2" xfId="4586" xr:uid="{00000000-0005-0000-0000-0000EA110000}"/>
    <cellStyle name="Accent3 51 3 3" xfId="4587" xr:uid="{00000000-0005-0000-0000-0000EB110000}"/>
    <cellStyle name="Accent3 51 4" xfId="4588" xr:uid="{00000000-0005-0000-0000-0000EC110000}"/>
    <cellStyle name="Accent3 52" xfId="4589" xr:uid="{00000000-0005-0000-0000-0000ED110000}"/>
    <cellStyle name="Accent3 52 2" xfId="4590" xr:uid="{00000000-0005-0000-0000-0000EE110000}"/>
    <cellStyle name="Accent3 52 2 2" xfId="4591" xr:uid="{00000000-0005-0000-0000-0000EF110000}"/>
    <cellStyle name="Accent3 52 3" xfId="4592" xr:uid="{00000000-0005-0000-0000-0000F0110000}"/>
    <cellStyle name="Accent3 53" xfId="4593" xr:uid="{00000000-0005-0000-0000-0000F1110000}"/>
    <cellStyle name="Accent3 53 2" xfId="4594" xr:uid="{00000000-0005-0000-0000-0000F2110000}"/>
    <cellStyle name="Accent3 53 2 2" xfId="4595" xr:uid="{00000000-0005-0000-0000-0000F3110000}"/>
    <cellStyle name="Accent3 53 3" xfId="4596" xr:uid="{00000000-0005-0000-0000-0000F4110000}"/>
    <cellStyle name="Accent3 54" xfId="4597" xr:uid="{00000000-0005-0000-0000-0000F5110000}"/>
    <cellStyle name="Accent3 54 2" xfId="4598" xr:uid="{00000000-0005-0000-0000-0000F6110000}"/>
    <cellStyle name="Accent3 54 2 2" xfId="4599" xr:uid="{00000000-0005-0000-0000-0000F7110000}"/>
    <cellStyle name="Accent3 54 3" xfId="4600" xr:uid="{00000000-0005-0000-0000-0000F8110000}"/>
    <cellStyle name="Accent3 55" xfId="4601" xr:uid="{00000000-0005-0000-0000-0000F9110000}"/>
    <cellStyle name="Accent3 55 2" xfId="4602" xr:uid="{00000000-0005-0000-0000-0000FA110000}"/>
    <cellStyle name="Accent3 55 2 2" xfId="4603" xr:uid="{00000000-0005-0000-0000-0000FB110000}"/>
    <cellStyle name="Accent3 55 3" xfId="4604" xr:uid="{00000000-0005-0000-0000-0000FC110000}"/>
    <cellStyle name="Accent3 56" xfId="4605" xr:uid="{00000000-0005-0000-0000-0000FD110000}"/>
    <cellStyle name="Accent3 56 2" xfId="4606" xr:uid="{00000000-0005-0000-0000-0000FE110000}"/>
    <cellStyle name="Accent3 56 2 2" xfId="4607" xr:uid="{00000000-0005-0000-0000-0000FF110000}"/>
    <cellStyle name="Accent3 56 3" xfId="4608" xr:uid="{00000000-0005-0000-0000-000000120000}"/>
    <cellStyle name="Accent3 57" xfId="4609" xr:uid="{00000000-0005-0000-0000-000001120000}"/>
    <cellStyle name="Accent3 57 2" xfId="4610" xr:uid="{00000000-0005-0000-0000-000002120000}"/>
    <cellStyle name="Accent3 57 2 2" xfId="4611" xr:uid="{00000000-0005-0000-0000-000003120000}"/>
    <cellStyle name="Accent3 57 3" xfId="4612" xr:uid="{00000000-0005-0000-0000-000004120000}"/>
    <cellStyle name="Accent3 58" xfId="4613" xr:uid="{00000000-0005-0000-0000-000005120000}"/>
    <cellStyle name="Accent3 58 2" xfId="4614" xr:uid="{00000000-0005-0000-0000-000006120000}"/>
    <cellStyle name="Accent3 58 2 2" xfId="4615" xr:uid="{00000000-0005-0000-0000-000007120000}"/>
    <cellStyle name="Accent3 58 3" xfId="4616" xr:uid="{00000000-0005-0000-0000-000008120000}"/>
    <cellStyle name="Accent3 58 3 2" xfId="4617" xr:uid="{00000000-0005-0000-0000-000009120000}"/>
    <cellStyle name="Accent3 58 3 2 2" xfId="4618" xr:uid="{00000000-0005-0000-0000-00000A120000}"/>
    <cellStyle name="Accent3 58 3 3" xfId="4619" xr:uid="{00000000-0005-0000-0000-00000B120000}"/>
    <cellStyle name="Accent3 58 4" xfId="4620" xr:uid="{00000000-0005-0000-0000-00000C120000}"/>
    <cellStyle name="Accent3 59" xfId="4621" xr:uid="{00000000-0005-0000-0000-00000D120000}"/>
    <cellStyle name="Accent3 59 2" xfId="4622" xr:uid="{00000000-0005-0000-0000-00000E120000}"/>
    <cellStyle name="Accent3 59 2 2" xfId="4623" xr:uid="{00000000-0005-0000-0000-00000F120000}"/>
    <cellStyle name="Accent3 59 3" xfId="4624" xr:uid="{00000000-0005-0000-0000-000010120000}"/>
    <cellStyle name="Accent3 59 3 2" xfId="4625" xr:uid="{00000000-0005-0000-0000-000011120000}"/>
    <cellStyle name="Accent3 59 3 2 2" xfId="4626" xr:uid="{00000000-0005-0000-0000-000012120000}"/>
    <cellStyle name="Accent3 59 3 3" xfId="4627" xr:uid="{00000000-0005-0000-0000-000013120000}"/>
    <cellStyle name="Accent3 59 4" xfId="4628" xr:uid="{00000000-0005-0000-0000-000014120000}"/>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3" xfId="4633" xr:uid="{00000000-0005-0000-0000-000019120000}"/>
    <cellStyle name="Accent3 6 2 3 2" xfId="4634" xr:uid="{00000000-0005-0000-0000-00001A120000}"/>
    <cellStyle name="Accent3 6 2 3 2 2" xfId="4635" xr:uid="{00000000-0005-0000-0000-00001B120000}"/>
    <cellStyle name="Accent3 6 2 3 3" xfId="4636" xr:uid="{00000000-0005-0000-0000-00001C120000}"/>
    <cellStyle name="Accent3 6 2 4" xfId="4637" xr:uid="{00000000-0005-0000-0000-00001D120000}"/>
    <cellStyle name="Accent3 6 3" xfId="4638" xr:uid="{00000000-0005-0000-0000-00001E120000}"/>
    <cellStyle name="Accent3 6 3 2" xfId="4639" xr:uid="{00000000-0005-0000-0000-00001F120000}"/>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0" xfId="4645" xr:uid="{00000000-0005-0000-0000-000025120000}"/>
    <cellStyle name="Accent3 60 2" xfId="4646" xr:uid="{00000000-0005-0000-0000-000026120000}"/>
    <cellStyle name="Accent3 60 2 2" xfId="4647" xr:uid="{00000000-0005-0000-0000-000027120000}"/>
    <cellStyle name="Accent3 60 3" xfId="4648" xr:uid="{00000000-0005-0000-0000-000028120000}"/>
    <cellStyle name="Accent3 60 3 2" xfId="4649" xr:uid="{00000000-0005-0000-0000-000029120000}"/>
    <cellStyle name="Accent3 60 3 2 2" xfId="4650" xr:uid="{00000000-0005-0000-0000-00002A120000}"/>
    <cellStyle name="Accent3 60 3 3" xfId="4651" xr:uid="{00000000-0005-0000-0000-00002B120000}"/>
    <cellStyle name="Accent3 60 4" xfId="4652" xr:uid="{00000000-0005-0000-0000-00002C120000}"/>
    <cellStyle name="Accent3 61" xfId="4653" xr:uid="{00000000-0005-0000-0000-00002D120000}"/>
    <cellStyle name="Accent3 61 2" xfId="4654" xr:uid="{00000000-0005-0000-0000-00002E120000}"/>
    <cellStyle name="Accent3 61 2 2" xfId="4655" xr:uid="{00000000-0005-0000-0000-00002F120000}"/>
    <cellStyle name="Accent3 61 3" xfId="4656" xr:uid="{00000000-0005-0000-0000-000030120000}"/>
    <cellStyle name="Accent3 61 3 2" xfId="4657" xr:uid="{00000000-0005-0000-0000-000031120000}"/>
    <cellStyle name="Accent3 61 3 2 2" xfId="4658" xr:uid="{00000000-0005-0000-0000-000032120000}"/>
    <cellStyle name="Accent3 61 3 3" xfId="4659" xr:uid="{00000000-0005-0000-0000-000033120000}"/>
    <cellStyle name="Accent3 61 4" xfId="4660" xr:uid="{00000000-0005-0000-0000-000034120000}"/>
    <cellStyle name="Accent3 62" xfId="4661" xr:uid="{00000000-0005-0000-0000-000035120000}"/>
    <cellStyle name="Accent3 62 2" xfId="4662" xr:uid="{00000000-0005-0000-0000-000036120000}"/>
    <cellStyle name="Accent3 62 2 2" xfId="4663" xr:uid="{00000000-0005-0000-0000-000037120000}"/>
    <cellStyle name="Accent3 62 3" xfId="4664" xr:uid="{00000000-0005-0000-0000-000038120000}"/>
    <cellStyle name="Accent3 62 3 2" xfId="4665" xr:uid="{00000000-0005-0000-0000-000039120000}"/>
    <cellStyle name="Accent3 62 3 2 2" xfId="4666" xr:uid="{00000000-0005-0000-0000-00003A120000}"/>
    <cellStyle name="Accent3 62 3 3" xfId="4667" xr:uid="{00000000-0005-0000-0000-00003B120000}"/>
    <cellStyle name="Accent3 62 4" xfId="4668" xr:uid="{00000000-0005-0000-0000-00003C120000}"/>
    <cellStyle name="Accent3 63" xfId="4669" xr:uid="{00000000-0005-0000-0000-00003D120000}"/>
    <cellStyle name="Accent3 63 2" xfId="4670" xr:uid="{00000000-0005-0000-0000-00003E120000}"/>
    <cellStyle name="Accent3 63 2 2" xfId="4671" xr:uid="{00000000-0005-0000-0000-00003F120000}"/>
    <cellStyle name="Accent3 63 3" xfId="4672" xr:uid="{00000000-0005-0000-0000-000040120000}"/>
    <cellStyle name="Accent3 63 3 2" xfId="4673" xr:uid="{00000000-0005-0000-0000-000041120000}"/>
    <cellStyle name="Accent3 63 3 2 2" xfId="4674" xr:uid="{00000000-0005-0000-0000-000042120000}"/>
    <cellStyle name="Accent3 63 3 3" xfId="4675" xr:uid="{00000000-0005-0000-0000-000043120000}"/>
    <cellStyle name="Accent3 63 4" xfId="4676" xr:uid="{00000000-0005-0000-0000-000044120000}"/>
    <cellStyle name="Accent3 64" xfId="4677" xr:uid="{00000000-0005-0000-0000-000045120000}"/>
    <cellStyle name="Accent3 64 2" xfId="4678" xr:uid="{00000000-0005-0000-0000-000046120000}"/>
    <cellStyle name="Accent3 64 2 2" xfId="4679" xr:uid="{00000000-0005-0000-0000-000047120000}"/>
    <cellStyle name="Accent3 64 3" xfId="4680" xr:uid="{00000000-0005-0000-0000-000048120000}"/>
    <cellStyle name="Accent3 64 3 2" xfId="4681" xr:uid="{00000000-0005-0000-0000-000049120000}"/>
    <cellStyle name="Accent3 64 3 2 2" xfId="4682" xr:uid="{00000000-0005-0000-0000-00004A120000}"/>
    <cellStyle name="Accent3 64 3 3" xfId="4683" xr:uid="{00000000-0005-0000-0000-00004B120000}"/>
    <cellStyle name="Accent3 64 4" xfId="4684" xr:uid="{00000000-0005-0000-0000-00004C120000}"/>
    <cellStyle name="Accent3 65" xfId="4685" xr:uid="{00000000-0005-0000-0000-00004D120000}"/>
    <cellStyle name="Accent3 65 2" xfId="4686" xr:uid="{00000000-0005-0000-0000-00004E120000}"/>
    <cellStyle name="Accent3 65 2 2" xfId="4687" xr:uid="{00000000-0005-0000-0000-00004F120000}"/>
    <cellStyle name="Accent3 65 3" xfId="4688" xr:uid="{00000000-0005-0000-0000-000050120000}"/>
    <cellStyle name="Accent3 65 3 2" xfId="4689" xr:uid="{00000000-0005-0000-0000-000051120000}"/>
    <cellStyle name="Accent3 65 3 2 2" xfId="4690" xr:uid="{00000000-0005-0000-0000-000052120000}"/>
    <cellStyle name="Accent3 65 3 3" xfId="4691" xr:uid="{00000000-0005-0000-0000-000053120000}"/>
    <cellStyle name="Accent3 65 4" xfId="4692" xr:uid="{00000000-0005-0000-0000-000054120000}"/>
    <cellStyle name="Accent3 66" xfId="4693" xr:uid="{00000000-0005-0000-0000-000055120000}"/>
    <cellStyle name="Accent3 66 2" xfId="4694" xr:uid="{00000000-0005-0000-0000-000056120000}"/>
    <cellStyle name="Accent3 66 2 2" xfId="4695" xr:uid="{00000000-0005-0000-0000-000057120000}"/>
    <cellStyle name="Accent3 66 3" xfId="4696" xr:uid="{00000000-0005-0000-0000-000058120000}"/>
    <cellStyle name="Accent3 66 3 2" xfId="4697" xr:uid="{00000000-0005-0000-0000-000059120000}"/>
    <cellStyle name="Accent3 66 3 2 2" xfId="4698" xr:uid="{00000000-0005-0000-0000-00005A120000}"/>
    <cellStyle name="Accent3 66 3 3" xfId="4699" xr:uid="{00000000-0005-0000-0000-00005B120000}"/>
    <cellStyle name="Accent3 66 4" xfId="4700" xr:uid="{00000000-0005-0000-0000-00005C120000}"/>
    <cellStyle name="Accent3 67" xfId="4701" xr:uid="{00000000-0005-0000-0000-00005D120000}"/>
    <cellStyle name="Accent3 67 2" xfId="4702" xr:uid="{00000000-0005-0000-0000-00005E120000}"/>
    <cellStyle name="Accent3 67 2 2" xfId="4703" xr:uid="{00000000-0005-0000-0000-00005F120000}"/>
    <cellStyle name="Accent3 67 3" xfId="4704" xr:uid="{00000000-0005-0000-0000-000060120000}"/>
    <cellStyle name="Accent3 67 3 2" xfId="4705" xr:uid="{00000000-0005-0000-0000-000061120000}"/>
    <cellStyle name="Accent3 67 3 2 2" xfId="4706" xr:uid="{00000000-0005-0000-0000-000062120000}"/>
    <cellStyle name="Accent3 67 3 3" xfId="4707" xr:uid="{00000000-0005-0000-0000-000063120000}"/>
    <cellStyle name="Accent3 67 4" xfId="4708" xr:uid="{00000000-0005-0000-0000-000064120000}"/>
    <cellStyle name="Accent3 68" xfId="4709" xr:uid="{00000000-0005-0000-0000-000065120000}"/>
    <cellStyle name="Accent3 68 2" xfId="4710" xr:uid="{00000000-0005-0000-0000-000066120000}"/>
    <cellStyle name="Accent3 68 2 2" xfId="4711" xr:uid="{00000000-0005-0000-0000-000067120000}"/>
    <cellStyle name="Accent3 68 3" xfId="4712" xr:uid="{00000000-0005-0000-0000-000068120000}"/>
    <cellStyle name="Accent3 68 3 2" xfId="4713" xr:uid="{00000000-0005-0000-0000-000069120000}"/>
    <cellStyle name="Accent3 68 3 2 2" xfId="4714" xr:uid="{00000000-0005-0000-0000-00006A120000}"/>
    <cellStyle name="Accent3 68 3 3" xfId="4715" xr:uid="{00000000-0005-0000-0000-00006B120000}"/>
    <cellStyle name="Accent3 68 4" xfId="4716" xr:uid="{00000000-0005-0000-0000-00006C120000}"/>
    <cellStyle name="Accent3 69" xfId="4717" xr:uid="{00000000-0005-0000-0000-00006D120000}"/>
    <cellStyle name="Accent3 69 2" xfId="4718" xr:uid="{00000000-0005-0000-0000-00006E120000}"/>
    <cellStyle name="Accent3 69 2 2" xfId="4719" xr:uid="{00000000-0005-0000-0000-00006F120000}"/>
    <cellStyle name="Accent3 69 3" xfId="4720" xr:uid="{00000000-0005-0000-0000-000070120000}"/>
    <cellStyle name="Accent3 69 3 2" xfId="4721" xr:uid="{00000000-0005-0000-0000-000071120000}"/>
    <cellStyle name="Accent3 69 3 2 2" xfId="4722" xr:uid="{00000000-0005-0000-0000-000072120000}"/>
    <cellStyle name="Accent3 69 3 3" xfId="4723" xr:uid="{00000000-0005-0000-0000-000073120000}"/>
    <cellStyle name="Accent3 69 4" xfId="4724" xr:uid="{00000000-0005-0000-0000-000074120000}"/>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3" xfId="4729" xr:uid="{00000000-0005-0000-0000-000079120000}"/>
    <cellStyle name="Accent3 7 2 3 2" xfId="4730" xr:uid="{00000000-0005-0000-0000-00007A120000}"/>
    <cellStyle name="Accent3 7 2 3 2 2" xfId="4731" xr:uid="{00000000-0005-0000-0000-00007B120000}"/>
    <cellStyle name="Accent3 7 2 3 3" xfId="4732" xr:uid="{00000000-0005-0000-0000-00007C120000}"/>
    <cellStyle name="Accent3 7 2 4" xfId="4733" xr:uid="{00000000-0005-0000-0000-00007D120000}"/>
    <cellStyle name="Accent3 7 3" xfId="4734" xr:uid="{00000000-0005-0000-0000-00007E120000}"/>
    <cellStyle name="Accent3 7 3 2" xfId="4735" xr:uid="{00000000-0005-0000-0000-00007F120000}"/>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0" xfId="4741" xr:uid="{00000000-0005-0000-0000-000085120000}"/>
    <cellStyle name="Accent3 70 2" xfId="4742" xr:uid="{00000000-0005-0000-0000-000086120000}"/>
    <cellStyle name="Accent3 70 2 2" xfId="4743" xr:uid="{00000000-0005-0000-0000-000087120000}"/>
    <cellStyle name="Accent3 70 3" xfId="4744" xr:uid="{00000000-0005-0000-0000-000088120000}"/>
    <cellStyle name="Accent3 70 3 2" xfId="4745" xr:uid="{00000000-0005-0000-0000-000089120000}"/>
    <cellStyle name="Accent3 70 3 2 2" xfId="4746" xr:uid="{00000000-0005-0000-0000-00008A120000}"/>
    <cellStyle name="Accent3 70 3 3" xfId="4747" xr:uid="{00000000-0005-0000-0000-00008B120000}"/>
    <cellStyle name="Accent3 70 4" xfId="4748" xr:uid="{00000000-0005-0000-0000-00008C120000}"/>
    <cellStyle name="Accent3 71" xfId="4749" xr:uid="{00000000-0005-0000-0000-00008D120000}"/>
    <cellStyle name="Accent3 71 2" xfId="4750" xr:uid="{00000000-0005-0000-0000-00008E120000}"/>
    <cellStyle name="Accent3 71 2 2" xfId="4751" xr:uid="{00000000-0005-0000-0000-00008F120000}"/>
    <cellStyle name="Accent3 71 3" xfId="4752" xr:uid="{00000000-0005-0000-0000-000090120000}"/>
    <cellStyle name="Accent3 71 3 2" xfId="4753" xr:uid="{00000000-0005-0000-0000-000091120000}"/>
    <cellStyle name="Accent3 71 3 2 2" xfId="4754" xr:uid="{00000000-0005-0000-0000-000092120000}"/>
    <cellStyle name="Accent3 71 3 3" xfId="4755" xr:uid="{00000000-0005-0000-0000-000093120000}"/>
    <cellStyle name="Accent3 71 4" xfId="4756" xr:uid="{00000000-0005-0000-0000-000094120000}"/>
    <cellStyle name="Accent3 72" xfId="4757" xr:uid="{00000000-0005-0000-0000-000095120000}"/>
    <cellStyle name="Accent3 72 2" xfId="4758" xr:uid="{00000000-0005-0000-0000-000096120000}"/>
    <cellStyle name="Accent3 72 2 2" xfId="4759" xr:uid="{00000000-0005-0000-0000-000097120000}"/>
    <cellStyle name="Accent3 72 3" xfId="4760" xr:uid="{00000000-0005-0000-0000-000098120000}"/>
    <cellStyle name="Accent3 72 3 2" xfId="4761" xr:uid="{00000000-0005-0000-0000-000099120000}"/>
    <cellStyle name="Accent3 72 3 2 2" xfId="4762" xr:uid="{00000000-0005-0000-0000-00009A120000}"/>
    <cellStyle name="Accent3 72 3 3" xfId="4763" xr:uid="{00000000-0005-0000-0000-00009B120000}"/>
    <cellStyle name="Accent3 72 4" xfId="4764" xr:uid="{00000000-0005-0000-0000-00009C120000}"/>
    <cellStyle name="Accent3 73" xfId="4765" xr:uid="{00000000-0005-0000-0000-00009D120000}"/>
    <cellStyle name="Accent3 73 2" xfId="4766" xr:uid="{00000000-0005-0000-0000-00009E120000}"/>
    <cellStyle name="Accent3 73 2 2" xfId="4767" xr:uid="{00000000-0005-0000-0000-00009F120000}"/>
    <cellStyle name="Accent3 73 3" xfId="4768" xr:uid="{00000000-0005-0000-0000-0000A0120000}"/>
    <cellStyle name="Accent3 73 3 2" xfId="4769" xr:uid="{00000000-0005-0000-0000-0000A1120000}"/>
    <cellStyle name="Accent3 73 3 2 2" xfId="4770" xr:uid="{00000000-0005-0000-0000-0000A2120000}"/>
    <cellStyle name="Accent3 73 3 3" xfId="4771" xr:uid="{00000000-0005-0000-0000-0000A3120000}"/>
    <cellStyle name="Accent3 73 4" xfId="4772" xr:uid="{00000000-0005-0000-0000-0000A4120000}"/>
    <cellStyle name="Accent3 74" xfId="4773" xr:uid="{00000000-0005-0000-0000-0000A5120000}"/>
    <cellStyle name="Accent3 74 2" xfId="4774" xr:uid="{00000000-0005-0000-0000-0000A6120000}"/>
    <cellStyle name="Accent3 74 2 2" xfId="4775" xr:uid="{00000000-0005-0000-0000-0000A7120000}"/>
    <cellStyle name="Accent3 74 3" xfId="4776" xr:uid="{00000000-0005-0000-0000-0000A8120000}"/>
    <cellStyle name="Accent3 74 3 2" xfId="4777" xr:uid="{00000000-0005-0000-0000-0000A9120000}"/>
    <cellStyle name="Accent3 74 3 2 2" xfId="4778" xr:uid="{00000000-0005-0000-0000-0000AA120000}"/>
    <cellStyle name="Accent3 74 3 3" xfId="4779" xr:uid="{00000000-0005-0000-0000-0000AB120000}"/>
    <cellStyle name="Accent3 74 4" xfId="4780" xr:uid="{00000000-0005-0000-0000-0000AC120000}"/>
    <cellStyle name="Accent3 75" xfId="4781" xr:uid="{00000000-0005-0000-0000-0000AD120000}"/>
    <cellStyle name="Accent3 75 2" xfId="4782" xr:uid="{00000000-0005-0000-0000-0000AE120000}"/>
    <cellStyle name="Accent3 75 2 2" xfId="4783" xr:uid="{00000000-0005-0000-0000-0000AF120000}"/>
    <cellStyle name="Accent3 75 3" xfId="4784" xr:uid="{00000000-0005-0000-0000-0000B0120000}"/>
    <cellStyle name="Accent3 75 3 2" xfId="4785" xr:uid="{00000000-0005-0000-0000-0000B1120000}"/>
    <cellStyle name="Accent3 75 3 2 2" xfId="4786" xr:uid="{00000000-0005-0000-0000-0000B2120000}"/>
    <cellStyle name="Accent3 75 3 3" xfId="4787" xr:uid="{00000000-0005-0000-0000-0000B3120000}"/>
    <cellStyle name="Accent3 75 4" xfId="4788" xr:uid="{00000000-0005-0000-0000-0000B4120000}"/>
    <cellStyle name="Accent3 76" xfId="4789" xr:uid="{00000000-0005-0000-0000-0000B5120000}"/>
    <cellStyle name="Accent3 76 2" xfId="4790" xr:uid="{00000000-0005-0000-0000-0000B6120000}"/>
    <cellStyle name="Accent3 76 2 2" xfId="4791" xr:uid="{00000000-0005-0000-0000-0000B7120000}"/>
    <cellStyle name="Accent3 76 3" xfId="4792" xr:uid="{00000000-0005-0000-0000-0000B8120000}"/>
    <cellStyle name="Accent3 76 3 2" xfId="4793" xr:uid="{00000000-0005-0000-0000-0000B9120000}"/>
    <cellStyle name="Accent3 76 3 2 2" xfId="4794" xr:uid="{00000000-0005-0000-0000-0000BA120000}"/>
    <cellStyle name="Accent3 76 3 3" xfId="4795" xr:uid="{00000000-0005-0000-0000-0000BB120000}"/>
    <cellStyle name="Accent3 76 4" xfId="4796" xr:uid="{00000000-0005-0000-0000-0000BC120000}"/>
    <cellStyle name="Accent3 77" xfId="4797" xr:uid="{00000000-0005-0000-0000-0000BD120000}"/>
    <cellStyle name="Accent3 77 2" xfId="4798" xr:uid="{00000000-0005-0000-0000-0000BE120000}"/>
    <cellStyle name="Accent3 77 2 2" xfId="4799" xr:uid="{00000000-0005-0000-0000-0000BF120000}"/>
    <cellStyle name="Accent3 77 3" xfId="4800" xr:uid="{00000000-0005-0000-0000-0000C0120000}"/>
    <cellStyle name="Accent3 77 3 2" xfId="4801" xr:uid="{00000000-0005-0000-0000-0000C1120000}"/>
    <cellStyle name="Accent3 77 3 2 2" xfId="4802" xr:uid="{00000000-0005-0000-0000-0000C2120000}"/>
    <cellStyle name="Accent3 77 3 3" xfId="4803" xr:uid="{00000000-0005-0000-0000-0000C3120000}"/>
    <cellStyle name="Accent3 77 4" xfId="4804" xr:uid="{00000000-0005-0000-0000-0000C4120000}"/>
    <cellStyle name="Accent3 78" xfId="4805" xr:uid="{00000000-0005-0000-0000-0000C5120000}"/>
    <cellStyle name="Accent3 78 2" xfId="4806" xr:uid="{00000000-0005-0000-0000-0000C6120000}"/>
    <cellStyle name="Accent3 78 2 2" xfId="4807" xr:uid="{00000000-0005-0000-0000-0000C7120000}"/>
    <cellStyle name="Accent3 78 3" xfId="4808" xr:uid="{00000000-0005-0000-0000-0000C8120000}"/>
    <cellStyle name="Accent3 78 3 2" xfId="4809" xr:uid="{00000000-0005-0000-0000-0000C9120000}"/>
    <cellStyle name="Accent3 78 3 2 2" xfId="4810" xr:uid="{00000000-0005-0000-0000-0000CA120000}"/>
    <cellStyle name="Accent3 78 3 3" xfId="4811" xr:uid="{00000000-0005-0000-0000-0000CB120000}"/>
    <cellStyle name="Accent3 78 4" xfId="4812" xr:uid="{00000000-0005-0000-0000-0000CC120000}"/>
    <cellStyle name="Accent3 79" xfId="4813" xr:uid="{00000000-0005-0000-0000-0000CD120000}"/>
    <cellStyle name="Accent3 79 2" xfId="4814" xr:uid="{00000000-0005-0000-0000-0000CE120000}"/>
    <cellStyle name="Accent3 79 2 2" xfId="4815" xr:uid="{00000000-0005-0000-0000-0000CF120000}"/>
    <cellStyle name="Accent3 79 3" xfId="4816" xr:uid="{00000000-0005-0000-0000-0000D0120000}"/>
    <cellStyle name="Accent3 79 3 2" xfId="4817" xr:uid="{00000000-0005-0000-0000-0000D1120000}"/>
    <cellStyle name="Accent3 79 3 2 2" xfId="4818" xr:uid="{00000000-0005-0000-0000-0000D2120000}"/>
    <cellStyle name="Accent3 79 3 3" xfId="4819" xr:uid="{00000000-0005-0000-0000-0000D3120000}"/>
    <cellStyle name="Accent3 79 4" xfId="4820" xr:uid="{00000000-0005-0000-0000-0000D4120000}"/>
    <cellStyle name="Accent3 8" xfId="4821" xr:uid="{00000000-0005-0000-0000-0000D5120000}"/>
    <cellStyle name="Accent3 8 2" xfId="4822" xr:uid="{00000000-0005-0000-0000-0000D6120000}"/>
    <cellStyle name="Accent3 8 2 2" xfId="4823" xr:uid="{00000000-0005-0000-0000-0000D7120000}"/>
    <cellStyle name="Accent3 8 3" xfId="4824" xr:uid="{00000000-0005-0000-0000-0000D8120000}"/>
    <cellStyle name="Accent3 80" xfId="4825" xr:uid="{00000000-0005-0000-0000-0000D9120000}"/>
    <cellStyle name="Accent3 80 2" xfId="4826" xr:uid="{00000000-0005-0000-0000-0000DA120000}"/>
    <cellStyle name="Accent3 80 2 2" xfId="4827" xr:uid="{00000000-0005-0000-0000-0000DB120000}"/>
    <cellStyle name="Accent3 80 3" xfId="4828" xr:uid="{00000000-0005-0000-0000-0000DC120000}"/>
    <cellStyle name="Accent3 80 3 2" xfId="4829" xr:uid="{00000000-0005-0000-0000-0000DD120000}"/>
    <cellStyle name="Accent3 80 3 2 2" xfId="4830" xr:uid="{00000000-0005-0000-0000-0000DE120000}"/>
    <cellStyle name="Accent3 80 3 3" xfId="4831" xr:uid="{00000000-0005-0000-0000-0000DF120000}"/>
    <cellStyle name="Accent3 80 4" xfId="4832" xr:uid="{00000000-0005-0000-0000-0000E0120000}"/>
    <cellStyle name="Accent3 81" xfId="4833" xr:uid="{00000000-0005-0000-0000-0000E1120000}"/>
    <cellStyle name="Accent3 81 2" xfId="4834" xr:uid="{00000000-0005-0000-0000-0000E2120000}"/>
    <cellStyle name="Accent3 81 2 2" xfId="4835" xr:uid="{00000000-0005-0000-0000-0000E3120000}"/>
    <cellStyle name="Accent3 81 3" xfId="4836" xr:uid="{00000000-0005-0000-0000-0000E4120000}"/>
    <cellStyle name="Accent3 81 3 2" xfId="4837" xr:uid="{00000000-0005-0000-0000-0000E5120000}"/>
    <cellStyle name="Accent3 81 3 2 2" xfId="4838" xr:uid="{00000000-0005-0000-0000-0000E6120000}"/>
    <cellStyle name="Accent3 81 3 3" xfId="4839" xr:uid="{00000000-0005-0000-0000-0000E7120000}"/>
    <cellStyle name="Accent3 81 4" xfId="4840" xr:uid="{00000000-0005-0000-0000-0000E8120000}"/>
    <cellStyle name="Accent3 82" xfId="4841" xr:uid="{00000000-0005-0000-0000-0000E9120000}"/>
    <cellStyle name="Accent3 82 2" xfId="4842" xr:uid="{00000000-0005-0000-0000-0000EA120000}"/>
    <cellStyle name="Accent3 82 2 2" xfId="4843" xr:uid="{00000000-0005-0000-0000-0000EB120000}"/>
    <cellStyle name="Accent3 82 3" xfId="4844" xr:uid="{00000000-0005-0000-0000-0000EC120000}"/>
    <cellStyle name="Accent3 82 3 2" xfId="4845" xr:uid="{00000000-0005-0000-0000-0000ED120000}"/>
    <cellStyle name="Accent3 82 3 2 2" xfId="4846" xr:uid="{00000000-0005-0000-0000-0000EE120000}"/>
    <cellStyle name="Accent3 82 3 3" xfId="4847" xr:uid="{00000000-0005-0000-0000-0000EF120000}"/>
    <cellStyle name="Accent3 82 4" xfId="4848" xr:uid="{00000000-0005-0000-0000-0000F0120000}"/>
    <cellStyle name="Accent3 83" xfId="4849" xr:uid="{00000000-0005-0000-0000-0000F1120000}"/>
    <cellStyle name="Accent3 83 2" xfId="4850" xr:uid="{00000000-0005-0000-0000-0000F2120000}"/>
    <cellStyle name="Accent3 83 2 2" xfId="4851" xr:uid="{00000000-0005-0000-0000-0000F3120000}"/>
    <cellStyle name="Accent3 83 3" xfId="4852" xr:uid="{00000000-0005-0000-0000-0000F4120000}"/>
    <cellStyle name="Accent3 83 3 2" xfId="4853" xr:uid="{00000000-0005-0000-0000-0000F5120000}"/>
    <cellStyle name="Accent3 83 3 2 2" xfId="4854" xr:uid="{00000000-0005-0000-0000-0000F6120000}"/>
    <cellStyle name="Accent3 83 3 3" xfId="4855" xr:uid="{00000000-0005-0000-0000-0000F7120000}"/>
    <cellStyle name="Accent3 83 4" xfId="4856" xr:uid="{00000000-0005-0000-0000-0000F8120000}"/>
    <cellStyle name="Accent3 84" xfId="4857" xr:uid="{00000000-0005-0000-0000-0000F9120000}"/>
    <cellStyle name="Accent3 84 2" xfId="4858" xr:uid="{00000000-0005-0000-0000-0000FA120000}"/>
    <cellStyle name="Accent3 84 2 2" xfId="4859" xr:uid="{00000000-0005-0000-0000-0000FB120000}"/>
    <cellStyle name="Accent3 84 3" xfId="4860" xr:uid="{00000000-0005-0000-0000-0000FC120000}"/>
    <cellStyle name="Accent3 85" xfId="4861" xr:uid="{00000000-0005-0000-0000-0000FD120000}"/>
    <cellStyle name="Accent3 85 2" xfId="4862" xr:uid="{00000000-0005-0000-0000-0000FE120000}"/>
    <cellStyle name="Accent3 85 2 2" xfId="4863" xr:uid="{00000000-0005-0000-0000-0000FF120000}"/>
    <cellStyle name="Accent3 85 3" xfId="4864" xr:uid="{00000000-0005-0000-0000-000000130000}"/>
    <cellStyle name="Accent3 86" xfId="4865" xr:uid="{00000000-0005-0000-0000-000001130000}"/>
    <cellStyle name="Accent3 86 2" xfId="4866" xr:uid="{00000000-0005-0000-0000-000002130000}"/>
    <cellStyle name="Accent3 86 2 2" xfId="4867" xr:uid="{00000000-0005-0000-0000-000003130000}"/>
    <cellStyle name="Accent3 86 3" xfId="4868" xr:uid="{00000000-0005-0000-0000-000004130000}"/>
    <cellStyle name="Accent3 87" xfId="4869" xr:uid="{00000000-0005-0000-0000-000005130000}"/>
    <cellStyle name="Accent3 87 2" xfId="4870" xr:uid="{00000000-0005-0000-0000-000006130000}"/>
    <cellStyle name="Accent3 87 2 2" xfId="4871" xr:uid="{00000000-0005-0000-0000-000007130000}"/>
    <cellStyle name="Accent3 87 3" xfId="4872" xr:uid="{00000000-0005-0000-0000-000008130000}"/>
    <cellStyle name="Accent3 88" xfId="4873" xr:uid="{00000000-0005-0000-0000-000009130000}"/>
    <cellStyle name="Accent3 88 2" xfId="4874" xr:uid="{00000000-0005-0000-0000-00000A130000}"/>
    <cellStyle name="Accent3 88 2 2" xfId="4875" xr:uid="{00000000-0005-0000-0000-00000B130000}"/>
    <cellStyle name="Accent3 88 3" xfId="4876" xr:uid="{00000000-0005-0000-0000-00000C130000}"/>
    <cellStyle name="Accent3 89" xfId="4877" xr:uid="{00000000-0005-0000-0000-00000D130000}"/>
    <cellStyle name="Accent3 89 2" xfId="4878" xr:uid="{00000000-0005-0000-0000-00000E130000}"/>
    <cellStyle name="Accent3 89 2 2" xfId="4879" xr:uid="{00000000-0005-0000-0000-00000F130000}"/>
    <cellStyle name="Accent3 89 3" xfId="4880" xr:uid="{00000000-0005-0000-0000-000010130000}"/>
    <cellStyle name="Accent3 9" xfId="4881" xr:uid="{00000000-0005-0000-0000-000011130000}"/>
    <cellStyle name="Accent3 9 2" xfId="4882" xr:uid="{00000000-0005-0000-0000-000012130000}"/>
    <cellStyle name="Accent3 9 2 2" xfId="4883" xr:uid="{00000000-0005-0000-0000-000013130000}"/>
    <cellStyle name="Accent3 9 3" xfId="4884" xr:uid="{00000000-0005-0000-0000-000014130000}"/>
    <cellStyle name="Accent3 90" xfId="4885" xr:uid="{00000000-0005-0000-0000-000015130000}"/>
    <cellStyle name="Accent3 90 2" xfId="4886" xr:uid="{00000000-0005-0000-0000-000016130000}"/>
    <cellStyle name="Accent3 90 2 2" xfId="4887" xr:uid="{00000000-0005-0000-0000-000017130000}"/>
    <cellStyle name="Accent3 90 3" xfId="4888" xr:uid="{00000000-0005-0000-0000-000018130000}"/>
    <cellStyle name="Accent3 91" xfId="4889" xr:uid="{00000000-0005-0000-0000-000019130000}"/>
    <cellStyle name="Accent3 91 2" xfId="4890" xr:uid="{00000000-0005-0000-0000-00001A130000}"/>
    <cellStyle name="Accent3 91 2 2" xfId="4891" xr:uid="{00000000-0005-0000-0000-00001B130000}"/>
    <cellStyle name="Accent3 91 3" xfId="4892" xr:uid="{00000000-0005-0000-0000-00001C130000}"/>
    <cellStyle name="Accent3 92" xfId="4893" xr:uid="{00000000-0005-0000-0000-00001D130000}"/>
    <cellStyle name="Accent3 92 2" xfId="4894" xr:uid="{00000000-0005-0000-0000-00001E130000}"/>
    <cellStyle name="Accent3 92 2 2" xfId="4895" xr:uid="{00000000-0005-0000-0000-00001F130000}"/>
    <cellStyle name="Accent3 92 3" xfId="4896" xr:uid="{00000000-0005-0000-0000-000020130000}"/>
    <cellStyle name="Accent3 93" xfId="4897" xr:uid="{00000000-0005-0000-0000-000021130000}"/>
    <cellStyle name="Accent3 93 2" xfId="4898" xr:uid="{00000000-0005-0000-0000-000022130000}"/>
    <cellStyle name="Accent3 93 2 2" xfId="4899" xr:uid="{00000000-0005-0000-0000-000023130000}"/>
    <cellStyle name="Accent3 93 3" xfId="4900" xr:uid="{00000000-0005-0000-0000-000024130000}"/>
    <cellStyle name="Accent3 94" xfId="4901" xr:uid="{00000000-0005-0000-0000-000025130000}"/>
    <cellStyle name="Accent3 94 2" xfId="4902" xr:uid="{00000000-0005-0000-0000-000026130000}"/>
    <cellStyle name="Accent3 94 2 2" xfId="4903" xr:uid="{00000000-0005-0000-0000-000027130000}"/>
    <cellStyle name="Accent3 94 3" xfId="4904" xr:uid="{00000000-0005-0000-0000-000028130000}"/>
    <cellStyle name="Accent3 95" xfId="4905" xr:uid="{00000000-0005-0000-0000-000029130000}"/>
    <cellStyle name="Accent3 95 2" xfId="4906" xr:uid="{00000000-0005-0000-0000-00002A130000}"/>
    <cellStyle name="Accent3 95 2 2" xfId="4907" xr:uid="{00000000-0005-0000-0000-00002B130000}"/>
    <cellStyle name="Accent3 95 3" xfId="4908" xr:uid="{00000000-0005-0000-0000-00002C130000}"/>
    <cellStyle name="Accent3 96" xfId="4909" xr:uid="{00000000-0005-0000-0000-00002D130000}"/>
    <cellStyle name="Accent3 96 2" xfId="4910" xr:uid="{00000000-0005-0000-0000-00002E130000}"/>
    <cellStyle name="Accent3 96 2 2" xfId="4911" xr:uid="{00000000-0005-0000-0000-00002F130000}"/>
    <cellStyle name="Accent3 96 3" xfId="4912" xr:uid="{00000000-0005-0000-0000-000030130000}"/>
    <cellStyle name="Accent3 97" xfId="4913" xr:uid="{00000000-0005-0000-0000-000031130000}"/>
    <cellStyle name="Accent3 97 2" xfId="4914" xr:uid="{00000000-0005-0000-0000-000032130000}"/>
    <cellStyle name="Accent3 97 2 2" xfId="4915" xr:uid="{00000000-0005-0000-0000-000033130000}"/>
    <cellStyle name="Accent3 97 3" xfId="4916" xr:uid="{00000000-0005-0000-0000-000034130000}"/>
    <cellStyle name="Accent3 98" xfId="4917" xr:uid="{00000000-0005-0000-0000-000035130000}"/>
    <cellStyle name="Accent3 98 2" xfId="4918" xr:uid="{00000000-0005-0000-0000-000036130000}"/>
    <cellStyle name="Accent3 98 2 2" xfId="4919" xr:uid="{00000000-0005-0000-0000-000037130000}"/>
    <cellStyle name="Accent3 98 3" xfId="4920" xr:uid="{00000000-0005-0000-0000-000038130000}"/>
    <cellStyle name="Accent3 99" xfId="4921" xr:uid="{00000000-0005-0000-0000-000039130000}"/>
    <cellStyle name="Accent3 99 2" xfId="4922" xr:uid="{00000000-0005-0000-0000-00003A130000}"/>
    <cellStyle name="Accent3 99 2 2" xfId="4923" xr:uid="{00000000-0005-0000-0000-00003B130000}"/>
    <cellStyle name="Accent3 99 3" xfId="4924" xr:uid="{00000000-0005-0000-0000-00003C130000}"/>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3" xfId="4998" xr:uid="{00000000-0005-0000-0000-000086130000}"/>
    <cellStyle name="Accent4 - 40% 2 4 3" xfId="4999" xr:uid="{00000000-0005-0000-0000-000087130000}"/>
    <cellStyle name="Accent4 - 40% 2 4 3 2" xfId="5000" xr:uid="{00000000-0005-0000-0000-000088130000}"/>
    <cellStyle name="Accent4 - 40% 2 4 4" xfId="5001" xr:uid="{00000000-0005-0000-0000-000089130000}"/>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3" xfId="5995" xr:uid="{00000000-0005-0000-0000-00006B170000}"/>
    <cellStyle name="Accent5 101" xfId="5996" xr:uid="{00000000-0005-0000-0000-00006C170000}"/>
    <cellStyle name="Accent5 101 2" xfId="5997" xr:uid="{00000000-0005-0000-0000-00006D170000}"/>
    <cellStyle name="Accent5 101 2 2" xfId="5998" xr:uid="{00000000-0005-0000-0000-00006E170000}"/>
    <cellStyle name="Accent5 101 3" xfId="5999" xr:uid="{00000000-0005-0000-0000-00006F170000}"/>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3" xfId="6011" xr:uid="{00000000-0005-0000-0000-00007B170000}"/>
    <cellStyle name="Accent5 106" xfId="6012" xr:uid="{00000000-0005-0000-0000-00007C170000}"/>
    <cellStyle name="Accent5 106 2" xfId="6013" xr:uid="{00000000-0005-0000-0000-00007D170000}"/>
    <cellStyle name="Accent5 106 2 2" xfId="6014" xr:uid="{00000000-0005-0000-0000-00007E170000}"/>
    <cellStyle name="Accent5 106 3" xfId="6015" xr:uid="{00000000-0005-0000-0000-00007F170000}"/>
    <cellStyle name="Accent5 107" xfId="6016" xr:uid="{00000000-0005-0000-0000-000080170000}"/>
    <cellStyle name="Accent5 107 2" xfId="6017" xr:uid="{00000000-0005-0000-0000-000081170000}"/>
    <cellStyle name="Accent5 107 2 2" xfId="6018" xr:uid="{00000000-0005-0000-0000-000082170000}"/>
    <cellStyle name="Accent5 107 3" xfId="6019" xr:uid="{00000000-0005-0000-0000-000083170000}"/>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1" xfId="6161" xr:uid="{00000000-0005-0000-0000-000011180000}"/>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8" xfId="6201" xr:uid="{00000000-0005-0000-0000-000039180000}"/>
    <cellStyle name="Accent5 2 8 2" xfId="6202" xr:uid="{00000000-0005-0000-0000-00003A180000}"/>
    <cellStyle name="Accent5 2 8 2 2" xfId="6203" xr:uid="{00000000-0005-0000-0000-00003B180000}"/>
    <cellStyle name="Accent5 2 8 3" xfId="6204" xr:uid="{00000000-0005-0000-0000-00003C180000}"/>
    <cellStyle name="Accent5 2 9" xfId="6205" xr:uid="{00000000-0005-0000-0000-00003D180000}"/>
    <cellStyle name="Accent5 2 9 2" xfId="6206" xr:uid="{00000000-0005-0000-0000-00003E180000}"/>
    <cellStyle name="Accent5 2 9 2 2" xfId="6207" xr:uid="{00000000-0005-0000-0000-00003F180000}"/>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3" xfId="6253" xr:uid="{00000000-0005-0000-0000-00006D180000}"/>
    <cellStyle name="Accent5 3 11" xfId="6254" xr:uid="{00000000-0005-0000-0000-00006E180000}"/>
    <cellStyle name="Accent5 3 11 2" xfId="6255" xr:uid="{00000000-0005-0000-0000-00006F180000}"/>
    <cellStyle name="Accent5 3 12" xfId="6256" xr:uid="{00000000-0005-0000-0000-000070180000}"/>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8" xfId="6289" xr:uid="{00000000-0005-0000-0000-000091180000}"/>
    <cellStyle name="Accent5 3 8 2" xfId="6290" xr:uid="{00000000-0005-0000-0000-000092180000}"/>
    <cellStyle name="Accent5 3 8 2 2" xfId="6291" xr:uid="{00000000-0005-0000-0000-000093180000}"/>
    <cellStyle name="Accent5 3 8 3" xfId="6292" xr:uid="{00000000-0005-0000-0000-000094180000}"/>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3" xfId="6404" xr:uid="{00000000-0005-0000-0000-000004190000}"/>
    <cellStyle name="Accent5 48 3 2" xfId="6405" xr:uid="{00000000-0005-0000-0000-000005190000}"/>
    <cellStyle name="Accent5 48 3 2 2" xfId="6406" xr:uid="{00000000-0005-0000-0000-000006190000}"/>
    <cellStyle name="Accent5 48 3 3" xfId="6407" xr:uid="{00000000-0005-0000-0000-000007190000}"/>
    <cellStyle name="Accent5 48 4" xfId="6408" xr:uid="{00000000-0005-0000-0000-000008190000}"/>
    <cellStyle name="Accent5 49" xfId="6409" xr:uid="{00000000-0005-0000-0000-000009190000}"/>
    <cellStyle name="Accent5 49 2" xfId="6410" xr:uid="{00000000-0005-0000-0000-00000A190000}"/>
    <cellStyle name="Accent5 49 2 2" xfId="6411" xr:uid="{00000000-0005-0000-0000-00000B190000}"/>
    <cellStyle name="Accent5 49 3" xfId="6412" xr:uid="{00000000-0005-0000-0000-00000C190000}"/>
    <cellStyle name="Accent5 49 3 2" xfId="6413" xr:uid="{00000000-0005-0000-0000-00000D190000}"/>
    <cellStyle name="Accent5 49 3 2 2" xfId="6414" xr:uid="{00000000-0005-0000-0000-00000E190000}"/>
    <cellStyle name="Accent5 49 3 3" xfId="6415" xr:uid="{00000000-0005-0000-0000-00000F190000}"/>
    <cellStyle name="Accent5 49 4" xfId="6416" xr:uid="{00000000-0005-0000-0000-000010190000}"/>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3" xfId="6429" xr:uid="{00000000-0005-0000-0000-00001D190000}"/>
    <cellStyle name="Accent5 5 3 3 2" xfId="6430" xr:uid="{00000000-0005-0000-0000-00001E190000}"/>
    <cellStyle name="Accent5 5 3 3 2 2" xfId="6431" xr:uid="{00000000-0005-0000-0000-00001F190000}"/>
    <cellStyle name="Accent5 5 3 3 3" xfId="6432" xr:uid="{00000000-0005-0000-0000-000020190000}"/>
    <cellStyle name="Accent5 5 3 4" xfId="6433" xr:uid="{00000000-0005-0000-0000-000021190000}"/>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3" xfId="6446" xr:uid="{00000000-0005-0000-0000-00002E190000}"/>
    <cellStyle name="Accent5 50 3 2" xfId="6447" xr:uid="{00000000-0005-0000-0000-00002F190000}"/>
    <cellStyle name="Accent5 50 3 2 2" xfId="6448" xr:uid="{00000000-0005-0000-0000-000030190000}"/>
    <cellStyle name="Accent5 50 3 3" xfId="6449" xr:uid="{00000000-0005-0000-0000-000031190000}"/>
    <cellStyle name="Accent5 50 4" xfId="6450" xr:uid="{00000000-0005-0000-0000-000032190000}"/>
    <cellStyle name="Accent5 51" xfId="6451" xr:uid="{00000000-0005-0000-0000-000033190000}"/>
    <cellStyle name="Accent5 51 2" xfId="6452" xr:uid="{00000000-0005-0000-0000-000034190000}"/>
    <cellStyle name="Accent5 51 2 2" xfId="6453" xr:uid="{00000000-0005-0000-0000-000035190000}"/>
    <cellStyle name="Accent5 51 3" xfId="6454" xr:uid="{00000000-0005-0000-0000-000036190000}"/>
    <cellStyle name="Accent5 51 3 2" xfId="6455" xr:uid="{00000000-0005-0000-0000-000037190000}"/>
    <cellStyle name="Accent5 51 3 2 2" xfId="6456" xr:uid="{00000000-0005-0000-0000-000038190000}"/>
    <cellStyle name="Accent5 51 3 3" xfId="6457" xr:uid="{00000000-0005-0000-0000-000039190000}"/>
    <cellStyle name="Accent5 51 4" xfId="6458" xr:uid="{00000000-0005-0000-0000-00003A190000}"/>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3" xfId="6486" xr:uid="{00000000-0005-0000-0000-000056190000}"/>
    <cellStyle name="Accent5 58 3 2" xfId="6487" xr:uid="{00000000-0005-0000-0000-000057190000}"/>
    <cellStyle name="Accent5 58 3 2 2" xfId="6488" xr:uid="{00000000-0005-0000-0000-000058190000}"/>
    <cellStyle name="Accent5 58 3 3" xfId="6489" xr:uid="{00000000-0005-0000-0000-000059190000}"/>
    <cellStyle name="Accent5 58 4" xfId="6490" xr:uid="{00000000-0005-0000-0000-00005A190000}"/>
    <cellStyle name="Accent5 59" xfId="6491" xr:uid="{00000000-0005-0000-0000-00005B190000}"/>
    <cellStyle name="Accent5 59 2" xfId="6492" xr:uid="{00000000-0005-0000-0000-00005C190000}"/>
    <cellStyle name="Accent5 59 2 2" xfId="6493" xr:uid="{00000000-0005-0000-0000-00005D190000}"/>
    <cellStyle name="Accent5 59 3" xfId="6494" xr:uid="{00000000-0005-0000-0000-00005E190000}"/>
    <cellStyle name="Accent5 59 3 2" xfId="6495" xr:uid="{00000000-0005-0000-0000-00005F190000}"/>
    <cellStyle name="Accent5 59 3 2 2" xfId="6496" xr:uid="{00000000-0005-0000-0000-000060190000}"/>
    <cellStyle name="Accent5 59 3 3" xfId="6497" xr:uid="{00000000-0005-0000-0000-000061190000}"/>
    <cellStyle name="Accent5 59 4" xfId="6498" xr:uid="{00000000-0005-0000-0000-000062190000}"/>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3" xfId="6518" xr:uid="{00000000-0005-0000-0000-000076190000}"/>
    <cellStyle name="Accent5 60 3 2" xfId="6519" xr:uid="{00000000-0005-0000-0000-000077190000}"/>
    <cellStyle name="Accent5 60 3 2 2" xfId="6520" xr:uid="{00000000-0005-0000-0000-000078190000}"/>
    <cellStyle name="Accent5 60 3 3" xfId="6521" xr:uid="{00000000-0005-0000-0000-000079190000}"/>
    <cellStyle name="Accent5 60 4" xfId="6522" xr:uid="{00000000-0005-0000-0000-00007A190000}"/>
    <cellStyle name="Accent5 61" xfId="6523" xr:uid="{00000000-0005-0000-0000-00007B190000}"/>
    <cellStyle name="Accent5 61 2" xfId="6524" xr:uid="{00000000-0005-0000-0000-00007C190000}"/>
    <cellStyle name="Accent5 61 2 2" xfId="6525" xr:uid="{00000000-0005-0000-0000-00007D190000}"/>
    <cellStyle name="Accent5 61 3" xfId="6526" xr:uid="{00000000-0005-0000-0000-00007E190000}"/>
    <cellStyle name="Accent5 61 3 2" xfId="6527" xr:uid="{00000000-0005-0000-0000-00007F190000}"/>
    <cellStyle name="Accent5 61 3 2 2" xfId="6528" xr:uid="{00000000-0005-0000-0000-000080190000}"/>
    <cellStyle name="Accent5 61 3 3" xfId="6529" xr:uid="{00000000-0005-0000-0000-000081190000}"/>
    <cellStyle name="Accent5 61 4" xfId="6530" xr:uid="{00000000-0005-0000-0000-000082190000}"/>
    <cellStyle name="Accent5 62" xfId="6531" xr:uid="{00000000-0005-0000-0000-000083190000}"/>
    <cellStyle name="Accent5 62 2" xfId="6532" xr:uid="{00000000-0005-0000-0000-000084190000}"/>
    <cellStyle name="Accent5 62 2 2" xfId="6533" xr:uid="{00000000-0005-0000-0000-000085190000}"/>
    <cellStyle name="Accent5 62 3" xfId="6534" xr:uid="{00000000-0005-0000-0000-000086190000}"/>
    <cellStyle name="Accent5 62 3 2" xfId="6535" xr:uid="{00000000-0005-0000-0000-000087190000}"/>
    <cellStyle name="Accent5 62 3 2 2" xfId="6536" xr:uid="{00000000-0005-0000-0000-000088190000}"/>
    <cellStyle name="Accent5 62 3 3" xfId="6537" xr:uid="{00000000-0005-0000-0000-000089190000}"/>
    <cellStyle name="Accent5 62 4" xfId="6538" xr:uid="{00000000-0005-0000-0000-00008A190000}"/>
    <cellStyle name="Accent5 63" xfId="6539" xr:uid="{00000000-0005-0000-0000-00008B190000}"/>
    <cellStyle name="Accent5 63 2" xfId="6540" xr:uid="{00000000-0005-0000-0000-00008C190000}"/>
    <cellStyle name="Accent5 63 2 2" xfId="6541" xr:uid="{00000000-0005-0000-0000-00008D190000}"/>
    <cellStyle name="Accent5 63 3" xfId="6542" xr:uid="{00000000-0005-0000-0000-00008E190000}"/>
    <cellStyle name="Accent5 63 3 2" xfId="6543" xr:uid="{00000000-0005-0000-0000-00008F190000}"/>
    <cellStyle name="Accent5 63 3 2 2" xfId="6544" xr:uid="{00000000-0005-0000-0000-000090190000}"/>
    <cellStyle name="Accent5 63 3 3" xfId="6545" xr:uid="{00000000-0005-0000-0000-000091190000}"/>
    <cellStyle name="Accent5 63 4" xfId="6546" xr:uid="{00000000-0005-0000-0000-000092190000}"/>
    <cellStyle name="Accent5 64" xfId="6547" xr:uid="{00000000-0005-0000-0000-000093190000}"/>
    <cellStyle name="Accent5 64 2" xfId="6548" xr:uid="{00000000-0005-0000-0000-000094190000}"/>
    <cellStyle name="Accent5 64 2 2" xfId="6549" xr:uid="{00000000-0005-0000-0000-000095190000}"/>
    <cellStyle name="Accent5 64 3" xfId="6550" xr:uid="{00000000-0005-0000-0000-000096190000}"/>
    <cellStyle name="Accent5 64 3 2" xfId="6551" xr:uid="{00000000-0005-0000-0000-000097190000}"/>
    <cellStyle name="Accent5 64 3 2 2" xfId="6552" xr:uid="{00000000-0005-0000-0000-000098190000}"/>
    <cellStyle name="Accent5 64 3 3" xfId="6553" xr:uid="{00000000-0005-0000-0000-000099190000}"/>
    <cellStyle name="Accent5 64 4" xfId="6554" xr:uid="{00000000-0005-0000-0000-00009A190000}"/>
    <cellStyle name="Accent5 65" xfId="6555" xr:uid="{00000000-0005-0000-0000-00009B190000}"/>
    <cellStyle name="Accent5 65 2" xfId="6556" xr:uid="{00000000-0005-0000-0000-00009C190000}"/>
    <cellStyle name="Accent5 65 2 2" xfId="6557" xr:uid="{00000000-0005-0000-0000-00009D190000}"/>
    <cellStyle name="Accent5 65 3" xfId="6558" xr:uid="{00000000-0005-0000-0000-00009E190000}"/>
    <cellStyle name="Accent5 65 3 2" xfId="6559" xr:uid="{00000000-0005-0000-0000-00009F190000}"/>
    <cellStyle name="Accent5 65 3 2 2" xfId="6560" xr:uid="{00000000-0005-0000-0000-0000A0190000}"/>
    <cellStyle name="Accent5 65 3 3" xfId="6561" xr:uid="{00000000-0005-0000-0000-0000A1190000}"/>
    <cellStyle name="Accent5 65 4" xfId="6562" xr:uid="{00000000-0005-0000-0000-0000A2190000}"/>
    <cellStyle name="Accent5 66" xfId="6563" xr:uid="{00000000-0005-0000-0000-0000A3190000}"/>
    <cellStyle name="Accent5 66 2" xfId="6564" xr:uid="{00000000-0005-0000-0000-0000A4190000}"/>
    <cellStyle name="Accent5 66 2 2" xfId="6565" xr:uid="{00000000-0005-0000-0000-0000A5190000}"/>
    <cellStyle name="Accent5 66 3" xfId="6566" xr:uid="{00000000-0005-0000-0000-0000A6190000}"/>
    <cellStyle name="Accent5 66 3 2" xfId="6567" xr:uid="{00000000-0005-0000-0000-0000A7190000}"/>
    <cellStyle name="Accent5 66 3 2 2" xfId="6568" xr:uid="{00000000-0005-0000-0000-0000A8190000}"/>
    <cellStyle name="Accent5 66 3 3" xfId="6569" xr:uid="{00000000-0005-0000-0000-0000A9190000}"/>
    <cellStyle name="Accent5 66 4" xfId="6570" xr:uid="{00000000-0005-0000-0000-0000AA190000}"/>
    <cellStyle name="Accent5 67" xfId="6571" xr:uid="{00000000-0005-0000-0000-0000AB190000}"/>
    <cellStyle name="Accent5 67 2" xfId="6572" xr:uid="{00000000-0005-0000-0000-0000AC190000}"/>
    <cellStyle name="Accent5 67 2 2" xfId="6573" xr:uid="{00000000-0005-0000-0000-0000AD190000}"/>
    <cellStyle name="Accent5 67 3" xfId="6574" xr:uid="{00000000-0005-0000-0000-0000AE190000}"/>
    <cellStyle name="Accent5 67 3 2" xfId="6575" xr:uid="{00000000-0005-0000-0000-0000AF190000}"/>
    <cellStyle name="Accent5 67 3 2 2" xfId="6576" xr:uid="{00000000-0005-0000-0000-0000B0190000}"/>
    <cellStyle name="Accent5 67 3 3" xfId="6577" xr:uid="{00000000-0005-0000-0000-0000B1190000}"/>
    <cellStyle name="Accent5 67 4" xfId="6578" xr:uid="{00000000-0005-0000-0000-0000B2190000}"/>
    <cellStyle name="Accent5 68" xfId="6579" xr:uid="{00000000-0005-0000-0000-0000B3190000}"/>
    <cellStyle name="Accent5 68 2" xfId="6580" xr:uid="{00000000-0005-0000-0000-0000B4190000}"/>
    <cellStyle name="Accent5 68 2 2" xfId="6581" xr:uid="{00000000-0005-0000-0000-0000B5190000}"/>
    <cellStyle name="Accent5 68 3" xfId="6582" xr:uid="{00000000-0005-0000-0000-0000B6190000}"/>
    <cellStyle name="Accent5 68 3 2" xfId="6583" xr:uid="{00000000-0005-0000-0000-0000B7190000}"/>
    <cellStyle name="Accent5 68 3 2 2" xfId="6584" xr:uid="{00000000-0005-0000-0000-0000B8190000}"/>
    <cellStyle name="Accent5 68 3 3" xfId="6585" xr:uid="{00000000-0005-0000-0000-0000B9190000}"/>
    <cellStyle name="Accent5 68 4" xfId="6586" xr:uid="{00000000-0005-0000-0000-0000BA190000}"/>
    <cellStyle name="Accent5 69" xfId="6587" xr:uid="{00000000-0005-0000-0000-0000BB190000}"/>
    <cellStyle name="Accent5 69 2" xfId="6588" xr:uid="{00000000-0005-0000-0000-0000BC190000}"/>
    <cellStyle name="Accent5 69 2 2" xfId="6589" xr:uid="{00000000-0005-0000-0000-0000BD190000}"/>
    <cellStyle name="Accent5 69 3" xfId="6590" xr:uid="{00000000-0005-0000-0000-0000BE190000}"/>
    <cellStyle name="Accent5 69 3 2" xfId="6591" xr:uid="{00000000-0005-0000-0000-0000BF190000}"/>
    <cellStyle name="Accent5 69 3 2 2" xfId="6592" xr:uid="{00000000-0005-0000-0000-0000C0190000}"/>
    <cellStyle name="Accent5 69 3 3" xfId="6593" xr:uid="{00000000-0005-0000-0000-0000C1190000}"/>
    <cellStyle name="Accent5 69 4" xfId="6594" xr:uid="{00000000-0005-0000-0000-0000C2190000}"/>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3" xfId="6614" xr:uid="{00000000-0005-0000-0000-0000D6190000}"/>
    <cellStyle name="Accent5 70 3 2" xfId="6615" xr:uid="{00000000-0005-0000-0000-0000D7190000}"/>
    <cellStyle name="Accent5 70 3 2 2" xfId="6616" xr:uid="{00000000-0005-0000-0000-0000D8190000}"/>
    <cellStyle name="Accent5 70 3 3" xfId="6617" xr:uid="{00000000-0005-0000-0000-0000D9190000}"/>
    <cellStyle name="Accent5 70 4" xfId="6618" xr:uid="{00000000-0005-0000-0000-0000DA190000}"/>
    <cellStyle name="Accent5 71" xfId="6619" xr:uid="{00000000-0005-0000-0000-0000DB190000}"/>
    <cellStyle name="Accent5 71 2" xfId="6620" xr:uid="{00000000-0005-0000-0000-0000DC190000}"/>
    <cellStyle name="Accent5 71 2 2" xfId="6621" xr:uid="{00000000-0005-0000-0000-0000DD190000}"/>
    <cellStyle name="Accent5 71 3" xfId="6622" xr:uid="{00000000-0005-0000-0000-0000DE190000}"/>
    <cellStyle name="Accent5 71 3 2" xfId="6623" xr:uid="{00000000-0005-0000-0000-0000DF190000}"/>
    <cellStyle name="Accent5 71 3 2 2" xfId="6624" xr:uid="{00000000-0005-0000-0000-0000E0190000}"/>
    <cellStyle name="Accent5 71 3 3" xfId="6625" xr:uid="{00000000-0005-0000-0000-0000E1190000}"/>
    <cellStyle name="Accent5 71 4" xfId="6626" xr:uid="{00000000-0005-0000-0000-0000E2190000}"/>
    <cellStyle name="Accent5 72" xfId="6627" xr:uid="{00000000-0005-0000-0000-0000E3190000}"/>
    <cellStyle name="Accent5 72 2" xfId="6628" xr:uid="{00000000-0005-0000-0000-0000E4190000}"/>
    <cellStyle name="Accent5 72 2 2" xfId="6629" xr:uid="{00000000-0005-0000-0000-0000E5190000}"/>
    <cellStyle name="Accent5 72 3" xfId="6630" xr:uid="{00000000-0005-0000-0000-0000E6190000}"/>
    <cellStyle name="Accent5 72 3 2" xfId="6631" xr:uid="{00000000-0005-0000-0000-0000E7190000}"/>
    <cellStyle name="Accent5 72 3 2 2" xfId="6632" xr:uid="{00000000-0005-0000-0000-0000E8190000}"/>
    <cellStyle name="Accent5 72 3 3" xfId="6633" xr:uid="{00000000-0005-0000-0000-0000E9190000}"/>
    <cellStyle name="Accent5 72 4" xfId="6634" xr:uid="{00000000-0005-0000-0000-0000EA190000}"/>
    <cellStyle name="Accent5 73" xfId="6635" xr:uid="{00000000-0005-0000-0000-0000EB190000}"/>
    <cellStyle name="Accent5 73 2" xfId="6636" xr:uid="{00000000-0005-0000-0000-0000EC190000}"/>
    <cellStyle name="Accent5 73 2 2" xfId="6637" xr:uid="{00000000-0005-0000-0000-0000ED190000}"/>
    <cellStyle name="Accent5 73 3" xfId="6638" xr:uid="{00000000-0005-0000-0000-0000EE190000}"/>
    <cellStyle name="Accent5 73 3 2" xfId="6639" xr:uid="{00000000-0005-0000-0000-0000EF190000}"/>
    <cellStyle name="Accent5 73 3 2 2" xfId="6640" xr:uid="{00000000-0005-0000-0000-0000F0190000}"/>
    <cellStyle name="Accent5 73 3 3" xfId="6641" xr:uid="{00000000-0005-0000-0000-0000F1190000}"/>
    <cellStyle name="Accent5 73 4" xfId="6642" xr:uid="{00000000-0005-0000-0000-0000F2190000}"/>
    <cellStyle name="Accent5 74" xfId="6643" xr:uid="{00000000-0005-0000-0000-0000F3190000}"/>
    <cellStyle name="Accent5 74 2" xfId="6644" xr:uid="{00000000-0005-0000-0000-0000F4190000}"/>
    <cellStyle name="Accent5 74 2 2" xfId="6645" xr:uid="{00000000-0005-0000-0000-0000F5190000}"/>
    <cellStyle name="Accent5 74 3" xfId="6646" xr:uid="{00000000-0005-0000-0000-0000F6190000}"/>
    <cellStyle name="Accent5 74 3 2" xfId="6647" xr:uid="{00000000-0005-0000-0000-0000F7190000}"/>
    <cellStyle name="Accent5 74 3 2 2" xfId="6648" xr:uid="{00000000-0005-0000-0000-0000F8190000}"/>
    <cellStyle name="Accent5 74 3 3" xfId="6649" xr:uid="{00000000-0005-0000-0000-0000F9190000}"/>
    <cellStyle name="Accent5 74 4" xfId="6650" xr:uid="{00000000-0005-0000-0000-0000FA190000}"/>
    <cellStyle name="Accent5 75" xfId="6651" xr:uid="{00000000-0005-0000-0000-0000FB190000}"/>
    <cellStyle name="Accent5 75 2" xfId="6652" xr:uid="{00000000-0005-0000-0000-0000FC190000}"/>
    <cellStyle name="Accent5 75 2 2" xfId="6653" xr:uid="{00000000-0005-0000-0000-0000FD190000}"/>
    <cellStyle name="Accent5 75 3" xfId="6654" xr:uid="{00000000-0005-0000-0000-0000FE190000}"/>
    <cellStyle name="Accent5 75 3 2" xfId="6655" xr:uid="{00000000-0005-0000-0000-0000FF190000}"/>
    <cellStyle name="Accent5 75 3 2 2" xfId="6656" xr:uid="{00000000-0005-0000-0000-0000001A0000}"/>
    <cellStyle name="Accent5 75 3 3" xfId="6657" xr:uid="{00000000-0005-0000-0000-0000011A0000}"/>
    <cellStyle name="Accent5 75 4" xfId="6658" xr:uid="{00000000-0005-0000-0000-0000021A0000}"/>
    <cellStyle name="Accent5 76" xfId="6659" xr:uid="{00000000-0005-0000-0000-0000031A0000}"/>
    <cellStyle name="Accent5 76 2" xfId="6660" xr:uid="{00000000-0005-0000-0000-0000041A0000}"/>
    <cellStyle name="Accent5 76 2 2" xfId="6661" xr:uid="{00000000-0005-0000-0000-0000051A0000}"/>
    <cellStyle name="Accent5 76 3" xfId="6662" xr:uid="{00000000-0005-0000-0000-0000061A0000}"/>
    <cellStyle name="Accent5 76 3 2" xfId="6663" xr:uid="{00000000-0005-0000-0000-0000071A0000}"/>
    <cellStyle name="Accent5 76 3 2 2" xfId="6664" xr:uid="{00000000-0005-0000-0000-0000081A0000}"/>
    <cellStyle name="Accent5 76 3 3" xfId="6665" xr:uid="{00000000-0005-0000-0000-0000091A0000}"/>
    <cellStyle name="Accent5 76 4" xfId="6666" xr:uid="{00000000-0005-0000-0000-00000A1A0000}"/>
    <cellStyle name="Accent5 77" xfId="6667" xr:uid="{00000000-0005-0000-0000-00000B1A0000}"/>
    <cellStyle name="Accent5 77 2" xfId="6668" xr:uid="{00000000-0005-0000-0000-00000C1A0000}"/>
    <cellStyle name="Accent5 77 2 2" xfId="6669" xr:uid="{00000000-0005-0000-0000-00000D1A0000}"/>
    <cellStyle name="Accent5 77 3" xfId="6670" xr:uid="{00000000-0005-0000-0000-00000E1A0000}"/>
    <cellStyle name="Accent5 77 3 2" xfId="6671" xr:uid="{00000000-0005-0000-0000-00000F1A0000}"/>
    <cellStyle name="Accent5 77 3 2 2" xfId="6672" xr:uid="{00000000-0005-0000-0000-0000101A0000}"/>
    <cellStyle name="Accent5 77 3 3" xfId="6673" xr:uid="{00000000-0005-0000-0000-0000111A0000}"/>
    <cellStyle name="Accent5 77 4" xfId="6674" xr:uid="{00000000-0005-0000-0000-0000121A0000}"/>
    <cellStyle name="Accent5 78" xfId="6675" xr:uid="{00000000-0005-0000-0000-0000131A0000}"/>
    <cellStyle name="Accent5 78 2" xfId="6676" xr:uid="{00000000-0005-0000-0000-0000141A0000}"/>
    <cellStyle name="Accent5 78 2 2" xfId="6677" xr:uid="{00000000-0005-0000-0000-0000151A0000}"/>
    <cellStyle name="Accent5 78 3" xfId="6678" xr:uid="{00000000-0005-0000-0000-0000161A0000}"/>
    <cellStyle name="Accent5 78 3 2" xfId="6679" xr:uid="{00000000-0005-0000-0000-0000171A0000}"/>
    <cellStyle name="Accent5 78 3 2 2" xfId="6680" xr:uid="{00000000-0005-0000-0000-0000181A0000}"/>
    <cellStyle name="Accent5 78 3 3" xfId="6681" xr:uid="{00000000-0005-0000-0000-0000191A0000}"/>
    <cellStyle name="Accent5 78 4" xfId="6682" xr:uid="{00000000-0005-0000-0000-00001A1A0000}"/>
    <cellStyle name="Accent5 79" xfId="6683" xr:uid="{00000000-0005-0000-0000-00001B1A0000}"/>
    <cellStyle name="Accent5 79 2" xfId="6684" xr:uid="{00000000-0005-0000-0000-00001C1A0000}"/>
    <cellStyle name="Accent5 79 2 2" xfId="6685" xr:uid="{00000000-0005-0000-0000-00001D1A0000}"/>
    <cellStyle name="Accent5 79 3" xfId="6686" xr:uid="{00000000-0005-0000-0000-00001E1A0000}"/>
    <cellStyle name="Accent5 79 3 2" xfId="6687" xr:uid="{00000000-0005-0000-0000-00001F1A0000}"/>
    <cellStyle name="Accent5 79 3 2 2" xfId="6688" xr:uid="{00000000-0005-0000-0000-0000201A0000}"/>
    <cellStyle name="Accent5 79 3 3" xfId="6689" xr:uid="{00000000-0005-0000-0000-0000211A0000}"/>
    <cellStyle name="Accent5 79 4" xfId="6690" xr:uid="{00000000-0005-0000-0000-0000221A0000}"/>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3" xfId="6698" xr:uid="{00000000-0005-0000-0000-00002A1A0000}"/>
    <cellStyle name="Accent5 80 3 2" xfId="6699" xr:uid="{00000000-0005-0000-0000-00002B1A0000}"/>
    <cellStyle name="Accent5 80 3 2 2" xfId="6700" xr:uid="{00000000-0005-0000-0000-00002C1A0000}"/>
    <cellStyle name="Accent5 80 3 3" xfId="6701" xr:uid="{00000000-0005-0000-0000-00002D1A0000}"/>
    <cellStyle name="Accent5 80 4" xfId="6702" xr:uid="{00000000-0005-0000-0000-00002E1A0000}"/>
    <cellStyle name="Accent5 81" xfId="6703" xr:uid="{00000000-0005-0000-0000-00002F1A0000}"/>
    <cellStyle name="Accent5 81 2" xfId="6704" xr:uid="{00000000-0005-0000-0000-0000301A0000}"/>
    <cellStyle name="Accent5 81 2 2" xfId="6705" xr:uid="{00000000-0005-0000-0000-0000311A0000}"/>
    <cellStyle name="Accent5 81 3" xfId="6706" xr:uid="{00000000-0005-0000-0000-0000321A0000}"/>
    <cellStyle name="Accent5 81 3 2" xfId="6707" xr:uid="{00000000-0005-0000-0000-0000331A0000}"/>
    <cellStyle name="Accent5 81 3 2 2" xfId="6708" xr:uid="{00000000-0005-0000-0000-0000341A0000}"/>
    <cellStyle name="Accent5 81 3 3" xfId="6709" xr:uid="{00000000-0005-0000-0000-0000351A0000}"/>
    <cellStyle name="Accent5 81 4" xfId="6710" xr:uid="{00000000-0005-0000-0000-0000361A0000}"/>
    <cellStyle name="Accent5 82" xfId="6711" xr:uid="{00000000-0005-0000-0000-0000371A0000}"/>
    <cellStyle name="Accent5 82 2" xfId="6712" xr:uid="{00000000-0005-0000-0000-0000381A0000}"/>
    <cellStyle name="Accent5 82 2 2" xfId="6713" xr:uid="{00000000-0005-0000-0000-0000391A0000}"/>
    <cellStyle name="Accent5 82 3" xfId="6714" xr:uid="{00000000-0005-0000-0000-00003A1A0000}"/>
    <cellStyle name="Accent5 82 3 2" xfId="6715" xr:uid="{00000000-0005-0000-0000-00003B1A0000}"/>
    <cellStyle name="Accent5 82 3 2 2" xfId="6716" xr:uid="{00000000-0005-0000-0000-00003C1A0000}"/>
    <cellStyle name="Accent5 82 3 3" xfId="6717" xr:uid="{00000000-0005-0000-0000-00003D1A0000}"/>
    <cellStyle name="Accent5 82 4" xfId="6718" xr:uid="{00000000-0005-0000-0000-00003E1A0000}"/>
    <cellStyle name="Accent5 83" xfId="6719" xr:uid="{00000000-0005-0000-0000-00003F1A0000}"/>
    <cellStyle name="Accent5 83 2" xfId="6720" xr:uid="{00000000-0005-0000-0000-0000401A0000}"/>
    <cellStyle name="Accent5 83 2 2" xfId="6721" xr:uid="{00000000-0005-0000-0000-0000411A0000}"/>
    <cellStyle name="Accent5 83 3" xfId="6722" xr:uid="{00000000-0005-0000-0000-0000421A0000}"/>
    <cellStyle name="Accent5 83 3 2" xfId="6723" xr:uid="{00000000-0005-0000-0000-0000431A0000}"/>
    <cellStyle name="Accent5 83 3 2 2" xfId="6724" xr:uid="{00000000-0005-0000-0000-0000441A0000}"/>
    <cellStyle name="Accent5 83 3 3" xfId="6725" xr:uid="{00000000-0005-0000-0000-0000451A0000}"/>
    <cellStyle name="Accent5 83 4" xfId="6726" xr:uid="{00000000-0005-0000-0000-0000461A000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3" xfId="6762" xr:uid="{00000000-0005-0000-0000-00006A1A0000}"/>
    <cellStyle name="Accent5 92" xfId="6763" xr:uid="{00000000-0005-0000-0000-00006B1A0000}"/>
    <cellStyle name="Accent5 92 2" xfId="6764" xr:uid="{00000000-0005-0000-0000-00006C1A0000}"/>
    <cellStyle name="Accent5 92 2 2" xfId="6765" xr:uid="{00000000-0005-0000-0000-00006D1A0000}"/>
    <cellStyle name="Accent5 92 3" xfId="6766" xr:uid="{00000000-0005-0000-0000-00006E1A0000}"/>
    <cellStyle name="Accent5 93" xfId="6767" xr:uid="{00000000-0005-0000-0000-00006F1A0000}"/>
    <cellStyle name="Accent5 93 2" xfId="6768" xr:uid="{00000000-0005-0000-0000-0000701A0000}"/>
    <cellStyle name="Accent5 93 2 2" xfId="6769" xr:uid="{00000000-0005-0000-0000-0000711A0000}"/>
    <cellStyle name="Accent5 93 3" xfId="6770" xr:uid="{00000000-0005-0000-0000-0000721A0000}"/>
    <cellStyle name="Accent5 94" xfId="6771" xr:uid="{00000000-0005-0000-0000-0000731A0000}"/>
    <cellStyle name="Accent5 94 2" xfId="6772" xr:uid="{00000000-0005-0000-0000-0000741A0000}"/>
    <cellStyle name="Accent5 94 2 2" xfId="6773" xr:uid="{00000000-0005-0000-0000-0000751A0000}"/>
    <cellStyle name="Accent5 94 3" xfId="6774" xr:uid="{00000000-0005-0000-0000-0000761A0000}"/>
    <cellStyle name="Accent5 95" xfId="6775" xr:uid="{00000000-0005-0000-0000-0000771A0000}"/>
    <cellStyle name="Accent5 95 2" xfId="6776" xr:uid="{00000000-0005-0000-0000-0000781A0000}"/>
    <cellStyle name="Accent5 95 2 2" xfId="6777" xr:uid="{00000000-0005-0000-0000-0000791A0000}"/>
    <cellStyle name="Accent5 95 3" xfId="6778" xr:uid="{00000000-0005-0000-0000-00007A1A0000}"/>
    <cellStyle name="Accent5 96" xfId="6779" xr:uid="{00000000-0005-0000-0000-00007B1A0000}"/>
    <cellStyle name="Accent5 96 2" xfId="6780" xr:uid="{00000000-0005-0000-0000-00007C1A0000}"/>
    <cellStyle name="Accent5 96 2 2" xfId="6781" xr:uid="{00000000-0005-0000-0000-00007D1A0000}"/>
    <cellStyle name="Accent5 96 3" xfId="6782" xr:uid="{00000000-0005-0000-0000-00007E1A0000}"/>
    <cellStyle name="Accent5 97" xfId="6783" xr:uid="{00000000-0005-0000-0000-00007F1A0000}"/>
    <cellStyle name="Accent5 97 2" xfId="6784" xr:uid="{00000000-0005-0000-0000-0000801A0000}"/>
    <cellStyle name="Accent5 97 2 2" xfId="6785" xr:uid="{00000000-0005-0000-0000-0000811A0000}"/>
    <cellStyle name="Accent5 97 3" xfId="6786" xr:uid="{00000000-0005-0000-0000-0000821A0000}"/>
    <cellStyle name="Accent5 98" xfId="6787" xr:uid="{00000000-0005-0000-0000-0000831A0000}"/>
    <cellStyle name="Accent5 98 2" xfId="6788" xr:uid="{00000000-0005-0000-0000-0000841A0000}"/>
    <cellStyle name="Accent5 98 2 2" xfId="6789" xr:uid="{00000000-0005-0000-0000-0000851A0000}"/>
    <cellStyle name="Accent5 98 3" xfId="6790" xr:uid="{00000000-0005-0000-0000-0000861A0000}"/>
    <cellStyle name="Accent5 99" xfId="6791" xr:uid="{00000000-0005-0000-0000-0000871A0000}"/>
    <cellStyle name="Accent5 99 2" xfId="6792" xr:uid="{00000000-0005-0000-0000-0000881A0000}"/>
    <cellStyle name="Accent5 99 2 2" xfId="6793" xr:uid="{00000000-0005-0000-0000-0000891A0000}"/>
    <cellStyle name="Accent5 99 3" xfId="6794" xr:uid="{00000000-0005-0000-0000-00008A1A0000}"/>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3" xfId="6923" xr:uid="{00000000-0005-0000-0000-00000B1B0000}"/>
    <cellStyle name="Accent6 101" xfId="6924" xr:uid="{00000000-0005-0000-0000-00000C1B0000}"/>
    <cellStyle name="Accent6 101 2" xfId="6925" xr:uid="{00000000-0005-0000-0000-00000D1B0000}"/>
    <cellStyle name="Accent6 101 2 2" xfId="6926" xr:uid="{00000000-0005-0000-0000-00000E1B0000}"/>
    <cellStyle name="Accent6 101 3" xfId="6927" xr:uid="{00000000-0005-0000-0000-00000F1B0000}"/>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3" xfId="6939" xr:uid="{00000000-0005-0000-0000-00001B1B0000}"/>
    <cellStyle name="Accent6 106" xfId="6940" xr:uid="{00000000-0005-0000-0000-00001C1B0000}"/>
    <cellStyle name="Accent6 106 2" xfId="6941" xr:uid="{00000000-0005-0000-0000-00001D1B0000}"/>
    <cellStyle name="Accent6 106 2 2" xfId="6942" xr:uid="{00000000-0005-0000-0000-00001E1B0000}"/>
    <cellStyle name="Accent6 106 3" xfId="6943" xr:uid="{00000000-0005-0000-0000-00001F1B0000}"/>
    <cellStyle name="Accent6 107" xfId="6944" xr:uid="{00000000-0005-0000-0000-0000201B0000}"/>
    <cellStyle name="Accent6 107 2" xfId="6945" xr:uid="{00000000-0005-0000-0000-0000211B0000}"/>
    <cellStyle name="Accent6 107 2 2" xfId="6946" xr:uid="{00000000-0005-0000-0000-0000221B0000}"/>
    <cellStyle name="Accent6 107 3" xfId="6947" xr:uid="{00000000-0005-0000-0000-0000231B0000}"/>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1" xfId="7089" xr:uid="{00000000-0005-0000-0000-0000B11B0000}"/>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8" xfId="7127" xr:uid="{00000000-0005-0000-0000-0000D71B0000}"/>
    <cellStyle name="Accent6 2 8 2" xfId="7128" xr:uid="{00000000-0005-0000-0000-0000D81B0000}"/>
    <cellStyle name="Accent6 2 8 2 2" xfId="7129" xr:uid="{00000000-0005-0000-0000-0000D91B0000}"/>
    <cellStyle name="Accent6 2 8 3" xfId="7130" xr:uid="{00000000-0005-0000-0000-0000DA1B0000}"/>
    <cellStyle name="Accent6 2 9" xfId="7131" xr:uid="{00000000-0005-0000-0000-0000DB1B0000}"/>
    <cellStyle name="Accent6 2 9 2" xfId="7132" xr:uid="{00000000-0005-0000-0000-0000DC1B0000}"/>
    <cellStyle name="Accent6 2 9 2 2" xfId="7133" xr:uid="{00000000-0005-0000-0000-0000DD1B0000}"/>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3" xfId="7179" xr:uid="{00000000-0005-0000-0000-00000B1C0000}"/>
    <cellStyle name="Accent6 3 11" xfId="7180" xr:uid="{00000000-0005-0000-0000-00000C1C0000}"/>
    <cellStyle name="Accent6 3 11 2" xfId="7181" xr:uid="{00000000-0005-0000-0000-00000D1C0000}"/>
    <cellStyle name="Accent6 3 12" xfId="7182" xr:uid="{00000000-0005-0000-0000-00000E1C0000}"/>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8" xfId="7215" xr:uid="{00000000-0005-0000-0000-00002F1C0000}"/>
    <cellStyle name="Accent6 3 8 2" xfId="7216" xr:uid="{00000000-0005-0000-0000-0000301C0000}"/>
    <cellStyle name="Accent6 3 8 2 2" xfId="7217" xr:uid="{00000000-0005-0000-0000-0000311C0000}"/>
    <cellStyle name="Accent6 3 8 3" xfId="7218" xr:uid="{00000000-0005-0000-0000-0000321C0000}"/>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3" xfId="7330" xr:uid="{00000000-0005-0000-0000-0000A21C0000}"/>
    <cellStyle name="Accent6 48 3 2" xfId="7331" xr:uid="{00000000-0005-0000-0000-0000A31C0000}"/>
    <cellStyle name="Accent6 48 3 2 2" xfId="7332" xr:uid="{00000000-0005-0000-0000-0000A41C0000}"/>
    <cellStyle name="Accent6 48 3 3" xfId="7333" xr:uid="{00000000-0005-0000-0000-0000A51C0000}"/>
    <cellStyle name="Accent6 48 4" xfId="7334" xr:uid="{00000000-0005-0000-0000-0000A61C0000}"/>
    <cellStyle name="Accent6 49" xfId="7335" xr:uid="{00000000-0005-0000-0000-0000A71C0000}"/>
    <cellStyle name="Accent6 49 2" xfId="7336" xr:uid="{00000000-0005-0000-0000-0000A81C0000}"/>
    <cellStyle name="Accent6 49 2 2" xfId="7337" xr:uid="{00000000-0005-0000-0000-0000A91C0000}"/>
    <cellStyle name="Accent6 49 3" xfId="7338" xr:uid="{00000000-0005-0000-0000-0000AA1C0000}"/>
    <cellStyle name="Accent6 49 3 2" xfId="7339" xr:uid="{00000000-0005-0000-0000-0000AB1C0000}"/>
    <cellStyle name="Accent6 49 3 2 2" xfId="7340" xr:uid="{00000000-0005-0000-0000-0000AC1C0000}"/>
    <cellStyle name="Accent6 49 3 3" xfId="7341" xr:uid="{00000000-0005-0000-0000-0000AD1C0000}"/>
    <cellStyle name="Accent6 49 4" xfId="7342" xr:uid="{00000000-0005-0000-0000-0000AE1C0000}"/>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3" xfId="7355" xr:uid="{00000000-0005-0000-0000-0000BB1C0000}"/>
    <cellStyle name="Accent6 5 3 3 2" xfId="7356" xr:uid="{00000000-0005-0000-0000-0000BC1C0000}"/>
    <cellStyle name="Accent6 5 3 3 2 2" xfId="7357" xr:uid="{00000000-0005-0000-0000-0000BD1C0000}"/>
    <cellStyle name="Accent6 5 3 3 3" xfId="7358" xr:uid="{00000000-0005-0000-0000-0000BE1C0000}"/>
    <cellStyle name="Accent6 5 3 4" xfId="7359" xr:uid="{00000000-0005-0000-0000-0000BF1C0000}"/>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3" xfId="7372" xr:uid="{00000000-0005-0000-0000-0000CC1C0000}"/>
    <cellStyle name="Accent6 50 3 2" xfId="7373" xr:uid="{00000000-0005-0000-0000-0000CD1C0000}"/>
    <cellStyle name="Accent6 50 3 2 2" xfId="7374" xr:uid="{00000000-0005-0000-0000-0000CE1C0000}"/>
    <cellStyle name="Accent6 50 3 3" xfId="7375" xr:uid="{00000000-0005-0000-0000-0000CF1C0000}"/>
    <cellStyle name="Accent6 50 4" xfId="7376" xr:uid="{00000000-0005-0000-0000-0000D01C0000}"/>
    <cellStyle name="Accent6 51" xfId="7377" xr:uid="{00000000-0005-0000-0000-0000D11C0000}"/>
    <cellStyle name="Accent6 51 2" xfId="7378" xr:uid="{00000000-0005-0000-0000-0000D21C0000}"/>
    <cellStyle name="Accent6 51 2 2" xfId="7379" xr:uid="{00000000-0005-0000-0000-0000D31C0000}"/>
    <cellStyle name="Accent6 51 3" xfId="7380" xr:uid="{00000000-0005-0000-0000-0000D41C0000}"/>
    <cellStyle name="Accent6 51 3 2" xfId="7381" xr:uid="{00000000-0005-0000-0000-0000D51C0000}"/>
    <cellStyle name="Accent6 51 3 2 2" xfId="7382" xr:uid="{00000000-0005-0000-0000-0000D61C0000}"/>
    <cellStyle name="Accent6 51 3 3" xfId="7383" xr:uid="{00000000-0005-0000-0000-0000D71C0000}"/>
    <cellStyle name="Accent6 51 4" xfId="7384" xr:uid="{00000000-0005-0000-0000-0000D81C0000}"/>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3" xfId="7412" xr:uid="{00000000-0005-0000-0000-0000F41C0000}"/>
    <cellStyle name="Accent6 58 3 2" xfId="7413" xr:uid="{00000000-0005-0000-0000-0000F51C0000}"/>
    <cellStyle name="Accent6 58 3 2 2" xfId="7414" xr:uid="{00000000-0005-0000-0000-0000F61C0000}"/>
    <cellStyle name="Accent6 58 3 3" xfId="7415" xr:uid="{00000000-0005-0000-0000-0000F71C0000}"/>
    <cellStyle name="Accent6 58 4" xfId="7416" xr:uid="{00000000-0005-0000-0000-0000F81C0000}"/>
    <cellStyle name="Accent6 59" xfId="7417" xr:uid="{00000000-0005-0000-0000-0000F91C0000}"/>
    <cellStyle name="Accent6 59 2" xfId="7418" xr:uid="{00000000-0005-0000-0000-0000FA1C0000}"/>
    <cellStyle name="Accent6 59 2 2" xfId="7419" xr:uid="{00000000-0005-0000-0000-0000FB1C0000}"/>
    <cellStyle name="Accent6 59 3" xfId="7420" xr:uid="{00000000-0005-0000-0000-0000FC1C0000}"/>
    <cellStyle name="Accent6 59 3 2" xfId="7421" xr:uid="{00000000-0005-0000-0000-0000FD1C0000}"/>
    <cellStyle name="Accent6 59 3 2 2" xfId="7422" xr:uid="{00000000-0005-0000-0000-0000FE1C0000}"/>
    <cellStyle name="Accent6 59 3 3" xfId="7423" xr:uid="{00000000-0005-0000-0000-0000FF1C0000}"/>
    <cellStyle name="Accent6 59 4" xfId="7424" xr:uid="{00000000-0005-0000-0000-0000001D0000}"/>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3" xfId="7444" xr:uid="{00000000-0005-0000-0000-0000141D0000}"/>
    <cellStyle name="Accent6 60 3 2" xfId="7445" xr:uid="{00000000-0005-0000-0000-0000151D0000}"/>
    <cellStyle name="Accent6 60 3 2 2" xfId="7446" xr:uid="{00000000-0005-0000-0000-0000161D0000}"/>
    <cellStyle name="Accent6 60 3 3" xfId="7447" xr:uid="{00000000-0005-0000-0000-0000171D0000}"/>
    <cellStyle name="Accent6 60 4" xfId="7448" xr:uid="{00000000-0005-0000-0000-0000181D0000}"/>
    <cellStyle name="Accent6 61" xfId="7449" xr:uid="{00000000-0005-0000-0000-0000191D0000}"/>
    <cellStyle name="Accent6 61 2" xfId="7450" xr:uid="{00000000-0005-0000-0000-00001A1D0000}"/>
    <cellStyle name="Accent6 61 2 2" xfId="7451" xr:uid="{00000000-0005-0000-0000-00001B1D0000}"/>
    <cellStyle name="Accent6 61 3" xfId="7452" xr:uid="{00000000-0005-0000-0000-00001C1D0000}"/>
    <cellStyle name="Accent6 61 3 2" xfId="7453" xr:uid="{00000000-0005-0000-0000-00001D1D0000}"/>
    <cellStyle name="Accent6 61 3 2 2" xfId="7454" xr:uid="{00000000-0005-0000-0000-00001E1D0000}"/>
    <cellStyle name="Accent6 61 3 3" xfId="7455" xr:uid="{00000000-0005-0000-0000-00001F1D0000}"/>
    <cellStyle name="Accent6 61 4" xfId="7456" xr:uid="{00000000-0005-0000-0000-0000201D0000}"/>
    <cellStyle name="Accent6 62" xfId="7457" xr:uid="{00000000-0005-0000-0000-0000211D0000}"/>
    <cellStyle name="Accent6 62 2" xfId="7458" xr:uid="{00000000-0005-0000-0000-0000221D0000}"/>
    <cellStyle name="Accent6 62 2 2" xfId="7459" xr:uid="{00000000-0005-0000-0000-0000231D0000}"/>
    <cellStyle name="Accent6 62 3" xfId="7460" xr:uid="{00000000-0005-0000-0000-0000241D0000}"/>
    <cellStyle name="Accent6 62 3 2" xfId="7461" xr:uid="{00000000-0005-0000-0000-0000251D0000}"/>
    <cellStyle name="Accent6 62 3 2 2" xfId="7462" xr:uid="{00000000-0005-0000-0000-0000261D0000}"/>
    <cellStyle name="Accent6 62 3 3" xfId="7463" xr:uid="{00000000-0005-0000-0000-0000271D0000}"/>
    <cellStyle name="Accent6 62 4" xfId="7464" xr:uid="{00000000-0005-0000-0000-0000281D0000}"/>
    <cellStyle name="Accent6 63" xfId="7465" xr:uid="{00000000-0005-0000-0000-0000291D0000}"/>
    <cellStyle name="Accent6 63 2" xfId="7466" xr:uid="{00000000-0005-0000-0000-00002A1D0000}"/>
    <cellStyle name="Accent6 63 2 2" xfId="7467" xr:uid="{00000000-0005-0000-0000-00002B1D0000}"/>
    <cellStyle name="Accent6 63 3" xfId="7468" xr:uid="{00000000-0005-0000-0000-00002C1D0000}"/>
    <cellStyle name="Accent6 63 3 2" xfId="7469" xr:uid="{00000000-0005-0000-0000-00002D1D0000}"/>
    <cellStyle name="Accent6 63 3 2 2" xfId="7470" xr:uid="{00000000-0005-0000-0000-00002E1D0000}"/>
    <cellStyle name="Accent6 63 3 3" xfId="7471" xr:uid="{00000000-0005-0000-0000-00002F1D0000}"/>
    <cellStyle name="Accent6 63 4" xfId="7472" xr:uid="{00000000-0005-0000-0000-0000301D0000}"/>
    <cellStyle name="Accent6 64" xfId="7473" xr:uid="{00000000-0005-0000-0000-0000311D0000}"/>
    <cellStyle name="Accent6 64 2" xfId="7474" xr:uid="{00000000-0005-0000-0000-0000321D0000}"/>
    <cellStyle name="Accent6 64 2 2" xfId="7475" xr:uid="{00000000-0005-0000-0000-0000331D0000}"/>
    <cellStyle name="Accent6 64 3" xfId="7476" xr:uid="{00000000-0005-0000-0000-0000341D0000}"/>
    <cellStyle name="Accent6 64 3 2" xfId="7477" xr:uid="{00000000-0005-0000-0000-0000351D0000}"/>
    <cellStyle name="Accent6 64 3 2 2" xfId="7478" xr:uid="{00000000-0005-0000-0000-0000361D0000}"/>
    <cellStyle name="Accent6 64 3 3" xfId="7479" xr:uid="{00000000-0005-0000-0000-0000371D0000}"/>
    <cellStyle name="Accent6 64 4" xfId="7480" xr:uid="{00000000-0005-0000-0000-0000381D0000}"/>
    <cellStyle name="Accent6 65" xfId="7481" xr:uid="{00000000-0005-0000-0000-0000391D0000}"/>
    <cellStyle name="Accent6 65 2" xfId="7482" xr:uid="{00000000-0005-0000-0000-00003A1D0000}"/>
    <cellStyle name="Accent6 65 2 2" xfId="7483" xr:uid="{00000000-0005-0000-0000-00003B1D0000}"/>
    <cellStyle name="Accent6 65 3" xfId="7484" xr:uid="{00000000-0005-0000-0000-00003C1D0000}"/>
    <cellStyle name="Accent6 65 3 2" xfId="7485" xr:uid="{00000000-0005-0000-0000-00003D1D0000}"/>
    <cellStyle name="Accent6 65 3 2 2" xfId="7486" xr:uid="{00000000-0005-0000-0000-00003E1D0000}"/>
    <cellStyle name="Accent6 65 3 3" xfId="7487" xr:uid="{00000000-0005-0000-0000-00003F1D0000}"/>
    <cellStyle name="Accent6 65 4" xfId="7488" xr:uid="{00000000-0005-0000-0000-0000401D0000}"/>
    <cellStyle name="Accent6 66" xfId="7489" xr:uid="{00000000-0005-0000-0000-0000411D0000}"/>
    <cellStyle name="Accent6 66 2" xfId="7490" xr:uid="{00000000-0005-0000-0000-0000421D0000}"/>
    <cellStyle name="Accent6 66 2 2" xfId="7491" xr:uid="{00000000-0005-0000-0000-0000431D0000}"/>
    <cellStyle name="Accent6 66 3" xfId="7492" xr:uid="{00000000-0005-0000-0000-0000441D0000}"/>
    <cellStyle name="Accent6 66 3 2" xfId="7493" xr:uid="{00000000-0005-0000-0000-0000451D0000}"/>
    <cellStyle name="Accent6 66 3 2 2" xfId="7494" xr:uid="{00000000-0005-0000-0000-0000461D0000}"/>
    <cellStyle name="Accent6 66 3 3" xfId="7495" xr:uid="{00000000-0005-0000-0000-0000471D0000}"/>
    <cellStyle name="Accent6 66 4" xfId="7496" xr:uid="{00000000-0005-0000-0000-0000481D0000}"/>
    <cellStyle name="Accent6 67" xfId="7497" xr:uid="{00000000-0005-0000-0000-0000491D0000}"/>
    <cellStyle name="Accent6 67 2" xfId="7498" xr:uid="{00000000-0005-0000-0000-00004A1D0000}"/>
    <cellStyle name="Accent6 67 2 2" xfId="7499" xr:uid="{00000000-0005-0000-0000-00004B1D0000}"/>
    <cellStyle name="Accent6 67 3" xfId="7500" xr:uid="{00000000-0005-0000-0000-00004C1D0000}"/>
    <cellStyle name="Accent6 67 3 2" xfId="7501" xr:uid="{00000000-0005-0000-0000-00004D1D0000}"/>
    <cellStyle name="Accent6 67 3 2 2" xfId="7502" xr:uid="{00000000-0005-0000-0000-00004E1D0000}"/>
    <cellStyle name="Accent6 67 3 3" xfId="7503" xr:uid="{00000000-0005-0000-0000-00004F1D0000}"/>
    <cellStyle name="Accent6 67 4" xfId="7504" xr:uid="{00000000-0005-0000-0000-0000501D0000}"/>
    <cellStyle name="Accent6 68" xfId="7505" xr:uid="{00000000-0005-0000-0000-0000511D0000}"/>
    <cellStyle name="Accent6 68 2" xfId="7506" xr:uid="{00000000-0005-0000-0000-0000521D0000}"/>
    <cellStyle name="Accent6 68 2 2" xfId="7507" xr:uid="{00000000-0005-0000-0000-0000531D0000}"/>
    <cellStyle name="Accent6 68 3" xfId="7508" xr:uid="{00000000-0005-0000-0000-0000541D0000}"/>
    <cellStyle name="Accent6 68 3 2" xfId="7509" xr:uid="{00000000-0005-0000-0000-0000551D0000}"/>
    <cellStyle name="Accent6 68 3 2 2" xfId="7510" xr:uid="{00000000-0005-0000-0000-0000561D0000}"/>
    <cellStyle name="Accent6 68 3 3" xfId="7511" xr:uid="{00000000-0005-0000-0000-0000571D0000}"/>
    <cellStyle name="Accent6 68 4" xfId="7512" xr:uid="{00000000-0005-0000-0000-0000581D0000}"/>
    <cellStyle name="Accent6 69" xfId="7513" xr:uid="{00000000-0005-0000-0000-0000591D0000}"/>
    <cellStyle name="Accent6 69 2" xfId="7514" xr:uid="{00000000-0005-0000-0000-00005A1D0000}"/>
    <cellStyle name="Accent6 69 2 2" xfId="7515" xr:uid="{00000000-0005-0000-0000-00005B1D0000}"/>
    <cellStyle name="Accent6 69 3" xfId="7516" xr:uid="{00000000-0005-0000-0000-00005C1D0000}"/>
    <cellStyle name="Accent6 69 3 2" xfId="7517" xr:uid="{00000000-0005-0000-0000-00005D1D0000}"/>
    <cellStyle name="Accent6 69 3 2 2" xfId="7518" xr:uid="{00000000-0005-0000-0000-00005E1D0000}"/>
    <cellStyle name="Accent6 69 3 3" xfId="7519" xr:uid="{00000000-0005-0000-0000-00005F1D0000}"/>
    <cellStyle name="Accent6 69 4" xfId="7520" xr:uid="{00000000-0005-0000-0000-0000601D0000}"/>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3" xfId="7540" xr:uid="{00000000-0005-0000-0000-0000741D0000}"/>
    <cellStyle name="Accent6 70 3 2" xfId="7541" xr:uid="{00000000-0005-0000-0000-0000751D0000}"/>
    <cellStyle name="Accent6 70 3 2 2" xfId="7542" xr:uid="{00000000-0005-0000-0000-0000761D0000}"/>
    <cellStyle name="Accent6 70 3 3" xfId="7543" xr:uid="{00000000-0005-0000-0000-0000771D0000}"/>
    <cellStyle name="Accent6 70 4" xfId="7544" xr:uid="{00000000-0005-0000-0000-0000781D0000}"/>
    <cellStyle name="Accent6 71" xfId="7545" xr:uid="{00000000-0005-0000-0000-0000791D0000}"/>
    <cellStyle name="Accent6 71 2" xfId="7546" xr:uid="{00000000-0005-0000-0000-00007A1D0000}"/>
    <cellStyle name="Accent6 71 2 2" xfId="7547" xr:uid="{00000000-0005-0000-0000-00007B1D0000}"/>
    <cellStyle name="Accent6 71 3" xfId="7548" xr:uid="{00000000-0005-0000-0000-00007C1D0000}"/>
    <cellStyle name="Accent6 71 3 2" xfId="7549" xr:uid="{00000000-0005-0000-0000-00007D1D0000}"/>
    <cellStyle name="Accent6 71 3 2 2" xfId="7550" xr:uid="{00000000-0005-0000-0000-00007E1D0000}"/>
    <cellStyle name="Accent6 71 3 3" xfId="7551" xr:uid="{00000000-0005-0000-0000-00007F1D0000}"/>
    <cellStyle name="Accent6 71 4" xfId="7552" xr:uid="{00000000-0005-0000-0000-0000801D0000}"/>
    <cellStyle name="Accent6 72" xfId="7553" xr:uid="{00000000-0005-0000-0000-0000811D0000}"/>
    <cellStyle name="Accent6 72 2" xfId="7554" xr:uid="{00000000-0005-0000-0000-0000821D0000}"/>
    <cellStyle name="Accent6 72 2 2" xfId="7555" xr:uid="{00000000-0005-0000-0000-0000831D0000}"/>
    <cellStyle name="Accent6 72 3" xfId="7556" xr:uid="{00000000-0005-0000-0000-0000841D0000}"/>
    <cellStyle name="Accent6 72 3 2" xfId="7557" xr:uid="{00000000-0005-0000-0000-0000851D0000}"/>
    <cellStyle name="Accent6 72 3 2 2" xfId="7558" xr:uid="{00000000-0005-0000-0000-0000861D0000}"/>
    <cellStyle name="Accent6 72 3 3" xfId="7559" xr:uid="{00000000-0005-0000-0000-0000871D0000}"/>
    <cellStyle name="Accent6 72 4" xfId="7560" xr:uid="{00000000-0005-0000-0000-0000881D0000}"/>
    <cellStyle name="Accent6 73" xfId="7561" xr:uid="{00000000-0005-0000-0000-0000891D0000}"/>
    <cellStyle name="Accent6 73 2" xfId="7562" xr:uid="{00000000-0005-0000-0000-00008A1D0000}"/>
    <cellStyle name="Accent6 73 2 2" xfId="7563" xr:uid="{00000000-0005-0000-0000-00008B1D0000}"/>
    <cellStyle name="Accent6 73 3" xfId="7564" xr:uid="{00000000-0005-0000-0000-00008C1D0000}"/>
    <cellStyle name="Accent6 73 3 2" xfId="7565" xr:uid="{00000000-0005-0000-0000-00008D1D0000}"/>
    <cellStyle name="Accent6 73 3 2 2" xfId="7566" xr:uid="{00000000-0005-0000-0000-00008E1D0000}"/>
    <cellStyle name="Accent6 73 3 3" xfId="7567" xr:uid="{00000000-0005-0000-0000-00008F1D0000}"/>
    <cellStyle name="Accent6 73 4" xfId="7568" xr:uid="{00000000-0005-0000-0000-0000901D0000}"/>
    <cellStyle name="Accent6 74" xfId="7569" xr:uid="{00000000-0005-0000-0000-0000911D0000}"/>
    <cellStyle name="Accent6 74 2" xfId="7570" xr:uid="{00000000-0005-0000-0000-0000921D0000}"/>
    <cellStyle name="Accent6 74 2 2" xfId="7571" xr:uid="{00000000-0005-0000-0000-0000931D0000}"/>
    <cellStyle name="Accent6 74 3" xfId="7572" xr:uid="{00000000-0005-0000-0000-0000941D0000}"/>
    <cellStyle name="Accent6 74 3 2" xfId="7573" xr:uid="{00000000-0005-0000-0000-0000951D0000}"/>
    <cellStyle name="Accent6 74 3 2 2" xfId="7574" xr:uid="{00000000-0005-0000-0000-0000961D0000}"/>
    <cellStyle name="Accent6 74 3 3" xfId="7575" xr:uid="{00000000-0005-0000-0000-0000971D0000}"/>
    <cellStyle name="Accent6 74 4" xfId="7576" xr:uid="{00000000-0005-0000-0000-0000981D0000}"/>
    <cellStyle name="Accent6 75" xfId="7577" xr:uid="{00000000-0005-0000-0000-0000991D0000}"/>
    <cellStyle name="Accent6 75 2" xfId="7578" xr:uid="{00000000-0005-0000-0000-00009A1D0000}"/>
    <cellStyle name="Accent6 75 2 2" xfId="7579" xr:uid="{00000000-0005-0000-0000-00009B1D0000}"/>
    <cellStyle name="Accent6 75 3" xfId="7580" xr:uid="{00000000-0005-0000-0000-00009C1D0000}"/>
    <cellStyle name="Accent6 75 3 2" xfId="7581" xr:uid="{00000000-0005-0000-0000-00009D1D0000}"/>
    <cellStyle name="Accent6 75 3 2 2" xfId="7582" xr:uid="{00000000-0005-0000-0000-00009E1D0000}"/>
    <cellStyle name="Accent6 75 3 3" xfId="7583" xr:uid="{00000000-0005-0000-0000-00009F1D0000}"/>
    <cellStyle name="Accent6 75 4" xfId="7584" xr:uid="{00000000-0005-0000-0000-0000A01D0000}"/>
    <cellStyle name="Accent6 76" xfId="7585" xr:uid="{00000000-0005-0000-0000-0000A11D0000}"/>
    <cellStyle name="Accent6 76 2" xfId="7586" xr:uid="{00000000-0005-0000-0000-0000A21D0000}"/>
    <cellStyle name="Accent6 76 2 2" xfId="7587" xr:uid="{00000000-0005-0000-0000-0000A31D0000}"/>
    <cellStyle name="Accent6 76 3" xfId="7588" xr:uid="{00000000-0005-0000-0000-0000A41D0000}"/>
    <cellStyle name="Accent6 76 3 2" xfId="7589" xr:uid="{00000000-0005-0000-0000-0000A51D0000}"/>
    <cellStyle name="Accent6 76 3 2 2" xfId="7590" xr:uid="{00000000-0005-0000-0000-0000A61D0000}"/>
    <cellStyle name="Accent6 76 3 3" xfId="7591" xr:uid="{00000000-0005-0000-0000-0000A71D0000}"/>
    <cellStyle name="Accent6 76 4" xfId="7592" xr:uid="{00000000-0005-0000-0000-0000A81D0000}"/>
    <cellStyle name="Accent6 77" xfId="7593" xr:uid="{00000000-0005-0000-0000-0000A91D0000}"/>
    <cellStyle name="Accent6 77 2" xfId="7594" xr:uid="{00000000-0005-0000-0000-0000AA1D0000}"/>
    <cellStyle name="Accent6 77 2 2" xfId="7595" xr:uid="{00000000-0005-0000-0000-0000AB1D0000}"/>
    <cellStyle name="Accent6 77 3" xfId="7596" xr:uid="{00000000-0005-0000-0000-0000AC1D0000}"/>
    <cellStyle name="Accent6 77 3 2" xfId="7597" xr:uid="{00000000-0005-0000-0000-0000AD1D0000}"/>
    <cellStyle name="Accent6 77 3 2 2" xfId="7598" xr:uid="{00000000-0005-0000-0000-0000AE1D0000}"/>
    <cellStyle name="Accent6 77 3 3" xfId="7599" xr:uid="{00000000-0005-0000-0000-0000AF1D0000}"/>
    <cellStyle name="Accent6 77 4" xfId="7600" xr:uid="{00000000-0005-0000-0000-0000B01D0000}"/>
    <cellStyle name="Accent6 78" xfId="7601" xr:uid="{00000000-0005-0000-0000-0000B11D0000}"/>
    <cellStyle name="Accent6 78 2" xfId="7602" xr:uid="{00000000-0005-0000-0000-0000B21D0000}"/>
    <cellStyle name="Accent6 78 2 2" xfId="7603" xr:uid="{00000000-0005-0000-0000-0000B31D0000}"/>
    <cellStyle name="Accent6 78 3" xfId="7604" xr:uid="{00000000-0005-0000-0000-0000B41D0000}"/>
    <cellStyle name="Accent6 78 3 2" xfId="7605" xr:uid="{00000000-0005-0000-0000-0000B51D0000}"/>
    <cellStyle name="Accent6 78 3 2 2" xfId="7606" xr:uid="{00000000-0005-0000-0000-0000B61D0000}"/>
    <cellStyle name="Accent6 78 3 3" xfId="7607" xr:uid="{00000000-0005-0000-0000-0000B71D0000}"/>
    <cellStyle name="Accent6 78 4" xfId="7608" xr:uid="{00000000-0005-0000-0000-0000B81D0000}"/>
    <cellStyle name="Accent6 79" xfId="7609" xr:uid="{00000000-0005-0000-0000-0000B91D0000}"/>
    <cellStyle name="Accent6 79 2" xfId="7610" xr:uid="{00000000-0005-0000-0000-0000BA1D0000}"/>
    <cellStyle name="Accent6 79 2 2" xfId="7611" xr:uid="{00000000-0005-0000-0000-0000BB1D0000}"/>
    <cellStyle name="Accent6 79 3" xfId="7612" xr:uid="{00000000-0005-0000-0000-0000BC1D0000}"/>
    <cellStyle name="Accent6 79 3 2" xfId="7613" xr:uid="{00000000-0005-0000-0000-0000BD1D0000}"/>
    <cellStyle name="Accent6 79 3 2 2" xfId="7614" xr:uid="{00000000-0005-0000-0000-0000BE1D0000}"/>
    <cellStyle name="Accent6 79 3 3" xfId="7615" xr:uid="{00000000-0005-0000-0000-0000BF1D0000}"/>
    <cellStyle name="Accent6 79 4" xfId="7616" xr:uid="{00000000-0005-0000-0000-0000C01D0000}"/>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3" xfId="7624" xr:uid="{00000000-0005-0000-0000-0000C81D0000}"/>
    <cellStyle name="Accent6 80 3 2" xfId="7625" xr:uid="{00000000-0005-0000-0000-0000C91D0000}"/>
    <cellStyle name="Accent6 80 3 2 2" xfId="7626" xr:uid="{00000000-0005-0000-0000-0000CA1D0000}"/>
    <cellStyle name="Accent6 80 3 3" xfId="7627" xr:uid="{00000000-0005-0000-0000-0000CB1D0000}"/>
    <cellStyle name="Accent6 80 4" xfId="7628" xr:uid="{00000000-0005-0000-0000-0000CC1D0000}"/>
    <cellStyle name="Accent6 81" xfId="7629" xr:uid="{00000000-0005-0000-0000-0000CD1D0000}"/>
    <cellStyle name="Accent6 81 2" xfId="7630" xr:uid="{00000000-0005-0000-0000-0000CE1D0000}"/>
    <cellStyle name="Accent6 81 2 2" xfId="7631" xr:uid="{00000000-0005-0000-0000-0000CF1D0000}"/>
    <cellStyle name="Accent6 81 3" xfId="7632" xr:uid="{00000000-0005-0000-0000-0000D01D0000}"/>
    <cellStyle name="Accent6 81 3 2" xfId="7633" xr:uid="{00000000-0005-0000-0000-0000D11D0000}"/>
    <cellStyle name="Accent6 81 3 2 2" xfId="7634" xr:uid="{00000000-0005-0000-0000-0000D21D0000}"/>
    <cellStyle name="Accent6 81 3 3" xfId="7635" xr:uid="{00000000-0005-0000-0000-0000D31D0000}"/>
    <cellStyle name="Accent6 81 4" xfId="7636" xr:uid="{00000000-0005-0000-0000-0000D41D0000}"/>
    <cellStyle name="Accent6 82" xfId="7637" xr:uid="{00000000-0005-0000-0000-0000D51D0000}"/>
    <cellStyle name="Accent6 82 2" xfId="7638" xr:uid="{00000000-0005-0000-0000-0000D61D0000}"/>
    <cellStyle name="Accent6 82 2 2" xfId="7639" xr:uid="{00000000-0005-0000-0000-0000D71D0000}"/>
    <cellStyle name="Accent6 82 3" xfId="7640" xr:uid="{00000000-0005-0000-0000-0000D81D0000}"/>
    <cellStyle name="Accent6 82 3 2" xfId="7641" xr:uid="{00000000-0005-0000-0000-0000D91D0000}"/>
    <cellStyle name="Accent6 82 3 2 2" xfId="7642" xr:uid="{00000000-0005-0000-0000-0000DA1D0000}"/>
    <cellStyle name="Accent6 82 3 3" xfId="7643" xr:uid="{00000000-0005-0000-0000-0000DB1D0000}"/>
    <cellStyle name="Accent6 82 4" xfId="7644" xr:uid="{00000000-0005-0000-0000-0000DC1D0000}"/>
    <cellStyle name="Accent6 83" xfId="7645" xr:uid="{00000000-0005-0000-0000-0000DD1D0000}"/>
    <cellStyle name="Accent6 83 2" xfId="7646" xr:uid="{00000000-0005-0000-0000-0000DE1D0000}"/>
    <cellStyle name="Accent6 83 2 2" xfId="7647" xr:uid="{00000000-0005-0000-0000-0000DF1D0000}"/>
    <cellStyle name="Accent6 83 3" xfId="7648" xr:uid="{00000000-0005-0000-0000-0000E01D0000}"/>
    <cellStyle name="Accent6 83 3 2" xfId="7649" xr:uid="{00000000-0005-0000-0000-0000E11D0000}"/>
    <cellStyle name="Accent6 83 3 2 2" xfId="7650" xr:uid="{00000000-0005-0000-0000-0000E21D0000}"/>
    <cellStyle name="Accent6 83 3 3" xfId="7651" xr:uid="{00000000-0005-0000-0000-0000E31D0000}"/>
    <cellStyle name="Accent6 83 4" xfId="7652" xr:uid="{00000000-0005-0000-0000-0000E41D0000}"/>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3" xfId="7688" xr:uid="{00000000-0005-0000-0000-0000081E0000}"/>
    <cellStyle name="Accent6 92" xfId="7689" xr:uid="{00000000-0005-0000-0000-0000091E0000}"/>
    <cellStyle name="Accent6 92 2" xfId="7690" xr:uid="{00000000-0005-0000-0000-00000A1E0000}"/>
    <cellStyle name="Accent6 92 2 2" xfId="7691" xr:uid="{00000000-0005-0000-0000-00000B1E0000}"/>
    <cellStyle name="Accent6 92 3" xfId="7692" xr:uid="{00000000-0005-0000-0000-00000C1E0000}"/>
    <cellStyle name="Accent6 93" xfId="7693" xr:uid="{00000000-0005-0000-0000-00000D1E0000}"/>
    <cellStyle name="Accent6 93 2" xfId="7694" xr:uid="{00000000-0005-0000-0000-00000E1E0000}"/>
    <cellStyle name="Accent6 93 2 2" xfId="7695" xr:uid="{00000000-0005-0000-0000-00000F1E0000}"/>
    <cellStyle name="Accent6 93 3" xfId="7696" xr:uid="{00000000-0005-0000-0000-0000101E0000}"/>
    <cellStyle name="Accent6 94" xfId="7697" xr:uid="{00000000-0005-0000-0000-0000111E0000}"/>
    <cellStyle name="Accent6 94 2" xfId="7698" xr:uid="{00000000-0005-0000-0000-0000121E0000}"/>
    <cellStyle name="Accent6 94 2 2" xfId="7699" xr:uid="{00000000-0005-0000-0000-0000131E0000}"/>
    <cellStyle name="Accent6 94 3" xfId="7700" xr:uid="{00000000-0005-0000-0000-0000141E0000}"/>
    <cellStyle name="Accent6 95" xfId="7701" xr:uid="{00000000-0005-0000-0000-0000151E0000}"/>
    <cellStyle name="Accent6 95 2" xfId="7702" xr:uid="{00000000-0005-0000-0000-0000161E0000}"/>
    <cellStyle name="Accent6 95 2 2" xfId="7703" xr:uid="{00000000-0005-0000-0000-0000171E0000}"/>
    <cellStyle name="Accent6 95 3" xfId="7704" xr:uid="{00000000-0005-0000-0000-0000181E0000}"/>
    <cellStyle name="Accent6 96" xfId="7705" xr:uid="{00000000-0005-0000-0000-0000191E0000}"/>
    <cellStyle name="Accent6 96 2" xfId="7706" xr:uid="{00000000-0005-0000-0000-00001A1E0000}"/>
    <cellStyle name="Accent6 96 2 2" xfId="7707" xr:uid="{00000000-0005-0000-0000-00001B1E0000}"/>
    <cellStyle name="Accent6 96 3" xfId="7708" xr:uid="{00000000-0005-0000-0000-00001C1E0000}"/>
    <cellStyle name="Accent6 97" xfId="7709" xr:uid="{00000000-0005-0000-0000-00001D1E0000}"/>
    <cellStyle name="Accent6 97 2" xfId="7710" xr:uid="{00000000-0005-0000-0000-00001E1E0000}"/>
    <cellStyle name="Accent6 97 2 2" xfId="7711" xr:uid="{00000000-0005-0000-0000-00001F1E0000}"/>
    <cellStyle name="Accent6 97 3" xfId="7712" xr:uid="{00000000-0005-0000-0000-0000201E0000}"/>
    <cellStyle name="Accent6 98" xfId="7713" xr:uid="{00000000-0005-0000-0000-0000211E0000}"/>
    <cellStyle name="Accent6 98 2" xfId="7714" xr:uid="{00000000-0005-0000-0000-0000221E0000}"/>
    <cellStyle name="Accent6 98 2 2" xfId="7715" xr:uid="{00000000-0005-0000-0000-0000231E0000}"/>
    <cellStyle name="Accent6 98 3" xfId="7716" xr:uid="{00000000-0005-0000-0000-0000241E0000}"/>
    <cellStyle name="Accent6 99" xfId="7717" xr:uid="{00000000-0005-0000-0000-0000251E0000}"/>
    <cellStyle name="Accent6 99 2" xfId="7718" xr:uid="{00000000-0005-0000-0000-0000261E0000}"/>
    <cellStyle name="Accent6 99 2 2" xfId="7719" xr:uid="{00000000-0005-0000-0000-0000271E0000}"/>
    <cellStyle name="Accent6 99 3" xfId="7720" xr:uid="{00000000-0005-0000-0000-0000281E0000}"/>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3" xfId="7742" xr:uid="{00000000-0005-0000-0000-00003E1E0000}"/>
    <cellStyle name="Actual Date 3 2" xfId="7743" xr:uid="{00000000-0005-0000-0000-00003F1E0000}"/>
    <cellStyle name="Actual Date 4" xfId="7744" xr:uid="{00000000-0005-0000-0000-0000401E0000}"/>
    <cellStyle name="Actual Date 5" xfId="7745" xr:uid="{00000000-0005-0000-0000-0000411E000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1" xfId="7771" xr:uid="{00000000-0005-0000-0000-00005B1E0000}"/>
    <cellStyle name="Bad 2 12" xfId="7772" xr:uid="{00000000-0005-0000-0000-00005C1E0000}"/>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8" xfId="7811" xr:uid="{00000000-0005-0000-0000-0000831E0000}"/>
    <cellStyle name="Bad 2 8 2" xfId="7812" xr:uid="{00000000-0005-0000-0000-0000841E0000}"/>
    <cellStyle name="Bad 2 8 2 2" xfId="7813" xr:uid="{00000000-0005-0000-0000-0000851E0000}"/>
    <cellStyle name="Bad 2 8 3" xfId="7814" xr:uid="{00000000-0005-0000-0000-0000861E0000}"/>
    <cellStyle name="Bad 2 9" xfId="7815" xr:uid="{00000000-0005-0000-0000-0000871E0000}"/>
    <cellStyle name="Bad 2 9 2" xfId="7816" xr:uid="{00000000-0005-0000-0000-0000881E0000}"/>
    <cellStyle name="Bad 2 9 2 2" xfId="7817" xr:uid="{00000000-0005-0000-0000-0000891E0000}"/>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3" xfId="7842" xr:uid="{00000000-0005-0000-0000-0000A21E0000}"/>
    <cellStyle name="Bad 5 2 2 3 2" xfId="7843" xr:uid="{00000000-0005-0000-0000-0000A31E0000}"/>
    <cellStyle name="Bad 5 2 2 3 2 2" xfId="7844" xr:uid="{00000000-0005-0000-0000-0000A41E0000}"/>
    <cellStyle name="Bad 5 2 2 3 3" xfId="7845" xr:uid="{00000000-0005-0000-0000-0000A51E0000}"/>
    <cellStyle name="Bad 5 2 2 4" xfId="7846" xr:uid="{00000000-0005-0000-0000-0000A61E0000}"/>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5" xfId="7860" xr:uid="{00000000-0005-0000-0000-0000B41E0000}"/>
    <cellStyle name="Bad 5 5 2" xfId="7861" xr:uid="{00000000-0005-0000-0000-0000B51E0000}"/>
    <cellStyle name="Bad 5 5 2 2" xfId="7862" xr:uid="{00000000-0005-0000-0000-0000B61E0000}"/>
    <cellStyle name="Bad 5 5 3" xfId="7863" xr:uid="{00000000-0005-0000-0000-0000B71E0000}"/>
    <cellStyle name="Bad 5 6" xfId="7864" xr:uid="{00000000-0005-0000-0000-0000B81E0000}"/>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3" xfId="7902" xr:uid="{00000000-0005-0000-0000-0000DE1E0000}"/>
    <cellStyle name="Calculation 2 11" xfId="7903" xr:uid="{00000000-0005-0000-0000-0000DF1E0000}"/>
    <cellStyle name="Calculation 2 11 2" xfId="7904" xr:uid="{00000000-0005-0000-0000-0000E01E0000}"/>
    <cellStyle name="Calculation 2 12" xfId="7905" xr:uid="{00000000-0005-0000-0000-0000E11E0000}"/>
    <cellStyle name="Calculation 2 13" xfId="7906" xr:uid="{00000000-0005-0000-0000-0000E21E0000}"/>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3" xfId="7994" xr:uid="{00000000-0005-0000-0000-00003A1F0000}"/>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3" xfId="7999" xr:uid="{00000000-0005-0000-0000-00003F1F0000}"/>
    <cellStyle name="Calculation 2 8 3" xfId="8000" xr:uid="{00000000-0005-0000-0000-0000401F0000}"/>
    <cellStyle name="Calculation 2 8 3 2" xfId="8001" xr:uid="{00000000-0005-0000-0000-0000411F0000}"/>
    <cellStyle name="Calculation 2 8 4" xfId="8002" xr:uid="{00000000-0005-0000-0000-0000421F0000}"/>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3" xfId="8007" xr:uid="{00000000-0005-0000-0000-0000471F0000}"/>
    <cellStyle name="Calculation 2 9 3" xfId="8008" xr:uid="{00000000-0005-0000-0000-0000481F0000}"/>
    <cellStyle name="Calculation 2 9 3 2" xfId="8009" xr:uid="{00000000-0005-0000-0000-0000491F0000}"/>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3" xfId="8037" xr:uid="{00000000-0005-0000-0000-0000651F0000}"/>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3" xfId="8042" xr:uid="{00000000-0005-0000-0000-00006A1F0000}"/>
    <cellStyle name="Calculation 5 3 3" xfId="8043" xr:uid="{00000000-0005-0000-0000-00006B1F0000}"/>
    <cellStyle name="Calculation 5 3 3 2" xfId="8044" xr:uid="{00000000-0005-0000-0000-00006C1F0000}"/>
    <cellStyle name="Calculation 5 3 4" xfId="8045" xr:uid="{00000000-0005-0000-0000-00006D1F0000}"/>
    <cellStyle name="Calculation 5 4" xfId="8046" xr:uid="{00000000-0005-0000-0000-00006E1F0000}"/>
    <cellStyle name="Calculation 5 4 2" xfId="8047" xr:uid="{00000000-0005-0000-0000-00006F1F0000}"/>
    <cellStyle name="Calculation 5 5" xfId="8048" xr:uid="{00000000-0005-0000-0000-0000701F0000}"/>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3" xfId="8088" xr:uid="{00000000-0005-0000-0000-0000981F0000}"/>
    <cellStyle name="Check Cell 2 3 3 2" xfId="8089" xr:uid="{00000000-0005-0000-0000-0000991F0000}"/>
    <cellStyle name="Check Cell 2 3 3 2 2" xfId="8090" xr:uid="{00000000-0005-0000-0000-00009A1F0000}"/>
    <cellStyle name="Check Cell 2 3 3 3" xfId="8091" xr:uid="{00000000-0005-0000-0000-00009B1F0000}"/>
    <cellStyle name="Check Cell 2 3 4" xfId="8092" xr:uid="{00000000-0005-0000-0000-00009C1F0000}"/>
    <cellStyle name="Check Cell 2 4" xfId="8093" xr:uid="{00000000-0005-0000-0000-00009D1F0000}"/>
    <cellStyle name="Check Cell 2 4 2" xfId="8094" xr:uid="{00000000-0005-0000-0000-00009E1F0000}"/>
    <cellStyle name="Check Cell 2 4 2 2" xfId="8095" xr:uid="{00000000-0005-0000-0000-00009F1F0000}"/>
    <cellStyle name="Check Cell 2 4 3" xfId="8096" xr:uid="{00000000-0005-0000-0000-0000A01F0000}"/>
    <cellStyle name="Check Cell 2 5" xfId="8097" xr:uid="{00000000-0005-0000-0000-0000A11F0000}"/>
    <cellStyle name="Check Cell 2 5 2" xfId="8098" xr:uid="{00000000-0005-0000-0000-0000A21F0000}"/>
    <cellStyle name="Check Cell 2 5 2 2" xfId="8099" xr:uid="{00000000-0005-0000-0000-0000A31F0000}"/>
    <cellStyle name="Check Cell 2 5 3" xfId="8100" xr:uid="{00000000-0005-0000-0000-0000A41F0000}"/>
    <cellStyle name="Check Cell 2 5 3 2" xfId="8101" xr:uid="{00000000-0005-0000-0000-0000A51F0000}"/>
    <cellStyle name="Check Cell 2 5 3 2 2" xfId="8102" xr:uid="{00000000-0005-0000-0000-0000A61F0000}"/>
    <cellStyle name="Check Cell 2 5 3 3" xfId="8103" xr:uid="{00000000-0005-0000-0000-0000A71F0000}"/>
    <cellStyle name="Check Cell 2 5 4" xfId="8104" xr:uid="{00000000-0005-0000-0000-0000A81F0000}"/>
    <cellStyle name="Check Cell 2 6" xfId="8105" xr:uid="{00000000-0005-0000-0000-0000A91F0000}"/>
    <cellStyle name="Check Cell 2 6 2" xfId="8106" xr:uid="{00000000-0005-0000-0000-0000AA1F0000}"/>
    <cellStyle name="Check Cell 2 6 2 2" xfId="8107" xr:uid="{00000000-0005-0000-0000-0000AB1F0000}"/>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3" xfId="8121" xr:uid="{00000000-0005-0000-0000-0000B91F0000}"/>
    <cellStyle name="Check Cell 3 2" xfId="8122" xr:uid="{00000000-0005-0000-0000-0000BA1F0000}"/>
    <cellStyle name="Check Cell 3 2 2" xfId="8123" xr:uid="{00000000-0005-0000-0000-0000BB1F0000}"/>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3" xfId="8150" xr:uid="{00000000-0005-0000-0000-0000D61F0000}"/>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5" xfId="52" xr:uid="{00000000-0005-0000-0000-000034000000}"/>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0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1" xfId="8555" xr:uid="{00000000-0005-0000-0000-00006B210000}"/>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8" xfId="8599" xr:uid="{00000000-0005-0000-0000-000097210000}"/>
    <cellStyle name="Good 2 8 2" xfId="8600" xr:uid="{00000000-0005-0000-0000-000098210000}"/>
    <cellStyle name="Good 2 8 2 2" xfId="8601" xr:uid="{00000000-0005-0000-0000-000099210000}"/>
    <cellStyle name="Good 2 8 3" xfId="8602" xr:uid="{00000000-0005-0000-0000-00009A210000}"/>
    <cellStyle name="Good 2 9" xfId="8603" xr:uid="{00000000-0005-0000-0000-00009B210000}"/>
    <cellStyle name="Good 2 9 2" xfId="8604" xr:uid="{00000000-0005-0000-0000-00009C210000}"/>
    <cellStyle name="Good 2 9 2 2" xfId="8605" xr:uid="{00000000-0005-0000-0000-00009D210000}"/>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5" xfId="8625" xr:uid="{00000000-0005-0000-0000-0000B1210000}"/>
    <cellStyle name="Good 5 2" xfId="8626" xr:uid="{00000000-0005-0000-0000-0000B2210000}"/>
    <cellStyle name="Good 5 2 2" xfId="8627" xr:uid="{00000000-0005-0000-0000-0000B3210000}"/>
    <cellStyle name="Good 5 3" xfId="8628" xr:uid="{00000000-0005-0000-0000-0000B4210000}"/>
    <cellStyle name="Good 5 3 2" xfId="8629" xr:uid="{00000000-0005-0000-0000-0000B5210000}"/>
    <cellStyle name="Good 5 3 2 2" xfId="8630" xr:uid="{00000000-0005-0000-0000-0000B6210000}"/>
    <cellStyle name="Good 5 3 3" xfId="8631" xr:uid="{00000000-0005-0000-0000-0000B7210000}"/>
    <cellStyle name="Good 5 4" xfId="8632" xr:uid="{00000000-0005-0000-0000-0000B8210000}"/>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1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3" xfId="9359" xr:uid="{00000000-0005-0000-0000-00008F240000}"/>
    <cellStyle name="Input 100 3" xfId="9360" xr:uid="{00000000-0005-0000-0000-000090240000}"/>
    <cellStyle name="Input 100 3 2" xfId="9361" xr:uid="{00000000-0005-0000-0000-000091240000}"/>
    <cellStyle name="Input 100 4" xfId="9362" xr:uid="{00000000-0005-0000-0000-00009224000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3" xfId="9367" xr:uid="{00000000-0005-0000-0000-000097240000}"/>
    <cellStyle name="Input 101 3" xfId="9368" xr:uid="{00000000-0005-0000-0000-000098240000}"/>
    <cellStyle name="Input 101 3 2" xfId="9369" xr:uid="{00000000-0005-0000-0000-000099240000}"/>
    <cellStyle name="Input 101 4" xfId="9370" xr:uid="{00000000-0005-0000-0000-00009A240000}"/>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3" xfId="9439" xr:uid="{00000000-0005-0000-0000-0000DF240000}"/>
    <cellStyle name="Input 105 3" xfId="9440" xr:uid="{00000000-0005-0000-0000-0000E0240000}"/>
    <cellStyle name="Input 105 3 2" xfId="9441" xr:uid="{00000000-0005-0000-0000-0000E1240000}"/>
    <cellStyle name="Input 105 4" xfId="9442" xr:uid="{00000000-0005-0000-0000-0000E2240000}"/>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3" xfId="9447" xr:uid="{00000000-0005-0000-0000-0000E7240000}"/>
    <cellStyle name="Input 106 3" xfId="9448" xr:uid="{00000000-0005-0000-0000-0000E8240000}"/>
    <cellStyle name="Input 106 3 2" xfId="9449" xr:uid="{00000000-0005-0000-0000-0000E9240000}"/>
    <cellStyle name="Input 106 4" xfId="9450" xr:uid="{00000000-0005-0000-0000-0000EA240000}"/>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3" xfId="9455" xr:uid="{00000000-0005-0000-0000-0000EF240000}"/>
    <cellStyle name="Input 107 3" xfId="9456" xr:uid="{00000000-0005-0000-0000-0000F0240000}"/>
    <cellStyle name="Input 107 3 2" xfId="9457" xr:uid="{00000000-0005-0000-0000-0000F1240000}"/>
    <cellStyle name="Input 107 4" xfId="9458" xr:uid="{00000000-0005-0000-0000-0000F2240000}"/>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3" xfId="9865" xr:uid="{00000000-0005-0000-0000-000089260000}"/>
    <cellStyle name="Input 2 11" xfId="9866" xr:uid="{00000000-0005-0000-0000-00008A260000}"/>
    <cellStyle name="Input 2 11 2" xfId="9867" xr:uid="{00000000-0005-0000-0000-00008B260000}"/>
    <cellStyle name="Input 2 12" xfId="9868" xr:uid="{00000000-0005-0000-0000-00008C260000}"/>
    <cellStyle name="Input 2 13" xfId="9869" xr:uid="{00000000-0005-0000-0000-00008D260000}"/>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3" xfId="9949" xr:uid="{00000000-0005-0000-0000-0000DD260000}"/>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3" xfId="9954" xr:uid="{00000000-0005-0000-0000-0000E2260000}"/>
    <cellStyle name="Input 2 8 3" xfId="9955" xr:uid="{00000000-0005-0000-0000-0000E3260000}"/>
    <cellStyle name="Input 2 8 3 2" xfId="9956" xr:uid="{00000000-0005-0000-0000-0000E4260000}"/>
    <cellStyle name="Input 2 8 4" xfId="9957" xr:uid="{00000000-0005-0000-0000-0000E5260000}"/>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3" xfId="9962" xr:uid="{00000000-0005-0000-0000-0000EA260000}"/>
    <cellStyle name="Input 2 9 3" xfId="9963" xr:uid="{00000000-0005-0000-0000-0000EB260000}"/>
    <cellStyle name="Input 2 9 3 2" xfId="9964" xr:uid="{00000000-0005-0000-0000-0000EC260000}"/>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2" xfId="10053" xr:uid="{00000000-0005-0000-0000-00004527000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3" xfId="10109" xr:uid="{00000000-0005-0000-0000-00007D270000}"/>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3" xfId="10114" xr:uid="{00000000-0005-0000-0000-000082270000}"/>
    <cellStyle name="Input 3 8 3" xfId="10115" xr:uid="{00000000-0005-0000-0000-000083270000}"/>
    <cellStyle name="Input 3 8 3 2" xfId="10116" xr:uid="{00000000-0005-0000-0000-000084270000}"/>
    <cellStyle name="Input 3 8 4" xfId="10117" xr:uid="{00000000-0005-0000-0000-000085270000}"/>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3" xfId="10374" xr:uid="{00000000-0005-0000-0000-000086280000}"/>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3" xfId="10379" xr:uid="{00000000-0005-0000-0000-00008B280000}"/>
    <cellStyle name="Input 48 3 3" xfId="10380" xr:uid="{00000000-0005-0000-0000-00008C280000}"/>
    <cellStyle name="Input 48 3 3 2" xfId="10381" xr:uid="{00000000-0005-0000-0000-00008D280000}"/>
    <cellStyle name="Input 48 3 4" xfId="10382" xr:uid="{00000000-0005-0000-0000-00008E280000}"/>
    <cellStyle name="Input 48 4" xfId="10383" xr:uid="{00000000-0005-0000-0000-00008F280000}"/>
    <cellStyle name="Input 48 4 2" xfId="10384" xr:uid="{00000000-0005-0000-0000-000090280000}"/>
    <cellStyle name="Input 48 5" xfId="10385" xr:uid="{00000000-0005-0000-0000-000091280000}"/>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3" xfId="10390" xr:uid="{00000000-0005-0000-0000-000096280000}"/>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3" xfId="10395" xr:uid="{00000000-0005-0000-0000-00009B280000}"/>
    <cellStyle name="Input 49 3 3" xfId="10396" xr:uid="{00000000-0005-0000-0000-00009C280000}"/>
    <cellStyle name="Input 49 3 3 2" xfId="10397" xr:uid="{00000000-0005-0000-0000-00009D280000}"/>
    <cellStyle name="Input 49 3 4" xfId="10398" xr:uid="{00000000-0005-0000-0000-00009E280000}"/>
    <cellStyle name="Input 49 4" xfId="10399" xr:uid="{00000000-0005-0000-0000-00009F280000}"/>
    <cellStyle name="Input 49 4 2" xfId="10400" xr:uid="{00000000-0005-0000-0000-0000A0280000}"/>
    <cellStyle name="Input 49 5" xfId="10401" xr:uid="{00000000-0005-0000-0000-0000A1280000}"/>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3" xfId="10423" xr:uid="{00000000-0005-0000-0000-0000B7280000}"/>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3" xfId="10428" xr:uid="{00000000-0005-0000-0000-0000BC280000}"/>
    <cellStyle name="Input 5 3 3 3" xfId="10429" xr:uid="{00000000-0005-0000-0000-0000BD280000}"/>
    <cellStyle name="Input 5 3 3 3 2" xfId="10430" xr:uid="{00000000-0005-0000-0000-0000BE280000}"/>
    <cellStyle name="Input 5 3 3 4" xfId="10431" xr:uid="{00000000-0005-0000-0000-0000BF280000}"/>
    <cellStyle name="Input 5 3 4" xfId="10432" xr:uid="{00000000-0005-0000-0000-0000C0280000}"/>
    <cellStyle name="Input 5 3 4 2" xfId="10433" xr:uid="{00000000-0005-0000-0000-0000C1280000}"/>
    <cellStyle name="Input 5 3 5" xfId="10434" xr:uid="{00000000-0005-0000-0000-0000C2280000}"/>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3" xfId="10478" xr:uid="{00000000-0005-0000-0000-0000EE280000}"/>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3" xfId="10483" xr:uid="{00000000-0005-0000-0000-0000F3280000}"/>
    <cellStyle name="Input 50 3 3" xfId="10484" xr:uid="{00000000-0005-0000-0000-0000F4280000}"/>
    <cellStyle name="Input 50 3 3 2" xfId="10485" xr:uid="{00000000-0005-0000-0000-0000F5280000}"/>
    <cellStyle name="Input 50 3 4" xfId="10486" xr:uid="{00000000-0005-0000-0000-0000F6280000}"/>
    <cellStyle name="Input 50 4" xfId="10487" xr:uid="{00000000-0005-0000-0000-0000F7280000}"/>
    <cellStyle name="Input 50 4 2" xfId="10488" xr:uid="{00000000-0005-0000-0000-0000F8280000}"/>
    <cellStyle name="Input 50 5" xfId="10489" xr:uid="{00000000-0005-0000-0000-0000F9280000}"/>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3" xfId="10494" xr:uid="{00000000-0005-0000-0000-0000FE280000}"/>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3" xfId="10499" xr:uid="{00000000-0005-0000-0000-000003290000}"/>
    <cellStyle name="Input 51 3 3" xfId="10500" xr:uid="{00000000-0005-0000-0000-000004290000}"/>
    <cellStyle name="Input 51 3 3 2" xfId="10501" xr:uid="{00000000-0005-0000-0000-000005290000}"/>
    <cellStyle name="Input 51 3 4" xfId="10502" xr:uid="{00000000-0005-0000-0000-000006290000}"/>
    <cellStyle name="Input 51 4" xfId="10503" xr:uid="{00000000-0005-0000-0000-000007290000}"/>
    <cellStyle name="Input 51 4 2" xfId="10504" xr:uid="{00000000-0005-0000-0000-000008290000}"/>
    <cellStyle name="Input 51 5" xfId="10505" xr:uid="{00000000-0005-0000-0000-000009290000}"/>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3" xfId="10558" xr:uid="{00000000-0005-0000-0000-00003E290000}"/>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3" xfId="10563" xr:uid="{00000000-0005-0000-0000-000043290000}"/>
    <cellStyle name="Input 58 3 3" xfId="10564" xr:uid="{00000000-0005-0000-0000-000044290000}"/>
    <cellStyle name="Input 58 3 3 2" xfId="10565" xr:uid="{00000000-0005-0000-0000-000045290000}"/>
    <cellStyle name="Input 58 3 4" xfId="10566" xr:uid="{00000000-0005-0000-0000-000046290000}"/>
    <cellStyle name="Input 58 4" xfId="10567" xr:uid="{00000000-0005-0000-0000-000047290000}"/>
    <cellStyle name="Input 58 4 2" xfId="10568" xr:uid="{00000000-0005-0000-0000-000048290000}"/>
    <cellStyle name="Input 58 5" xfId="10569" xr:uid="{00000000-0005-0000-0000-000049290000}"/>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3" xfId="10574" xr:uid="{00000000-0005-0000-0000-00004E290000}"/>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3" xfId="10579" xr:uid="{00000000-0005-0000-0000-000053290000}"/>
    <cellStyle name="Input 59 3 3" xfId="10580" xr:uid="{00000000-0005-0000-0000-000054290000}"/>
    <cellStyle name="Input 59 3 3 2" xfId="10581" xr:uid="{00000000-0005-0000-0000-000055290000}"/>
    <cellStyle name="Input 59 3 4" xfId="10582" xr:uid="{00000000-0005-0000-0000-000056290000}"/>
    <cellStyle name="Input 59 4" xfId="10583" xr:uid="{00000000-0005-0000-0000-000057290000}"/>
    <cellStyle name="Input 59 4 2" xfId="10584" xr:uid="{00000000-0005-0000-0000-000058290000}"/>
    <cellStyle name="Input 59 5" xfId="10585" xr:uid="{00000000-0005-0000-0000-000059290000}"/>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3" xfId="10646" xr:uid="{00000000-0005-0000-0000-000096290000}"/>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3" xfId="10651" xr:uid="{00000000-0005-0000-0000-00009B290000}"/>
    <cellStyle name="Input 60 3 3" xfId="10652" xr:uid="{00000000-0005-0000-0000-00009C290000}"/>
    <cellStyle name="Input 60 3 3 2" xfId="10653" xr:uid="{00000000-0005-0000-0000-00009D290000}"/>
    <cellStyle name="Input 60 3 4" xfId="10654" xr:uid="{00000000-0005-0000-0000-00009E290000}"/>
    <cellStyle name="Input 60 4" xfId="10655" xr:uid="{00000000-0005-0000-0000-00009F290000}"/>
    <cellStyle name="Input 60 4 2" xfId="10656" xr:uid="{00000000-0005-0000-0000-0000A0290000}"/>
    <cellStyle name="Input 60 5" xfId="10657" xr:uid="{00000000-0005-0000-0000-0000A1290000}"/>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3" xfId="10662" xr:uid="{00000000-0005-0000-0000-0000A6290000}"/>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3" xfId="10667" xr:uid="{00000000-0005-0000-0000-0000AB290000}"/>
    <cellStyle name="Input 61 3 3" xfId="10668" xr:uid="{00000000-0005-0000-0000-0000AC290000}"/>
    <cellStyle name="Input 61 3 3 2" xfId="10669" xr:uid="{00000000-0005-0000-0000-0000AD290000}"/>
    <cellStyle name="Input 61 3 4" xfId="10670" xr:uid="{00000000-0005-0000-0000-0000AE290000}"/>
    <cellStyle name="Input 61 4" xfId="10671" xr:uid="{00000000-0005-0000-0000-0000AF290000}"/>
    <cellStyle name="Input 61 4 2" xfId="10672" xr:uid="{00000000-0005-0000-0000-0000B0290000}"/>
    <cellStyle name="Input 61 5" xfId="10673" xr:uid="{00000000-0005-0000-0000-0000B1290000}"/>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3" xfId="10678" xr:uid="{00000000-0005-0000-0000-0000B6290000}"/>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3" xfId="10683" xr:uid="{00000000-0005-0000-0000-0000BB290000}"/>
    <cellStyle name="Input 62 3 3" xfId="10684" xr:uid="{00000000-0005-0000-0000-0000BC290000}"/>
    <cellStyle name="Input 62 3 3 2" xfId="10685" xr:uid="{00000000-0005-0000-0000-0000BD290000}"/>
    <cellStyle name="Input 62 3 4" xfId="10686" xr:uid="{00000000-0005-0000-0000-0000BE290000}"/>
    <cellStyle name="Input 62 4" xfId="10687" xr:uid="{00000000-0005-0000-0000-0000BF290000}"/>
    <cellStyle name="Input 62 4 2" xfId="10688" xr:uid="{00000000-0005-0000-0000-0000C0290000}"/>
    <cellStyle name="Input 62 5" xfId="10689" xr:uid="{00000000-0005-0000-0000-0000C1290000}"/>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3" xfId="10694" xr:uid="{00000000-0005-0000-0000-0000C6290000}"/>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3" xfId="10699" xr:uid="{00000000-0005-0000-0000-0000CB290000}"/>
    <cellStyle name="Input 63 3 3" xfId="10700" xr:uid="{00000000-0005-0000-0000-0000CC290000}"/>
    <cellStyle name="Input 63 3 3 2" xfId="10701" xr:uid="{00000000-0005-0000-0000-0000CD290000}"/>
    <cellStyle name="Input 63 3 4" xfId="10702" xr:uid="{00000000-0005-0000-0000-0000CE290000}"/>
    <cellStyle name="Input 63 4" xfId="10703" xr:uid="{00000000-0005-0000-0000-0000CF290000}"/>
    <cellStyle name="Input 63 4 2" xfId="10704" xr:uid="{00000000-0005-0000-0000-0000D0290000}"/>
    <cellStyle name="Input 63 5" xfId="10705" xr:uid="{00000000-0005-0000-0000-0000D1290000}"/>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3" xfId="10710" xr:uid="{00000000-0005-0000-0000-0000D6290000}"/>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3" xfId="10715" xr:uid="{00000000-0005-0000-0000-0000DB290000}"/>
    <cellStyle name="Input 64 3 3" xfId="10716" xr:uid="{00000000-0005-0000-0000-0000DC290000}"/>
    <cellStyle name="Input 64 3 3 2" xfId="10717" xr:uid="{00000000-0005-0000-0000-0000DD290000}"/>
    <cellStyle name="Input 64 3 4" xfId="10718" xr:uid="{00000000-0005-0000-0000-0000DE290000}"/>
    <cellStyle name="Input 64 4" xfId="10719" xr:uid="{00000000-0005-0000-0000-0000DF290000}"/>
    <cellStyle name="Input 64 4 2" xfId="10720" xr:uid="{00000000-0005-0000-0000-0000E0290000}"/>
    <cellStyle name="Input 64 5" xfId="10721" xr:uid="{00000000-0005-0000-0000-0000E1290000}"/>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3" xfId="10726" xr:uid="{00000000-0005-0000-0000-0000E6290000}"/>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3" xfId="10731" xr:uid="{00000000-0005-0000-0000-0000EB290000}"/>
    <cellStyle name="Input 65 3 3" xfId="10732" xr:uid="{00000000-0005-0000-0000-0000EC290000}"/>
    <cellStyle name="Input 65 3 3 2" xfId="10733" xr:uid="{00000000-0005-0000-0000-0000ED290000}"/>
    <cellStyle name="Input 65 3 4" xfId="10734" xr:uid="{00000000-0005-0000-0000-0000EE290000}"/>
    <cellStyle name="Input 65 4" xfId="10735" xr:uid="{00000000-0005-0000-0000-0000EF290000}"/>
    <cellStyle name="Input 65 4 2" xfId="10736" xr:uid="{00000000-0005-0000-0000-0000F0290000}"/>
    <cellStyle name="Input 65 5" xfId="10737" xr:uid="{00000000-0005-0000-0000-0000F1290000}"/>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3" xfId="10742" xr:uid="{00000000-0005-0000-0000-0000F6290000}"/>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3" xfId="10747" xr:uid="{00000000-0005-0000-0000-0000FB290000}"/>
    <cellStyle name="Input 66 3 3" xfId="10748" xr:uid="{00000000-0005-0000-0000-0000FC290000}"/>
    <cellStyle name="Input 66 3 3 2" xfId="10749" xr:uid="{00000000-0005-0000-0000-0000FD290000}"/>
    <cellStyle name="Input 66 3 4" xfId="10750" xr:uid="{00000000-0005-0000-0000-0000FE290000}"/>
    <cellStyle name="Input 66 4" xfId="10751" xr:uid="{00000000-0005-0000-0000-0000FF290000}"/>
    <cellStyle name="Input 66 4 2" xfId="10752" xr:uid="{00000000-0005-0000-0000-0000002A0000}"/>
    <cellStyle name="Input 66 5" xfId="10753" xr:uid="{00000000-0005-0000-0000-0000012A0000}"/>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3" xfId="10758" xr:uid="{00000000-0005-0000-0000-0000062A0000}"/>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3" xfId="10763" xr:uid="{00000000-0005-0000-0000-00000B2A0000}"/>
    <cellStyle name="Input 67 3 3" xfId="10764" xr:uid="{00000000-0005-0000-0000-00000C2A0000}"/>
    <cellStyle name="Input 67 3 3 2" xfId="10765" xr:uid="{00000000-0005-0000-0000-00000D2A0000}"/>
    <cellStyle name="Input 67 3 4" xfId="10766" xr:uid="{00000000-0005-0000-0000-00000E2A0000}"/>
    <cellStyle name="Input 67 4" xfId="10767" xr:uid="{00000000-0005-0000-0000-00000F2A0000}"/>
    <cellStyle name="Input 67 4 2" xfId="10768" xr:uid="{00000000-0005-0000-0000-0000102A0000}"/>
    <cellStyle name="Input 67 5" xfId="10769" xr:uid="{00000000-0005-0000-0000-0000112A0000}"/>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3" xfId="10774" xr:uid="{00000000-0005-0000-0000-0000162A0000}"/>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3" xfId="10779" xr:uid="{00000000-0005-0000-0000-00001B2A0000}"/>
    <cellStyle name="Input 68 3 3" xfId="10780" xr:uid="{00000000-0005-0000-0000-00001C2A0000}"/>
    <cellStyle name="Input 68 3 3 2" xfId="10781" xr:uid="{00000000-0005-0000-0000-00001D2A0000}"/>
    <cellStyle name="Input 68 3 4" xfId="10782" xr:uid="{00000000-0005-0000-0000-00001E2A0000}"/>
    <cellStyle name="Input 68 4" xfId="10783" xr:uid="{00000000-0005-0000-0000-00001F2A0000}"/>
    <cellStyle name="Input 68 4 2" xfId="10784" xr:uid="{00000000-0005-0000-0000-0000202A0000}"/>
    <cellStyle name="Input 68 5" xfId="10785" xr:uid="{00000000-0005-0000-0000-0000212A0000}"/>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3" xfId="10790" xr:uid="{00000000-0005-0000-0000-0000262A0000}"/>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3" xfId="10795" xr:uid="{00000000-0005-0000-0000-00002B2A0000}"/>
    <cellStyle name="Input 69 3 3" xfId="10796" xr:uid="{00000000-0005-0000-0000-00002C2A0000}"/>
    <cellStyle name="Input 69 3 3 2" xfId="10797" xr:uid="{00000000-0005-0000-0000-00002D2A0000}"/>
    <cellStyle name="Input 69 3 4" xfId="10798" xr:uid="{00000000-0005-0000-0000-00002E2A0000}"/>
    <cellStyle name="Input 69 4" xfId="10799" xr:uid="{00000000-0005-0000-0000-00002F2A0000}"/>
    <cellStyle name="Input 69 4 2" xfId="10800" xr:uid="{00000000-0005-0000-0000-0000302A0000}"/>
    <cellStyle name="Input 69 5" xfId="10801" xr:uid="{00000000-0005-0000-0000-0000312A0000}"/>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3" xfId="10862" xr:uid="{00000000-0005-0000-0000-00006E2A0000}"/>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3" xfId="10867" xr:uid="{00000000-0005-0000-0000-0000732A0000}"/>
    <cellStyle name="Input 70 3 3" xfId="10868" xr:uid="{00000000-0005-0000-0000-0000742A0000}"/>
    <cellStyle name="Input 70 3 3 2" xfId="10869" xr:uid="{00000000-0005-0000-0000-0000752A0000}"/>
    <cellStyle name="Input 70 3 4" xfId="10870" xr:uid="{00000000-0005-0000-0000-0000762A0000}"/>
    <cellStyle name="Input 70 4" xfId="10871" xr:uid="{00000000-0005-0000-0000-0000772A0000}"/>
    <cellStyle name="Input 70 4 2" xfId="10872" xr:uid="{00000000-0005-0000-0000-0000782A0000}"/>
    <cellStyle name="Input 70 5" xfId="10873" xr:uid="{00000000-0005-0000-0000-0000792A0000}"/>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3" xfId="10878" xr:uid="{00000000-0005-0000-0000-00007E2A0000}"/>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3" xfId="10883" xr:uid="{00000000-0005-0000-0000-0000832A0000}"/>
    <cellStyle name="Input 71 3 3" xfId="10884" xr:uid="{00000000-0005-0000-0000-0000842A0000}"/>
    <cellStyle name="Input 71 3 3 2" xfId="10885" xr:uid="{00000000-0005-0000-0000-0000852A0000}"/>
    <cellStyle name="Input 71 3 4" xfId="10886" xr:uid="{00000000-0005-0000-0000-0000862A0000}"/>
    <cellStyle name="Input 71 4" xfId="10887" xr:uid="{00000000-0005-0000-0000-0000872A0000}"/>
    <cellStyle name="Input 71 4 2" xfId="10888" xr:uid="{00000000-0005-0000-0000-0000882A0000}"/>
    <cellStyle name="Input 71 5" xfId="10889" xr:uid="{00000000-0005-0000-0000-0000892A0000}"/>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3" xfId="10894" xr:uid="{00000000-0005-0000-0000-00008E2A0000}"/>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3" xfId="10899" xr:uid="{00000000-0005-0000-0000-0000932A0000}"/>
    <cellStyle name="Input 72 3 3" xfId="10900" xr:uid="{00000000-0005-0000-0000-0000942A0000}"/>
    <cellStyle name="Input 72 3 3 2" xfId="10901" xr:uid="{00000000-0005-0000-0000-0000952A0000}"/>
    <cellStyle name="Input 72 3 4" xfId="10902" xr:uid="{00000000-0005-0000-0000-0000962A0000}"/>
    <cellStyle name="Input 72 4" xfId="10903" xr:uid="{00000000-0005-0000-0000-0000972A0000}"/>
    <cellStyle name="Input 72 4 2" xfId="10904" xr:uid="{00000000-0005-0000-0000-0000982A0000}"/>
    <cellStyle name="Input 72 5" xfId="10905" xr:uid="{00000000-0005-0000-0000-0000992A0000}"/>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3" xfId="10910" xr:uid="{00000000-0005-0000-0000-00009E2A0000}"/>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3" xfId="10915" xr:uid="{00000000-0005-0000-0000-0000A32A0000}"/>
    <cellStyle name="Input 73 3 3" xfId="10916" xr:uid="{00000000-0005-0000-0000-0000A42A0000}"/>
    <cellStyle name="Input 73 3 3 2" xfId="10917" xr:uid="{00000000-0005-0000-0000-0000A52A0000}"/>
    <cellStyle name="Input 73 3 4" xfId="10918" xr:uid="{00000000-0005-0000-0000-0000A62A0000}"/>
    <cellStyle name="Input 73 4" xfId="10919" xr:uid="{00000000-0005-0000-0000-0000A72A0000}"/>
    <cellStyle name="Input 73 4 2" xfId="10920" xr:uid="{00000000-0005-0000-0000-0000A82A0000}"/>
    <cellStyle name="Input 73 5" xfId="10921" xr:uid="{00000000-0005-0000-0000-0000A92A0000}"/>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3" xfId="10926" xr:uid="{00000000-0005-0000-0000-0000AE2A0000}"/>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3" xfId="10931" xr:uid="{00000000-0005-0000-0000-0000B32A0000}"/>
    <cellStyle name="Input 74 3 3" xfId="10932" xr:uid="{00000000-0005-0000-0000-0000B42A0000}"/>
    <cellStyle name="Input 74 3 3 2" xfId="10933" xr:uid="{00000000-0005-0000-0000-0000B52A0000}"/>
    <cellStyle name="Input 74 3 4" xfId="10934" xr:uid="{00000000-0005-0000-0000-0000B62A0000}"/>
    <cellStyle name="Input 74 4" xfId="10935" xr:uid="{00000000-0005-0000-0000-0000B72A0000}"/>
    <cellStyle name="Input 74 4 2" xfId="10936" xr:uid="{00000000-0005-0000-0000-0000B82A0000}"/>
    <cellStyle name="Input 74 5" xfId="10937" xr:uid="{00000000-0005-0000-0000-0000B92A0000}"/>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3" xfId="10942" xr:uid="{00000000-0005-0000-0000-0000BE2A0000}"/>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3" xfId="10947" xr:uid="{00000000-0005-0000-0000-0000C32A0000}"/>
    <cellStyle name="Input 75 3 3" xfId="10948" xr:uid="{00000000-0005-0000-0000-0000C42A0000}"/>
    <cellStyle name="Input 75 3 3 2" xfId="10949" xr:uid="{00000000-0005-0000-0000-0000C52A0000}"/>
    <cellStyle name="Input 75 3 4" xfId="10950" xr:uid="{00000000-0005-0000-0000-0000C62A0000}"/>
    <cellStyle name="Input 75 4" xfId="10951" xr:uid="{00000000-0005-0000-0000-0000C72A0000}"/>
    <cellStyle name="Input 75 4 2" xfId="10952" xr:uid="{00000000-0005-0000-0000-0000C82A0000}"/>
    <cellStyle name="Input 75 5" xfId="10953" xr:uid="{00000000-0005-0000-0000-0000C92A0000}"/>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3" xfId="10958" xr:uid="{00000000-0005-0000-0000-0000CE2A0000}"/>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3" xfId="10963" xr:uid="{00000000-0005-0000-0000-0000D32A0000}"/>
    <cellStyle name="Input 76 3 3" xfId="10964" xr:uid="{00000000-0005-0000-0000-0000D42A0000}"/>
    <cellStyle name="Input 76 3 3 2" xfId="10965" xr:uid="{00000000-0005-0000-0000-0000D52A0000}"/>
    <cellStyle name="Input 76 3 4" xfId="10966" xr:uid="{00000000-0005-0000-0000-0000D62A0000}"/>
    <cellStyle name="Input 76 4" xfId="10967" xr:uid="{00000000-0005-0000-0000-0000D72A0000}"/>
    <cellStyle name="Input 76 4 2" xfId="10968" xr:uid="{00000000-0005-0000-0000-0000D82A0000}"/>
    <cellStyle name="Input 76 5" xfId="10969" xr:uid="{00000000-0005-0000-0000-0000D92A0000}"/>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3" xfId="10974" xr:uid="{00000000-0005-0000-0000-0000DE2A0000}"/>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3" xfId="10979" xr:uid="{00000000-0005-0000-0000-0000E32A0000}"/>
    <cellStyle name="Input 77 3 3" xfId="10980" xr:uid="{00000000-0005-0000-0000-0000E42A0000}"/>
    <cellStyle name="Input 77 3 3 2" xfId="10981" xr:uid="{00000000-0005-0000-0000-0000E52A0000}"/>
    <cellStyle name="Input 77 3 4" xfId="10982" xr:uid="{00000000-0005-0000-0000-0000E62A0000}"/>
    <cellStyle name="Input 77 4" xfId="10983" xr:uid="{00000000-0005-0000-0000-0000E72A0000}"/>
    <cellStyle name="Input 77 4 2" xfId="10984" xr:uid="{00000000-0005-0000-0000-0000E82A0000}"/>
    <cellStyle name="Input 77 5" xfId="10985" xr:uid="{00000000-0005-0000-0000-0000E92A0000}"/>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3" xfId="10990" xr:uid="{00000000-0005-0000-0000-0000EE2A0000}"/>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3" xfId="10995" xr:uid="{00000000-0005-0000-0000-0000F32A0000}"/>
    <cellStyle name="Input 78 3 3" xfId="10996" xr:uid="{00000000-0005-0000-0000-0000F42A0000}"/>
    <cellStyle name="Input 78 3 3 2" xfId="10997" xr:uid="{00000000-0005-0000-0000-0000F52A0000}"/>
    <cellStyle name="Input 78 3 4" xfId="10998" xr:uid="{00000000-0005-0000-0000-0000F62A0000}"/>
    <cellStyle name="Input 78 4" xfId="10999" xr:uid="{00000000-0005-0000-0000-0000F72A0000}"/>
    <cellStyle name="Input 78 4 2" xfId="11000" xr:uid="{00000000-0005-0000-0000-0000F82A0000}"/>
    <cellStyle name="Input 78 5" xfId="11001" xr:uid="{00000000-0005-0000-0000-0000F92A0000}"/>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3" xfId="11006" xr:uid="{00000000-0005-0000-0000-0000FE2A0000}"/>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3" xfId="11011" xr:uid="{00000000-0005-0000-0000-0000032B0000}"/>
    <cellStyle name="Input 79 3 3" xfId="11012" xr:uid="{00000000-0005-0000-0000-0000042B0000}"/>
    <cellStyle name="Input 79 3 3 2" xfId="11013" xr:uid="{00000000-0005-0000-0000-0000052B0000}"/>
    <cellStyle name="Input 79 3 4" xfId="11014" xr:uid="{00000000-0005-0000-0000-0000062B0000}"/>
    <cellStyle name="Input 79 4" xfId="11015" xr:uid="{00000000-0005-0000-0000-0000072B0000}"/>
    <cellStyle name="Input 79 4 2" xfId="11016" xr:uid="{00000000-0005-0000-0000-0000082B0000}"/>
    <cellStyle name="Input 79 5" xfId="11017" xr:uid="{00000000-0005-0000-0000-0000092B0000}"/>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3" xfId="11030" xr:uid="{00000000-0005-0000-0000-0000162B0000}"/>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3" xfId="11035" xr:uid="{00000000-0005-0000-0000-00001B2B0000}"/>
    <cellStyle name="Input 80 3 3" xfId="11036" xr:uid="{00000000-0005-0000-0000-00001C2B0000}"/>
    <cellStyle name="Input 80 3 3 2" xfId="11037" xr:uid="{00000000-0005-0000-0000-00001D2B0000}"/>
    <cellStyle name="Input 80 3 4" xfId="11038" xr:uid="{00000000-0005-0000-0000-00001E2B0000}"/>
    <cellStyle name="Input 80 4" xfId="11039" xr:uid="{00000000-0005-0000-0000-00001F2B0000}"/>
    <cellStyle name="Input 80 4 2" xfId="11040" xr:uid="{00000000-0005-0000-0000-0000202B0000}"/>
    <cellStyle name="Input 80 5" xfId="11041" xr:uid="{00000000-0005-0000-0000-0000212B0000}"/>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3" xfId="11046" xr:uid="{00000000-0005-0000-0000-0000262B0000}"/>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3" xfId="11051" xr:uid="{00000000-0005-0000-0000-00002B2B0000}"/>
    <cellStyle name="Input 81 3 3" xfId="11052" xr:uid="{00000000-0005-0000-0000-00002C2B0000}"/>
    <cellStyle name="Input 81 3 3 2" xfId="11053" xr:uid="{00000000-0005-0000-0000-00002D2B0000}"/>
    <cellStyle name="Input 81 3 4" xfId="11054" xr:uid="{00000000-0005-0000-0000-00002E2B0000}"/>
    <cellStyle name="Input 81 4" xfId="11055" xr:uid="{00000000-0005-0000-0000-00002F2B0000}"/>
    <cellStyle name="Input 81 4 2" xfId="11056" xr:uid="{00000000-0005-0000-0000-0000302B0000}"/>
    <cellStyle name="Input 81 5" xfId="11057" xr:uid="{00000000-0005-0000-0000-0000312B0000}"/>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3" xfId="11062" xr:uid="{00000000-0005-0000-0000-0000362B0000}"/>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3" xfId="11067" xr:uid="{00000000-0005-0000-0000-00003B2B0000}"/>
    <cellStyle name="Input 82 3 3" xfId="11068" xr:uid="{00000000-0005-0000-0000-00003C2B0000}"/>
    <cellStyle name="Input 82 3 3 2" xfId="11069" xr:uid="{00000000-0005-0000-0000-00003D2B0000}"/>
    <cellStyle name="Input 82 3 4" xfId="11070" xr:uid="{00000000-0005-0000-0000-00003E2B0000}"/>
    <cellStyle name="Input 82 4" xfId="11071" xr:uid="{00000000-0005-0000-0000-00003F2B0000}"/>
    <cellStyle name="Input 82 4 2" xfId="11072" xr:uid="{00000000-0005-0000-0000-0000402B0000}"/>
    <cellStyle name="Input 82 5" xfId="11073" xr:uid="{00000000-0005-0000-0000-0000412B0000}"/>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3" xfId="11078" xr:uid="{00000000-0005-0000-0000-0000462B0000}"/>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3" xfId="11083" xr:uid="{00000000-0005-0000-0000-00004B2B0000}"/>
    <cellStyle name="Input 83 3 3" xfId="11084" xr:uid="{00000000-0005-0000-0000-00004C2B0000}"/>
    <cellStyle name="Input 83 3 3 2" xfId="11085" xr:uid="{00000000-0005-0000-0000-00004D2B0000}"/>
    <cellStyle name="Input 83 3 4" xfId="11086" xr:uid="{00000000-0005-0000-0000-00004E2B0000}"/>
    <cellStyle name="Input 83 4" xfId="11087" xr:uid="{00000000-0005-0000-0000-00004F2B0000}"/>
    <cellStyle name="Input 83 4 2" xfId="11088" xr:uid="{00000000-0005-0000-0000-0000502B0000}"/>
    <cellStyle name="Input 83 5" xfId="11089" xr:uid="{00000000-0005-0000-0000-0000512B0000}"/>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3" xfId="11158" xr:uid="{00000000-0005-0000-0000-0000962B0000}"/>
    <cellStyle name="Input 91 3" xfId="11159" xr:uid="{00000000-0005-0000-0000-0000972B0000}"/>
    <cellStyle name="Input 91 3 2" xfId="11160" xr:uid="{00000000-0005-0000-0000-0000982B0000}"/>
    <cellStyle name="Input 91 4" xfId="11161" xr:uid="{00000000-0005-0000-0000-0000992B0000}"/>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3" xfId="11166" xr:uid="{00000000-0005-0000-0000-00009E2B0000}"/>
    <cellStyle name="Input 92 3" xfId="11167" xr:uid="{00000000-0005-0000-0000-00009F2B0000}"/>
    <cellStyle name="Input 92 3 2" xfId="11168" xr:uid="{00000000-0005-0000-0000-0000A02B0000}"/>
    <cellStyle name="Input 92 4" xfId="11169" xr:uid="{00000000-0005-0000-0000-0000A12B000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3" xfId="11174" xr:uid="{00000000-0005-0000-0000-0000A62B0000}"/>
    <cellStyle name="Input 93 3" xfId="11175" xr:uid="{00000000-0005-0000-0000-0000A72B0000}"/>
    <cellStyle name="Input 93 3 2" xfId="11176" xr:uid="{00000000-0005-0000-0000-0000A82B0000}"/>
    <cellStyle name="Input 93 4" xfId="11177" xr:uid="{00000000-0005-0000-0000-0000A92B0000}"/>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3" xfId="11182" xr:uid="{00000000-0005-0000-0000-0000AE2B0000}"/>
    <cellStyle name="Input 94 3" xfId="11183" xr:uid="{00000000-0005-0000-0000-0000AF2B0000}"/>
    <cellStyle name="Input 94 3 2" xfId="11184" xr:uid="{00000000-0005-0000-0000-0000B02B0000}"/>
    <cellStyle name="Input 94 4" xfId="11185" xr:uid="{00000000-0005-0000-0000-0000B12B0000}"/>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3" xfId="11190" xr:uid="{00000000-0005-0000-0000-0000B62B0000}"/>
    <cellStyle name="Input 95 3" xfId="11191" xr:uid="{00000000-0005-0000-0000-0000B72B0000}"/>
    <cellStyle name="Input 95 3 2" xfId="11192" xr:uid="{00000000-0005-0000-0000-0000B82B0000}"/>
    <cellStyle name="Input 95 4" xfId="11193" xr:uid="{00000000-0005-0000-0000-0000B92B0000}"/>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3" xfId="11198" xr:uid="{00000000-0005-0000-0000-0000BE2B0000}"/>
    <cellStyle name="Input 96 3" xfId="11199" xr:uid="{00000000-0005-0000-0000-0000BF2B0000}"/>
    <cellStyle name="Input 96 3 2" xfId="11200" xr:uid="{00000000-0005-0000-0000-0000C02B0000}"/>
    <cellStyle name="Input 96 4" xfId="11201" xr:uid="{00000000-0005-0000-0000-0000C12B0000}"/>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3" xfId="11206" xr:uid="{00000000-0005-0000-0000-0000C62B0000}"/>
    <cellStyle name="Input 97 3" xfId="11207" xr:uid="{00000000-0005-0000-0000-0000C72B0000}"/>
    <cellStyle name="Input 97 3 2" xfId="11208" xr:uid="{00000000-0005-0000-0000-0000C82B0000}"/>
    <cellStyle name="Input 97 4" xfId="11209" xr:uid="{00000000-0005-0000-0000-0000C92B0000}"/>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3" xfId="11214" xr:uid="{00000000-0005-0000-0000-0000CE2B0000}"/>
    <cellStyle name="Input 98 3" xfId="11215" xr:uid="{00000000-0005-0000-0000-0000CF2B0000}"/>
    <cellStyle name="Input 98 3 2" xfId="11216" xr:uid="{00000000-0005-0000-0000-0000D02B0000}"/>
    <cellStyle name="Input 98 4" xfId="11217" xr:uid="{00000000-0005-0000-0000-0000D12B0000}"/>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3" xfId="11222" xr:uid="{00000000-0005-0000-0000-0000D62B0000}"/>
    <cellStyle name="Input 99 3" xfId="11223" xr:uid="{00000000-0005-0000-0000-0000D72B0000}"/>
    <cellStyle name="Input 99 3 2" xfId="11224" xr:uid="{00000000-0005-0000-0000-0000D82B0000}"/>
    <cellStyle name="Input 99 4" xfId="11225" xr:uid="{00000000-0005-0000-0000-0000D92B0000}"/>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7 6" xfId="31685" xr:uid="{00000000-0005-0000-0000-0000C57B0000}"/>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27B0000}"/>
    <cellStyle name="Normal 8" xfId="74" xr:uid="{00000000-0005-0000-0000-00004A000000}"/>
    <cellStyle name="Normal 9" xfId="75" xr:uid="{00000000-0005-0000-0000-00004B000000}"/>
    <cellStyle name="Normal_ITC Model I Updated to May 1 2009 FLE's" xfId="31683" xr:uid="{00000000-0005-0000-0000-0000C37B0000}"/>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3" xfId="31684" xr:uid="{00000000-0005-0000-0000-0000C47B0000}"/>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TotalCell" xfId="15" xr:uid="{00000000-0005-0000-0000-00000F000000}"/>
    <cellStyle name="SAPDimensionCell" xfId="16" xr:uid="{00000000-0005-0000-0000-000010000000}"/>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TotalCell" xfId="44" xr:uid="{00000000-0005-0000-0000-00002C000000}"/>
    <cellStyle name="SAPReadonlyDataCell" xfId="45" xr:uid="{00000000-0005-0000-0000-00002D000000}"/>
    <cellStyle name="SAPReadonlyDataTotalCell" xfId="46" xr:uid="{00000000-0005-0000-0000-00002E000000}"/>
  </cellStyles>
  <dxfs count="7">
    <dxf>
      <fill>
        <patternFill>
          <bgColor indexed="42"/>
        </patternFill>
      </fill>
    </dxf>
    <dxf>
      <fill>
        <patternFill>
          <bgColor indexed="42"/>
        </patternFill>
      </fill>
    </dxf>
    <dxf>
      <fill>
        <patternFill>
          <bgColor indexed="42"/>
        </patternFill>
      </fill>
    </dxf>
    <dxf>
      <fill>
        <patternFill>
          <bgColor indexed="42"/>
        </patternFill>
      </fill>
    </dxf>
    <dxf>
      <font>
        <color auto="1"/>
      </font>
    </dxf>
    <dxf>
      <font>
        <color auto="1"/>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F17"/>
  <sheetViews>
    <sheetView view="pageBreakPreview" zoomScale="130" zoomScaleSheetLayoutView="130" workbookViewId="0">
      <selection activeCell="L63" sqref="L63"/>
    </sheetView>
  </sheetViews>
  <sheetFormatPr defaultRowHeight="14.5"/>
  <cols>
    <col min="1" max="6" width="9.1796875" customWidth="1"/>
  </cols>
  <sheetData>
    <row r="5" spans="1:6" ht="20">
      <c r="A5" s="807"/>
      <c r="B5" s="807"/>
      <c r="C5" s="807"/>
      <c r="D5" s="807"/>
      <c r="E5" s="807"/>
      <c r="F5" s="807"/>
    </row>
    <row r="6" spans="1:6" ht="20">
      <c r="A6" s="807"/>
      <c r="B6" s="807"/>
      <c r="C6" s="807"/>
      <c r="D6" s="807"/>
      <c r="E6" s="807"/>
      <c r="F6" s="807"/>
    </row>
    <row r="7" spans="1:6" ht="20">
      <c r="A7" s="807"/>
      <c r="B7" s="807"/>
      <c r="C7" s="807"/>
      <c r="D7" s="807"/>
      <c r="E7" s="807"/>
      <c r="F7" s="807"/>
    </row>
    <row r="8" spans="1:6" ht="20">
      <c r="A8" s="10"/>
      <c r="B8" s="10"/>
      <c r="C8" s="10"/>
      <c r="D8" s="10"/>
      <c r="E8" s="10"/>
      <c r="F8" s="10"/>
    </row>
    <row r="9" spans="1:6">
      <c r="A9" s="67"/>
      <c r="B9" s="67"/>
      <c r="C9" s="67"/>
      <c r="D9" s="67"/>
      <c r="E9" s="67"/>
      <c r="F9" s="67"/>
    </row>
    <row r="10" spans="1:6" ht="17.5">
      <c r="A10" s="808" t="s">
        <v>159</v>
      </c>
      <c r="B10" s="808"/>
      <c r="C10" s="808"/>
      <c r="D10" s="808"/>
      <c r="E10" s="808"/>
      <c r="F10" s="808"/>
    </row>
    <row r="11" spans="1:6" ht="17.5">
      <c r="A11" s="808" t="s">
        <v>238</v>
      </c>
      <c r="B11" s="808"/>
      <c r="C11" s="808"/>
      <c r="D11" s="808"/>
      <c r="E11" s="808"/>
      <c r="F11" s="808"/>
    </row>
    <row r="12" spans="1:6" ht="17.5">
      <c r="A12" s="9"/>
      <c r="B12" s="9"/>
      <c r="C12" s="9"/>
      <c r="D12" s="9"/>
      <c r="E12" s="9"/>
      <c r="F12" s="9"/>
    </row>
    <row r="13" spans="1:6" ht="17.5">
      <c r="A13" s="808" t="s">
        <v>241</v>
      </c>
      <c r="B13" s="808"/>
      <c r="C13" s="808"/>
      <c r="D13" s="808"/>
      <c r="E13" s="808"/>
      <c r="F13" s="808"/>
    </row>
    <row r="14" spans="1:6" ht="17.5">
      <c r="A14" s="808" t="s">
        <v>242</v>
      </c>
      <c r="B14" s="808"/>
      <c r="C14" s="808"/>
      <c r="D14" s="808"/>
      <c r="E14" s="808"/>
      <c r="F14" s="808"/>
    </row>
    <row r="15" spans="1:6" ht="20">
      <c r="A15" s="807"/>
      <c r="B15" s="807"/>
      <c r="C15" s="807"/>
      <c r="D15" s="807"/>
      <c r="E15" s="807"/>
      <c r="F15" s="807"/>
    </row>
    <row r="16" spans="1:6">
      <c r="A16" s="67"/>
      <c r="B16" s="67"/>
      <c r="C16" s="67"/>
      <c r="D16" s="67"/>
      <c r="E16" s="67"/>
      <c r="F16" s="67"/>
    </row>
    <row r="17" spans="1:6">
      <c r="A17" s="67"/>
      <c r="B17" s="67"/>
      <c r="C17" s="67"/>
      <c r="D17" s="67"/>
      <c r="E17" s="67"/>
      <c r="F17" s="67"/>
    </row>
  </sheetData>
  <mergeCells count="8">
    <mergeCell ref="A5:F5"/>
    <mergeCell ref="A6:F6"/>
    <mergeCell ref="A7:F7"/>
    <mergeCell ref="A10:F10"/>
    <mergeCell ref="A15:F15"/>
    <mergeCell ref="A11:F11"/>
    <mergeCell ref="A13:F13"/>
    <mergeCell ref="A14:F14"/>
  </mergeCells>
  <printOptions horizontalCentered="1"/>
  <pageMargins left="1" right="1" top="1" bottom="1" header="0.5" footer="0.5"/>
  <pageSetup fitToHeight="0" orientation="landscape"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0"/>
  <sheetViews>
    <sheetView tabSelected="1" view="pageBreakPreview" zoomScale="90" zoomScaleNormal="70" zoomScaleSheetLayoutView="90" zoomScalePageLayoutView="70" workbookViewId="0">
      <selection activeCell="C59" activeCellId="1" sqref="L63 C59"/>
    </sheetView>
  </sheetViews>
  <sheetFormatPr defaultColWidth="9.1796875" defaultRowHeight="14.5"/>
  <cols>
    <col min="1" max="1" width="4.81640625" style="99" bestFit="1" customWidth="1"/>
    <col min="2" max="2" width="50.1796875" style="101" customWidth="1"/>
    <col min="3" max="3" width="17.81640625" style="103" customWidth="1"/>
    <col min="4" max="4" width="17.81640625" style="99" bestFit="1" customWidth="1"/>
    <col min="5" max="5" width="21.7265625" style="99" customWidth="1"/>
    <col min="6" max="6" width="24" style="99" bestFit="1" customWidth="1"/>
    <col min="7" max="7" width="44.453125" style="99" customWidth="1"/>
    <col min="8" max="8" width="6.7265625" style="99" bestFit="1" customWidth="1"/>
    <col min="9" max="9" width="29.1796875" style="99" bestFit="1" customWidth="1"/>
    <col min="10" max="10" width="17.81640625" style="99" bestFit="1" customWidth="1"/>
    <col min="11" max="11" width="13.453125" style="99" customWidth="1"/>
    <col min="12" max="12" width="10" style="99" bestFit="1" customWidth="1"/>
    <col min="13" max="14" width="15.54296875" style="99" customWidth="1"/>
    <col min="15" max="15" width="13.453125" style="99" customWidth="1"/>
    <col min="16" max="16384" width="9.1796875" style="99"/>
  </cols>
  <sheetData>
    <row r="1" spans="1:10">
      <c r="B1" s="100" t="s">
        <v>46</v>
      </c>
      <c r="C1" s="101"/>
      <c r="D1" s="101"/>
      <c r="E1" s="101"/>
      <c r="F1" s="101"/>
      <c r="G1" s="15" t="str">
        <f>CONCATENATE("Prior Year: ",'1-BaseTRR'!$F$2)</f>
        <v>Prior Year: 2022</v>
      </c>
      <c r="H1" s="101"/>
      <c r="J1" s="102"/>
    </row>
    <row r="2" spans="1:10">
      <c r="B2" s="46" t="s">
        <v>193</v>
      </c>
      <c r="C2" s="101"/>
      <c r="D2" s="101"/>
      <c r="E2" s="101"/>
      <c r="F2" s="101"/>
      <c r="H2" s="101"/>
      <c r="J2" s="102"/>
    </row>
    <row r="3" spans="1:10">
      <c r="A3" s="13"/>
      <c r="E3" s="13"/>
      <c r="F3" s="101"/>
      <c r="G3" s="101"/>
      <c r="H3" s="101"/>
      <c r="J3" s="102"/>
    </row>
    <row r="4" spans="1:10">
      <c r="B4" s="52" t="s">
        <v>284</v>
      </c>
      <c r="C4" s="52"/>
      <c r="D4" s="52"/>
      <c r="E4" s="52"/>
      <c r="F4" s="52"/>
      <c r="G4" s="52"/>
      <c r="H4" s="14"/>
      <c r="I4" s="101"/>
      <c r="J4" s="104"/>
    </row>
    <row r="5" spans="1:10">
      <c r="A5" s="13" t="s">
        <v>122</v>
      </c>
      <c r="B5" s="13" t="s">
        <v>127</v>
      </c>
      <c r="F5" s="13" t="s">
        <v>79</v>
      </c>
      <c r="G5" s="13" t="s">
        <v>54</v>
      </c>
      <c r="H5" s="13" t="s">
        <v>122</v>
      </c>
      <c r="I5" s="101"/>
      <c r="J5" s="102"/>
    </row>
    <row r="6" spans="1:10">
      <c r="A6" s="105"/>
      <c r="B6" s="106" t="s">
        <v>285</v>
      </c>
      <c r="C6" s="107"/>
      <c r="D6" s="101"/>
      <c r="E6" s="105"/>
      <c r="F6" s="101"/>
      <c r="G6" s="108"/>
      <c r="H6" s="105"/>
      <c r="I6" s="101"/>
      <c r="J6" s="102"/>
    </row>
    <row r="7" spans="1:10">
      <c r="A7" s="105">
        <v>100</v>
      </c>
      <c r="B7" s="102" t="s">
        <v>286</v>
      </c>
      <c r="C7" s="107"/>
      <c r="D7" s="101"/>
      <c r="E7" s="105"/>
      <c r="F7" s="459">
        <v>35115164559</v>
      </c>
      <c r="G7" s="101" t="s">
        <v>2009</v>
      </c>
      <c r="H7" s="105">
        <f t="shared" ref="H7:H14" si="0">A7</f>
        <v>100</v>
      </c>
      <c r="I7" s="101"/>
      <c r="J7" s="102"/>
    </row>
    <row r="8" spans="1:10">
      <c r="A8" s="105">
        <f>A7+1</f>
        <v>101</v>
      </c>
      <c r="B8" s="102" t="s">
        <v>287</v>
      </c>
      <c r="C8" s="109"/>
      <c r="D8" s="110"/>
      <c r="E8" s="105"/>
      <c r="F8" s="459">
        <v>0</v>
      </c>
      <c r="G8" s="101" t="s">
        <v>2010</v>
      </c>
      <c r="H8" s="105">
        <f t="shared" si="0"/>
        <v>101</v>
      </c>
      <c r="I8" s="101"/>
      <c r="J8" s="102"/>
    </row>
    <row r="9" spans="1:10">
      <c r="A9" s="105">
        <f t="shared" ref="A9:A14" si="1">A8+1</f>
        <v>102</v>
      </c>
      <c r="B9" s="102" t="s">
        <v>288</v>
      </c>
      <c r="C9" s="109"/>
      <c r="D9" s="110"/>
      <c r="E9" s="105"/>
      <c r="F9" s="459">
        <v>0</v>
      </c>
      <c r="G9" s="101" t="s">
        <v>2011</v>
      </c>
      <c r="H9" s="105">
        <f t="shared" si="0"/>
        <v>102</v>
      </c>
      <c r="I9" s="101"/>
      <c r="J9" s="102"/>
    </row>
    <row r="10" spans="1:10">
      <c r="A10" s="105">
        <f t="shared" si="1"/>
        <v>103</v>
      </c>
      <c r="B10" s="102" t="s">
        <v>1266</v>
      </c>
      <c r="C10" s="109"/>
      <c r="D10" s="110"/>
      <c r="E10" s="105"/>
      <c r="F10" s="459">
        <v>4903468</v>
      </c>
      <c r="G10" s="101" t="s">
        <v>2012</v>
      </c>
      <c r="H10" s="105">
        <f t="shared" si="0"/>
        <v>103</v>
      </c>
      <c r="I10" s="101"/>
      <c r="J10" s="102"/>
    </row>
    <row r="11" spans="1:10">
      <c r="A11" s="105">
        <f t="shared" si="1"/>
        <v>104</v>
      </c>
      <c r="B11" s="102" t="s">
        <v>1267</v>
      </c>
      <c r="C11" s="109"/>
      <c r="D11" s="110"/>
      <c r="E11" s="105"/>
      <c r="F11" s="459">
        <v>30251169</v>
      </c>
      <c r="G11" s="101" t="s">
        <v>2013</v>
      </c>
      <c r="H11" s="105">
        <f t="shared" si="0"/>
        <v>104</v>
      </c>
      <c r="I11" s="101"/>
      <c r="J11" s="102"/>
    </row>
    <row r="12" spans="1:10">
      <c r="A12" s="105">
        <f t="shared" si="1"/>
        <v>105</v>
      </c>
      <c r="B12" s="102" t="s">
        <v>1325</v>
      </c>
      <c r="C12" s="109"/>
      <c r="D12" s="110"/>
      <c r="E12" s="105"/>
      <c r="F12" s="459">
        <v>142832914.60000002</v>
      </c>
      <c r="G12" s="101" t="s">
        <v>2014</v>
      </c>
      <c r="H12" s="105">
        <f t="shared" si="0"/>
        <v>105</v>
      </c>
      <c r="I12" s="101"/>
      <c r="J12" s="102"/>
    </row>
    <row r="13" spans="1:10">
      <c r="A13" s="105">
        <f t="shared" si="1"/>
        <v>106</v>
      </c>
      <c r="B13" s="102" t="s">
        <v>1326</v>
      </c>
      <c r="C13" s="109"/>
      <c r="D13" s="110"/>
      <c r="E13" s="105"/>
      <c r="F13" s="460">
        <v>36721574</v>
      </c>
      <c r="G13" s="101" t="s">
        <v>2015</v>
      </c>
      <c r="H13" s="105">
        <f t="shared" si="0"/>
        <v>106</v>
      </c>
      <c r="I13" s="101"/>
      <c r="J13" s="102"/>
    </row>
    <row r="14" spans="1:10">
      <c r="A14" s="105">
        <f t="shared" si="1"/>
        <v>107</v>
      </c>
      <c r="B14" s="537" t="s">
        <v>289</v>
      </c>
      <c r="C14" s="109"/>
      <c r="D14" s="110"/>
      <c r="E14" s="105"/>
      <c r="F14" s="463">
        <f>F7-F8+F9+F10-F11-F12-F13</f>
        <v>34910262369.400002</v>
      </c>
      <c r="G14" s="101" t="str">
        <f>CONCATENATE("Lines ((",A7," + ",A9," + ",A10,") - (",A8," + ",A11," + ",A12," + ",A13," ))")</f>
        <v>Lines ((100 + 102 + 103) - (101 + 104 + 105 + 106 ))</v>
      </c>
      <c r="H14" s="105">
        <f t="shared" si="0"/>
        <v>107</v>
      </c>
      <c r="I14" s="112"/>
      <c r="J14" s="111"/>
    </row>
    <row r="15" spans="1:10">
      <c r="A15" s="105"/>
      <c r="B15" s="102"/>
      <c r="C15" s="109"/>
      <c r="D15" s="110"/>
      <c r="E15" s="105"/>
      <c r="F15" s="113"/>
      <c r="G15" s="101"/>
      <c r="H15" s="101"/>
      <c r="J15" s="102"/>
    </row>
    <row r="16" spans="1:10">
      <c r="A16" s="105"/>
      <c r="B16" s="106" t="s">
        <v>290</v>
      </c>
      <c r="C16" s="109"/>
      <c r="D16" s="110"/>
      <c r="E16" s="105"/>
      <c r="F16" s="113"/>
      <c r="G16" s="101"/>
      <c r="H16" s="101"/>
      <c r="J16" s="102"/>
    </row>
    <row r="17" spans="1:12">
      <c r="A17" s="105">
        <f>A14+1</f>
        <v>108</v>
      </c>
      <c r="B17" s="102" t="s">
        <v>1132</v>
      </c>
      <c r="C17" s="109"/>
      <c r="D17" s="110"/>
      <c r="E17" s="105"/>
      <c r="F17" s="461">
        <v>1302886803</v>
      </c>
      <c r="G17" s="101" t="s">
        <v>2016</v>
      </c>
      <c r="H17" s="105">
        <f t="shared" ref="H17:H24" si="2">A17</f>
        <v>108</v>
      </c>
      <c r="J17" s="102"/>
    </row>
    <row r="18" spans="1:12">
      <c r="A18" s="105">
        <f>A17+1</f>
        <v>109</v>
      </c>
      <c r="B18" s="102" t="s">
        <v>1133</v>
      </c>
      <c r="C18" s="109"/>
      <c r="D18" s="110"/>
      <c r="E18" s="105"/>
      <c r="F18" s="459">
        <v>49588678.449999988</v>
      </c>
      <c r="G18" s="101" t="s">
        <v>2017</v>
      </c>
      <c r="H18" s="105">
        <f t="shared" si="2"/>
        <v>109</v>
      </c>
      <c r="J18" s="102"/>
    </row>
    <row r="19" spans="1:12">
      <c r="A19" s="105">
        <f t="shared" ref="A19:A22" si="3">A18+1</f>
        <v>110</v>
      </c>
      <c r="B19" s="102" t="s">
        <v>1134</v>
      </c>
      <c r="C19" s="109"/>
      <c r="D19" s="110"/>
      <c r="E19" s="105"/>
      <c r="F19" s="459">
        <v>16245343</v>
      </c>
      <c r="G19" s="101" t="s">
        <v>2018</v>
      </c>
      <c r="H19" s="105">
        <f t="shared" si="2"/>
        <v>110</v>
      </c>
      <c r="J19" s="102"/>
    </row>
    <row r="20" spans="1:12">
      <c r="A20" s="105">
        <f t="shared" si="3"/>
        <v>111</v>
      </c>
      <c r="B20" s="102" t="s">
        <v>1135</v>
      </c>
      <c r="C20" s="109"/>
      <c r="D20" s="110"/>
      <c r="E20" s="105"/>
      <c r="F20" s="459">
        <v>1326141</v>
      </c>
      <c r="G20" s="101" t="s">
        <v>2019</v>
      </c>
      <c r="H20" s="105">
        <f t="shared" si="2"/>
        <v>111</v>
      </c>
      <c r="J20" s="102"/>
    </row>
    <row r="21" spans="1:12">
      <c r="A21" s="105">
        <f t="shared" si="3"/>
        <v>112</v>
      </c>
      <c r="B21" s="102" t="s">
        <v>1136</v>
      </c>
      <c r="C21" s="109"/>
      <c r="D21" s="110"/>
      <c r="E21" s="105"/>
      <c r="F21" s="460">
        <v>139701</v>
      </c>
      <c r="G21" s="101" t="s">
        <v>2020</v>
      </c>
      <c r="H21" s="105">
        <f t="shared" si="2"/>
        <v>112</v>
      </c>
      <c r="J21" s="102"/>
    </row>
    <row r="22" spans="1:12">
      <c r="A22" s="105">
        <f t="shared" si="3"/>
        <v>113</v>
      </c>
      <c r="B22" s="537"/>
      <c r="C22" s="109"/>
      <c r="D22" s="110"/>
      <c r="E22" s="105"/>
      <c r="F22" s="538">
        <f>+F17+F18+F19-F20-F21</f>
        <v>1367254982.45</v>
      </c>
      <c r="G22" s="101" t="str">
        <f>CONCATENATE("Lines ((",A17," + ",A18," + ",A19,") - (",A20," + ",A21,"))")</f>
        <v>Lines ((108 + 109 + 110) - (111 + 112))</v>
      </c>
      <c r="H22" s="105">
        <f t="shared" si="2"/>
        <v>113</v>
      </c>
      <c r="J22" s="102"/>
    </row>
    <row r="23" spans="1:12">
      <c r="A23" s="105"/>
      <c r="B23" s="102"/>
      <c r="C23" s="109"/>
      <c r="D23" s="110"/>
      <c r="E23" s="105"/>
      <c r="F23" s="101"/>
      <c r="G23" s="101"/>
      <c r="H23" s="101"/>
      <c r="J23" s="102"/>
    </row>
    <row r="24" spans="1:12">
      <c r="A24" s="105">
        <f>A22+1</f>
        <v>114</v>
      </c>
      <c r="B24" s="540" t="s">
        <v>291</v>
      </c>
      <c r="C24" s="109"/>
      <c r="D24" s="110"/>
      <c r="E24" s="105"/>
      <c r="F24" s="539">
        <f>ROUND(F22/F14,4)</f>
        <v>3.9199999999999999E-2</v>
      </c>
      <c r="G24" s="101" t="str">
        <f>CONCATENATE("Line ",A22," / ","Line ",A14)</f>
        <v>Line 113 / Line 107</v>
      </c>
      <c r="H24" s="105">
        <f t="shared" si="2"/>
        <v>114</v>
      </c>
      <c r="J24" s="102"/>
    </row>
    <row r="25" spans="1:12">
      <c r="A25" s="105"/>
      <c r="B25" s="114"/>
      <c r="C25" s="109"/>
      <c r="D25" s="110"/>
      <c r="E25" s="105"/>
      <c r="F25" s="101"/>
      <c r="G25" s="101"/>
      <c r="H25" s="101"/>
      <c r="J25" s="102"/>
    </row>
    <row r="26" spans="1:12">
      <c r="A26" s="105"/>
      <c r="B26" s="114"/>
      <c r="C26" s="109"/>
      <c r="D26" s="110"/>
      <c r="E26" s="105"/>
      <c r="F26" s="101"/>
      <c r="G26" s="101"/>
      <c r="H26" s="101"/>
      <c r="J26" s="102"/>
    </row>
    <row r="27" spans="1:12">
      <c r="A27" s="105"/>
      <c r="B27" s="115"/>
      <c r="C27" s="109"/>
      <c r="D27" s="110"/>
      <c r="E27" s="105"/>
      <c r="F27" s="101"/>
      <c r="G27" s="101"/>
      <c r="H27" s="101"/>
      <c r="J27" s="102"/>
    </row>
    <row r="28" spans="1:12" ht="12.75" customHeight="1">
      <c r="A28" s="105"/>
      <c r="B28" s="17"/>
      <c r="C28" s="99"/>
      <c r="D28" s="110"/>
      <c r="E28" s="105"/>
      <c r="F28" s="101"/>
      <c r="G28" s="101"/>
      <c r="H28" s="101"/>
      <c r="J28" s="102"/>
    </row>
    <row r="29" spans="1:12">
      <c r="C29" s="116"/>
    </row>
    <row r="30" spans="1:12">
      <c r="C30" s="116"/>
      <c r="L30" s="102"/>
    </row>
  </sheetData>
  <sheetProtection formatCells="0" formatColumns="0" formatRows="0" insertColumns="0" insertRows="0" insertHyperlinks="0" deleteColumns="0" deleteRows="0" selectLockedCells="1" sort="0" autoFilter="0" pivotTables="0"/>
  <conditionalFormatting sqref="F5:G5">
    <cfRule type="duplicateValues" dxfId="6" priority="1"/>
  </conditionalFormatting>
  <printOptions horizontalCentered="1"/>
  <pageMargins left="1" right="1" top="1" bottom="1" header="0.5" footer="0.5"/>
  <pageSetup scale="61"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47"/>
  <sheetViews>
    <sheetView tabSelected="1" view="pageBreakPreview" topLeftCell="A20" zoomScaleNormal="85" zoomScaleSheetLayoutView="100" zoomScalePageLayoutView="70" workbookViewId="0">
      <selection activeCell="C59" activeCellId="1" sqref="L63 C59"/>
    </sheetView>
  </sheetViews>
  <sheetFormatPr defaultColWidth="9.1796875" defaultRowHeight="14.5"/>
  <cols>
    <col min="1" max="1" width="4.54296875" bestFit="1" customWidth="1"/>
    <col min="2" max="2" width="16" customWidth="1"/>
    <col min="3" max="3" width="16.1796875" customWidth="1"/>
    <col min="4" max="4" width="17.26953125" customWidth="1"/>
    <col min="5" max="5" width="15.1796875" customWidth="1"/>
    <col min="6" max="6" width="17.453125" customWidth="1"/>
    <col min="7" max="7" width="13.7265625" bestFit="1" customWidth="1"/>
    <col min="8" max="8" width="18.54296875" customWidth="1"/>
    <col min="9" max="9" width="15.26953125" bestFit="1" customWidth="1"/>
    <col min="10" max="10" width="15" customWidth="1"/>
    <col min="11" max="11" width="4.54296875" bestFit="1" customWidth="1"/>
    <col min="12" max="12" width="9.1796875" customWidth="1"/>
    <col min="13" max="13" width="12" bestFit="1" customWidth="1"/>
    <col min="14" max="14" width="10.54296875" bestFit="1" customWidth="1"/>
  </cols>
  <sheetData>
    <row r="1" spans="1:11">
      <c r="B1" s="12" t="s">
        <v>37</v>
      </c>
      <c r="J1" s="15" t="str">
        <f>CONCATENATE("Prior Year: ",'1-BaseTRR'!$F$2)</f>
        <v>Prior Year: 2022</v>
      </c>
    </row>
    <row r="2" spans="1:11">
      <c r="B2" s="117" t="s">
        <v>193</v>
      </c>
      <c r="C2" s="49"/>
      <c r="J2" s="15"/>
    </row>
    <row r="3" spans="1:11">
      <c r="A3" s="13"/>
      <c r="K3" s="13"/>
    </row>
    <row r="4" spans="1:11">
      <c r="B4" s="118" t="s">
        <v>292</v>
      </c>
      <c r="C4" s="54"/>
      <c r="D4" s="54"/>
      <c r="E4" s="54"/>
      <c r="F4" s="54"/>
      <c r="G4" s="54"/>
      <c r="H4" s="54"/>
      <c r="I4" s="54"/>
      <c r="J4" s="54"/>
    </row>
    <row r="5" spans="1:11">
      <c r="A5" s="13" t="s">
        <v>122</v>
      </c>
      <c r="D5" s="119" t="s">
        <v>127</v>
      </c>
      <c r="E5" s="119" t="s">
        <v>293</v>
      </c>
      <c r="F5" s="119" t="s">
        <v>294</v>
      </c>
      <c r="K5" s="13" t="str">
        <f>A5</f>
        <v>Line</v>
      </c>
    </row>
    <row r="6" spans="1:11">
      <c r="A6" s="8">
        <v>100</v>
      </c>
      <c r="B6" s="120"/>
      <c r="C6" s="120"/>
      <c r="D6" s="120" t="s">
        <v>295</v>
      </c>
      <c r="E6" s="33">
        <f>J30</f>
        <v>13916317.264999999</v>
      </c>
      <c r="F6" t="str">
        <f>"Line "&amp;A30&amp;", "&amp;J17&amp;""</f>
        <v>Line 208, Col 9</v>
      </c>
      <c r="K6" s="8">
        <f>A6</f>
        <v>100</v>
      </c>
    </row>
    <row r="7" spans="1:11">
      <c r="A7" s="8">
        <f>A6+1</f>
        <v>101</v>
      </c>
      <c r="B7" s="120"/>
      <c r="C7" s="120"/>
      <c r="D7" s="120" t="s">
        <v>296</v>
      </c>
      <c r="E7" s="33">
        <f>G42</f>
        <v>0</v>
      </c>
      <c r="F7" t="str">
        <f>"Line "&amp;A42&amp;", "&amp;G33&amp;""</f>
        <v>Line 305, Col 6</v>
      </c>
      <c r="K7" s="8">
        <f>A7</f>
        <v>101</v>
      </c>
    </row>
    <row r="8" spans="1:11">
      <c r="A8" s="8">
        <f>A7+1</f>
        <v>102</v>
      </c>
      <c r="B8" s="120"/>
      <c r="C8" s="120"/>
      <c r="D8" s="15" t="s">
        <v>297</v>
      </c>
      <c r="E8" s="353">
        <f>E6+E7</f>
        <v>13916317.264999999</v>
      </c>
      <c r="F8" t="str">
        <f>"Line "&amp;A6&amp;" + Line "&amp;A7&amp;""</f>
        <v>Line 100 + Line 101</v>
      </c>
      <c r="K8" s="8">
        <f>A8</f>
        <v>102</v>
      </c>
    </row>
    <row r="9" spans="1:11">
      <c r="A9" s="8"/>
      <c r="B9" s="120"/>
      <c r="C9" s="120"/>
      <c r="D9" s="120"/>
      <c r="E9" s="33"/>
      <c r="K9" s="8"/>
    </row>
    <row r="10" spans="1:11">
      <c r="A10" s="8">
        <f>A8+1</f>
        <v>103</v>
      </c>
      <c r="B10" s="120"/>
      <c r="C10" s="120"/>
      <c r="D10" s="120" t="s">
        <v>298</v>
      </c>
      <c r="E10" s="33">
        <f>F30</f>
        <v>257994550</v>
      </c>
      <c r="F10" t="str">
        <f>"Line "&amp;A30&amp;", "&amp;F17&amp;""</f>
        <v>Line 208, Col 5</v>
      </c>
      <c r="K10" s="8">
        <f>A10</f>
        <v>103</v>
      </c>
    </row>
    <row r="11" spans="1:11">
      <c r="A11" s="8">
        <f>A10+1</f>
        <v>104</v>
      </c>
      <c r="B11" s="120"/>
      <c r="C11" s="120"/>
      <c r="D11" s="120" t="s">
        <v>299</v>
      </c>
      <c r="E11" s="33">
        <f>G30</f>
        <v>-5940273.2340178555</v>
      </c>
      <c r="F11" t="str">
        <f>"Line "&amp;A30&amp;", "&amp;G17&amp;""</f>
        <v>Line 208, Col 6</v>
      </c>
      <c r="K11" s="8">
        <f>A11</f>
        <v>104</v>
      </c>
    </row>
    <row r="12" spans="1:11">
      <c r="A12" s="8">
        <f>A11+1</f>
        <v>105</v>
      </c>
      <c r="B12" s="120"/>
      <c r="C12" s="120"/>
      <c r="D12" s="15" t="s">
        <v>300</v>
      </c>
      <c r="E12" s="353">
        <f>E10+E11</f>
        <v>252054276.76598215</v>
      </c>
      <c r="F12" t="str">
        <f>"Line "&amp;A10&amp;" + Line "&amp;A11&amp;""</f>
        <v>Line 103 + Line 104</v>
      </c>
      <c r="K12" s="8">
        <f>A12</f>
        <v>105</v>
      </c>
    </row>
    <row r="13" spans="1:11">
      <c r="A13" s="8"/>
      <c r="B13" s="120"/>
      <c r="C13" s="120"/>
      <c r="D13" s="120"/>
      <c r="K13" s="8"/>
    </row>
    <row r="14" spans="1:11">
      <c r="A14" s="8">
        <f>A12+1</f>
        <v>106</v>
      </c>
      <c r="B14" s="120"/>
      <c r="C14" s="120"/>
      <c r="D14" s="15" t="s">
        <v>301</v>
      </c>
      <c r="E14" s="371">
        <f>E8/E12</f>
        <v>5.5211589517762859E-2</v>
      </c>
      <c r="F14" t="str">
        <f>"Line "&amp;A8&amp;" / Line "&amp;A12&amp;""</f>
        <v>Line 102 / Line 105</v>
      </c>
      <c r="K14" s="8">
        <f>A14</f>
        <v>106</v>
      </c>
    </row>
    <row r="15" spans="1:11">
      <c r="A15" s="8"/>
      <c r="K15" s="8"/>
    </row>
    <row r="16" spans="1:11">
      <c r="B16" s="57" t="s">
        <v>302</v>
      </c>
      <c r="C16" s="54"/>
      <c r="D16" s="54"/>
      <c r="E16" s="54"/>
      <c r="F16" s="54"/>
      <c r="G16" s="54"/>
      <c r="H16" s="54"/>
      <c r="I16" s="54"/>
      <c r="J16" s="54"/>
    </row>
    <row r="17" spans="1:14">
      <c r="A17" s="8"/>
      <c r="B17" s="122" t="s">
        <v>98</v>
      </c>
      <c r="C17" s="122" t="s">
        <v>99</v>
      </c>
      <c r="D17" s="122" t="s">
        <v>100</v>
      </c>
      <c r="E17" s="122" t="s">
        <v>101</v>
      </c>
      <c r="F17" s="122" t="s">
        <v>102</v>
      </c>
      <c r="G17" s="122" t="s">
        <v>103</v>
      </c>
      <c r="H17" s="122" t="s">
        <v>104</v>
      </c>
      <c r="I17" s="122" t="s">
        <v>105</v>
      </c>
      <c r="J17" s="122" t="s">
        <v>106</v>
      </c>
      <c r="K17" s="8"/>
    </row>
    <row r="18" spans="1:14">
      <c r="A18" s="8"/>
      <c r="B18" s="123" t="s">
        <v>303</v>
      </c>
      <c r="C18" s="123" t="s">
        <v>303</v>
      </c>
      <c r="D18" s="123" t="s">
        <v>2005</v>
      </c>
      <c r="E18" s="123" t="s">
        <v>303</v>
      </c>
      <c r="F18" s="123" t="s">
        <v>2006</v>
      </c>
      <c r="G18" s="123" t="s">
        <v>303</v>
      </c>
      <c r="H18" s="123" t="s">
        <v>2007</v>
      </c>
      <c r="I18" s="124" t="s">
        <v>304</v>
      </c>
      <c r="J18" s="124" t="s">
        <v>2008</v>
      </c>
      <c r="K18" s="8"/>
    </row>
    <row r="19" spans="1:14">
      <c r="A19" s="8"/>
      <c r="B19" s="123" t="s">
        <v>123</v>
      </c>
      <c r="C19" s="123" t="s">
        <v>123</v>
      </c>
      <c r="D19" s="123"/>
      <c r="E19" s="123" t="s">
        <v>123</v>
      </c>
      <c r="F19" s="123"/>
      <c r="G19" s="123" t="s">
        <v>123</v>
      </c>
      <c r="H19" s="123"/>
      <c r="I19" s="124"/>
      <c r="J19" s="123" t="s">
        <v>124</v>
      </c>
      <c r="K19" s="8"/>
    </row>
    <row r="20" spans="1:14">
      <c r="A20" s="8"/>
      <c r="G20" s="43"/>
      <c r="J20" s="8"/>
      <c r="K20" s="8"/>
    </row>
    <row r="21" spans="1:14" ht="43.5">
      <c r="A21" s="13" t="s">
        <v>122</v>
      </c>
      <c r="B21" s="125" t="s">
        <v>305</v>
      </c>
      <c r="C21" s="125" t="s">
        <v>306</v>
      </c>
      <c r="D21" s="125" t="s">
        <v>307</v>
      </c>
      <c r="E21" s="125" t="s">
        <v>308</v>
      </c>
      <c r="F21" s="125" t="s">
        <v>1250</v>
      </c>
      <c r="G21" s="125" t="s">
        <v>1249</v>
      </c>
      <c r="H21" s="125" t="s">
        <v>309</v>
      </c>
      <c r="I21" s="125" t="s">
        <v>1246</v>
      </c>
      <c r="J21" s="125" t="s">
        <v>1248</v>
      </c>
      <c r="K21" s="13" t="str">
        <f>A21</f>
        <v>Line</v>
      </c>
    </row>
    <row r="22" spans="1:14">
      <c r="A22" s="8">
        <v>200</v>
      </c>
      <c r="B22" s="126"/>
      <c r="C22" s="533">
        <v>1914</v>
      </c>
      <c r="D22" s="127">
        <v>0.06</v>
      </c>
      <c r="E22" s="128">
        <v>1.5</v>
      </c>
      <c r="F22" s="462">
        <v>105291525</v>
      </c>
      <c r="G22" s="352">
        <v>-7366504.2509265905</v>
      </c>
      <c r="H22" s="129">
        <v>4211661</v>
      </c>
      <c r="I22" s="33">
        <f>F22+G22</f>
        <v>97925020.749073416</v>
      </c>
      <c r="J22" s="33">
        <f>(H22*E22)</f>
        <v>6317491.5</v>
      </c>
      <c r="K22" s="8">
        <f t="shared" ref="K22:K30" si="0">A22</f>
        <v>200</v>
      </c>
      <c r="M22" s="40"/>
      <c r="N22" s="40"/>
    </row>
    <row r="23" spans="1:14">
      <c r="A23" s="8">
        <f>A22+1</f>
        <v>201</v>
      </c>
      <c r="B23" s="126" t="s">
        <v>1921</v>
      </c>
      <c r="C23" s="534">
        <v>1929</v>
      </c>
      <c r="D23" s="127">
        <v>5.5E-2</v>
      </c>
      <c r="E23" s="128">
        <v>1.375</v>
      </c>
      <c r="F23" s="462">
        <v>29329075</v>
      </c>
      <c r="G23" s="352">
        <v>-173730</v>
      </c>
      <c r="H23" s="129">
        <v>1173163</v>
      </c>
      <c r="I23" s="33">
        <f t="shared" ref="I23:I29" si="1">F23+G23</f>
        <v>29155345</v>
      </c>
      <c r="J23" s="33">
        <f t="shared" ref="J23:J29" si="2">(H23*E23)</f>
        <v>1613099.125</v>
      </c>
      <c r="K23" s="8">
        <f t="shared" si="0"/>
        <v>201</v>
      </c>
      <c r="M23" s="40"/>
      <c r="N23" s="40"/>
    </row>
    <row r="24" spans="1:14">
      <c r="A24" s="8">
        <f t="shared" ref="A24:A30" si="3">A23+1</f>
        <v>202</v>
      </c>
      <c r="B24" s="126" t="s">
        <v>1922</v>
      </c>
      <c r="C24" s="534">
        <v>15166</v>
      </c>
      <c r="D24" s="127">
        <v>0.05</v>
      </c>
      <c r="E24" s="128">
        <v>1.25</v>
      </c>
      <c r="F24" s="462">
        <v>10000000</v>
      </c>
      <c r="G24" s="352">
        <v>726283</v>
      </c>
      <c r="H24" s="129">
        <v>400000</v>
      </c>
      <c r="I24" s="33">
        <f t="shared" si="1"/>
        <v>10726283</v>
      </c>
      <c r="J24" s="33">
        <f t="shared" si="2"/>
        <v>500000</v>
      </c>
      <c r="K24" s="8">
        <f t="shared" si="0"/>
        <v>202</v>
      </c>
      <c r="M24" s="40"/>
      <c r="N24" s="40"/>
    </row>
    <row r="25" spans="1:14">
      <c r="A25" s="8">
        <f t="shared" si="3"/>
        <v>203</v>
      </c>
      <c r="B25" s="126" t="s">
        <v>1923</v>
      </c>
      <c r="C25" s="534">
        <v>17712</v>
      </c>
      <c r="D25" s="127">
        <v>0.05</v>
      </c>
      <c r="E25" s="128">
        <v>1.25</v>
      </c>
      <c r="F25" s="462">
        <v>44454300</v>
      </c>
      <c r="G25" s="352">
        <v>-716366</v>
      </c>
      <c r="H25" s="129">
        <v>1778172</v>
      </c>
      <c r="I25" s="33">
        <f t="shared" si="1"/>
        <v>43737934</v>
      </c>
      <c r="J25" s="33">
        <f t="shared" si="2"/>
        <v>2222715</v>
      </c>
      <c r="K25" s="8">
        <f t="shared" si="0"/>
        <v>203</v>
      </c>
      <c r="M25" s="40"/>
      <c r="N25" s="40"/>
    </row>
    <row r="26" spans="1:14">
      <c r="A26" s="8">
        <f t="shared" si="3"/>
        <v>204</v>
      </c>
      <c r="B26" s="126" t="s">
        <v>1924</v>
      </c>
      <c r="C26" s="534">
        <v>18022</v>
      </c>
      <c r="D26" s="127">
        <v>0.05</v>
      </c>
      <c r="E26" s="128">
        <v>1.25</v>
      </c>
      <c r="F26" s="462">
        <v>23358050</v>
      </c>
      <c r="G26" s="352">
        <v>542539</v>
      </c>
      <c r="H26" s="129">
        <v>934322</v>
      </c>
      <c r="I26" s="33">
        <f t="shared" si="1"/>
        <v>23900589</v>
      </c>
      <c r="J26" s="33">
        <f t="shared" si="2"/>
        <v>1167902.5</v>
      </c>
      <c r="K26" s="8">
        <f t="shared" si="0"/>
        <v>204</v>
      </c>
      <c r="M26" s="40"/>
      <c r="N26" s="40"/>
    </row>
    <row r="27" spans="1:14">
      <c r="A27" s="8">
        <f t="shared" si="3"/>
        <v>205</v>
      </c>
      <c r="B27" s="126" t="s">
        <v>1925</v>
      </c>
      <c r="C27" s="534">
        <v>18288</v>
      </c>
      <c r="D27" s="127">
        <v>4.8000000000000001E-2</v>
      </c>
      <c r="E27" s="128">
        <v>1.2</v>
      </c>
      <c r="F27" s="462">
        <v>19825775</v>
      </c>
      <c r="G27" s="352">
        <v>1006320.34261801</v>
      </c>
      <c r="H27" s="129">
        <v>793031</v>
      </c>
      <c r="I27" s="33">
        <f t="shared" si="1"/>
        <v>20832095.342618011</v>
      </c>
      <c r="J27" s="33">
        <f t="shared" si="2"/>
        <v>951637.2</v>
      </c>
      <c r="K27" s="8">
        <f t="shared" si="0"/>
        <v>205</v>
      </c>
      <c r="M27" s="40"/>
      <c r="N27" s="40"/>
    </row>
    <row r="28" spans="1:14">
      <c r="A28" s="8">
        <f t="shared" si="3"/>
        <v>206</v>
      </c>
      <c r="B28" s="126" t="s">
        <v>1926</v>
      </c>
      <c r="C28" s="534">
        <v>19897</v>
      </c>
      <c r="D28" s="127">
        <v>4.4999999999999998E-2</v>
      </c>
      <c r="E28" s="128">
        <v>1.125</v>
      </c>
      <c r="F28" s="462">
        <v>15278550</v>
      </c>
      <c r="G28" s="352">
        <v>70693.849467725595</v>
      </c>
      <c r="H28" s="129">
        <v>611142</v>
      </c>
      <c r="I28" s="33">
        <f t="shared" si="1"/>
        <v>15349243.849467726</v>
      </c>
      <c r="J28" s="33">
        <f t="shared" si="2"/>
        <v>687534.75</v>
      </c>
      <c r="K28" s="8">
        <f t="shared" si="0"/>
        <v>206</v>
      </c>
      <c r="M28" s="40"/>
      <c r="N28" s="40"/>
    </row>
    <row r="29" spans="1:14">
      <c r="A29" s="8">
        <f t="shared" si="3"/>
        <v>207</v>
      </c>
      <c r="B29" s="126"/>
      <c r="C29" s="534">
        <v>20387</v>
      </c>
      <c r="D29" s="127">
        <v>4.36E-2</v>
      </c>
      <c r="E29" s="128">
        <v>1.0900000000000001</v>
      </c>
      <c r="F29" s="462">
        <v>10457275</v>
      </c>
      <c r="G29" s="352">
        <v>-29509.175177000001</v>
      </c>
      <c r="H29" s="129">
        <v>418291</v>
      </c>
      <c r="I29" s="33">
        <f t="shared" si="1"/>
        <v>10427765.824823</v>
      </c>
      <c r="J29" s="33">
        <f t="shared" si="2"/>
        <v>455937.19000000006</v>
      </c>
      <c r="K29" s="8">
        <f t="shared" si="0"/>
        <v>207</v>
      </c>
      <c r="M29" s="40"/>
      <c r="N29" s="40"/>
    </row>
    <row r="30" spans="1:14">
      <c r="A30" s="8">
        <f t="shared" si="3"/>
        <v>208</v>
      </c>
      <c r="E30" s="130" t="s">
        <v>1245</v>
      </c>
      <c r="F30" s="463">
        <f>SUM(F22:F29)</f>
        <v>257994550</v>
      </c>
      <c r="G30" s="463">
        <f>SUM(G22:G29)</f>
        <v>-5940273.2340178555</v>
      </c>
      <c r="H30" s="413">
        <f>SUM(H22:H29)</f>
        <v>10319782</v>
      </c>
      <c r="I30" s="463">
        <f>SUM(I22:I29)</f>
        <v>252054276.76598215</v>
      </c>
      <c r="J30" s="463">
        <f>SUM(J22:J29)</f>
        <v>13916317.264999999</v>
      </c>
      <c r="K30" s="8">
        <f t="shared" si="0"/>
        <v>208</v>
      </c>
      <c r="N30" s="28"/>
    </row>
    <row r="32" spans="1:14">
      <c r="B32" s="57" t="s">
        <v>310</v>
      </c>
      <c r="C32" s="54"/>
      <c r="D32" s="54"/>
      <c r="E32" s="54"/>
      <c r="F32" s="54"/>
      <c r="G32" s="54"/>
      <c r="H32" s="54"/>
      <c r="I32" s="54"/>
      <c r="J32" s="54"/>
    </row>
    <row r="33" spans="1:11">
      <c r="B33" s="122" t="s">
        <v>98</v>
      </c>
      <c r="C33" s="122" t="s">
        <v>99</v>
      </c>
      <c r="D33" s="122" t="s">
        <v>100</v>
      </c>
      <c r="E33" s="122" t="s">
        <v>101</v>
      </c>
      <c r="F33" s="122" t="s">
        <v>102</v>
      </c>
      <c r="G33" s="122" t="s">
        <v>103</v>
      </c>
    </row>
    <row r="34" spans="1:11">
      <c r="B34" s="131"/>
      <c r="C34" s="131"/>
      <c r="D34" s="131"/>
      <c r="E34" s="131"/>
      <c r="F34" s="131"/>
      <c r="G34" s="131"/>
      <c r="H34" s="132"/>
    </row>
    <row r="36" spans="1:11" ht="43.5">
      <c r="A36" s="13" t="s">
        <v>122</v>
      </c>
      <c r="B36" s="421" t="s">
        <v>34</v>
      </c>
      <c r="C36" s="125" t="s">
        <v>311</v>
      </c>
      <c r="D36" s="422" t="s">
        <v>312</v>
      </c>
      <c r="E36" s="422" t="s">
        <v>1251</v>
      </c>
      <c r="F36" s="422" t="s">
        <v>313</v>
      </c>
      <c r="G36" s="422" t="s">
        <v>1252</v>
      </c>
      <c r="H36" s="423" t="s">
        <v>314</v>
      </c>
      <c r="I36" s="44"/>
      <c r="K36" s="13" t="str">
        <f t="shared" ref="K36:K42" si="4">A36</f>
        <v>Line</v>
      </c>
    </row>
    <row r="37" spans="1:11">
      <c r="A37" s="8">
        <v>300</v>
      </c>
      <c r="B37" s="133"/>
      <c r="C37" s="134"/>
      <c r="D37" s="135"/>
      <c r="E37" s="135"/>
      <c r="F37" s="126"/>
      <c r="G37" s="135"/>
      <c r="H37" s="136"/>
      <c r="K37" s="8">
        <f t="shared" si="4"/>
        <v>300</v>
      </c>
    </row>
    <row r="38" spans="1:11">
      <c r="A38" s="8">
        <f>A37+1</f>
        <v>301</v>
      </c>
      <c r="B38" s="133"/>
      <c r="C38" s="134"/>
      <c r="D38" s="135"/>
      <c r="E38" s="135"/>
      <c r="F38" s="126"/>
      <c r="G38" s="135"/>
      <c r="H38" s="135"/>
      <c r="K38" s="8">
        <f t="shared" si="4"/>
        <v>301</v>
      </c>
    </row>
    <row r="39" spans="1:11">
      <c r="A39" s="8">
        <f t="shared" ref="A39:A42" si="5">A38+1</f>
        <v>302</v>
      </c>
      <c r="B39" s="133"/>
      <c r="C39" s="134"/>
      <c r="D39" s="135"/>
      <c r="E39" s="135"/>
      <c r="F39" s="126"/>
      <c r="G39" s="135"/>
      <c r="H39" s="135"/>
      <c r="K39" s="8">
        <f t="shared" si="4"/>
        <v>302</v>
      </c>
    </row>
    <row r="40" spans="1:11">
      <c r="A40" s="8">
        <f t="shared" si="5"/>
        <v>303</v>
      </c>
      <c r="B40" s="137"/>
      <c r="C40" s="134"/>
      <c r="D40" s="135"/>
      <c r="E40" s="135"/>
      <c r="F40" s="126"/>
      <c r="G40" s="135"/>
      <c r="H40" s="135"/>
      <c r="K40" s="8">
        <f t="shared" si="4"/>
        <v>303</v>
      </c>
    </row>
    <row r="41" spans="1:11">
      <c r="A41" s="8">
        <f t="shared" si="5"/>
        <v>304</v>
      </c>
      <c r="B41" s="138" t="s">
        <v>315</v>
      </c>
      <c r="C41" s="139"/>
      <c r="D41" s="139"/>
      <c r="E41" s="139"/>
      <c r="F41" s="139"/>
      <c r="G41" s="139"/>
      <c r="H41" s="139"/>
      <c r="I41" s="140"/>
      <c r="K41" s="8">
        <f t="shared" si="4"/>
        <v>304</v>
      </c>
    </row>
    <row r="42" spans="1:11">
      <c r="A42" s="8">
        <f t="shared" si="5"/>
        <v>305</v>
      </c>
      <c r="D42" s="130" t="s">
        <v>1247</v>
      </c>
      <c r="E42" s="121">
        <f>SUM(E37:E41)*1000</f>
        <v>0</v>
      </c>
      <c r="F42" s="121"/>
      <c r="G42" s="121">
        <f>SUM(G37:G41)*1000</f>
        <v>0</v>
      </c>
      <c r="K42" s="8">
        <f t="shared" si="4"/>
        <v>305</v>
      </c>
    </row>
    <row r="44" spans="1:11">
      <c r="B44" s="16" t="s">
        <v>125</v>
      </c>
    </row>
    <row r="45" spans="1:11">
      <c r="B45" t="s">
        <v>1137</v>
      </c>
    </row>
    <row r="46" spans="1:11">
      <c r="B46" t="s">
        <v>1138</v>
      </c>
    </row>
    <row r="47" spans="1:11">
      <c r="B47" s="141" t="s">
        <v>316</v>
      </c>
    </row>
  </sheetData>
  <printOptions horizontalCentered="1"/>
  <pageMargins left="1" right="1" top="1" bottom="1" header="0.5" footer="0.5"/>
  <pageSetup scale="75"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30"/>
  <sheetViews>
    <sheetView tabSelected="1" view="pageBreakPreview" zoomScaleSheetLayoutView="100" zoomScalePageLayoutView="70" workbookViewId="0">
      <selection activeCell="C59" activeCellId="1" sqref="L63 C59"/>
    </sheetView>
  </sheetViews>
  <sheetFormatPr defaultColWidth="9.1796875" defaultRowHeight="14.5"/>
  <cols>
    <col min="1" max="1" width="5.453125" customWidth="1"/>
    <col min="2" max="2" width="14.54296875" style="17" customWidth="1"/>
    <col min="3" max="3" width="50.7265625" style="17" bestFit="1" customWidth="1"/>
    <col min="4" max="4" width="18.453125" style="17" customWidth="1"/>
    <col min="5" max="5" width="25.453125" style="17" customWidth="1"/>
    <col min="6" max="6" width="15.54296875" style="17" customWidth="1"/>
    <col min="7" max="7" width="20" style="17" customWidth="1"/>
    <col min="8" max="8" width="35.54296875" style="17" customWidth="1"/>
    <col min="9" max="9" width="20" customWidth="1"/>
    <col min="10" max="10" width="5.453125" customWidth="1"/>
    <col min="11" max="12" width="9.1796875" customWidth="1"/>
  </cols>
  <sheetData>
    <row r="1" spans="1:11">
      <c r="B1" s="142" t="s">
        <v>1920</v>
      </c>
      <c r="E1" s="143"/>
      <c r="G1" s="43"/>
      <c r="H1" s="15"/>
      <c r="I1" s="15" t="str">
        <f>CONCATENATE("Prior Year: ",'1-BaseTRR'!$F$2)</f>
        <v>Prior Year: 2022</v>
      </c>
    </row>
    <row r="2" spans="1:11">
      <c r="B2" s="117" t="s">
        <v>193</v>
      </c>
      <c r="C2" s="117"/>
      <c r="G2" s="43"/>
      <c r="H2" s="43"/>
      <c r="I2" s="15"/>
    </row>
    <row r="4" spans="1:11">
      <c r="B4" s="118" t="s">
        <v>317</v>
      </c>
      <c r="C4" s="144"/>
      <c r="D4" s="144"/>
      <c r="E4" s="145"/>
      <c r="F4" s="145"/>
      <c r="G4" s="145"/>
      <c r="H4" s="145"/>
      <c r="I4" s="144"/>
    </row>
    <row r="5" spans="1:11">
      <c r="B5" t="s">
        <v>318</v>
      </c>
      <c r="C5"/>
      <c r="D5"/>
      <c r="E5"/>
      <c r="F5"/>
      <c r="G5"/>
      <c r="H5"/>
    </row>
    <row r="6" spans="1:11">
      <c r="B6" t="s">
        <v>1150</v>
      </c>
      <c r="C6"/>
      <c r="D6"/>
      <c r="E6"/>
      <c r="F6"/>
      <c r="G6"/>
      <c r="H6"/>
    </row>
    <row r="7" spans="1:11">
      <c r="B7" t="s">
        <v>1151</v>
      </c>
      <c r="C7"/>
      <c r="D7"/>
      <c r="E7"/>
      <c r="F7"/>
      <c r="G7"/>
      <c r="H7"/>
    </row>
    <row r="8" spans="1:11">
      <c r="B8"/>
      <c r="C8"/>
      <c r="D8"/>
      <c r="E8"/>
      <c r="F8"/>
      <c r="G8"/>
      <c r="H8"/>
    </row>
    <row r="9" spans="1:11">
      <c r="D9" s="122" t="s">
        <v>98</v>
      </c>
      <c r="E9" s="122" t="s">
        <v>99</v>
      </c>
      <c r="F9" s="122" t="s">
        <v>100</v>
      </c>
      <c r="G9" s="122" t="s">
        <v>101</v>
      </c>
      <c r="H9" s="122" t="s">
        <v>102</v>
      </c>
      <c r="I9" s="122" t="s">
        <v>103</v>
      </c>
    </row>
    <row r="10" spans="1:11">
      <c r="A10" s="146"/>
      <c r="B10" s="146"/>
      <c r="C10" s="146"/>
      <c r="D10" s="146"/>
      <c r="E10" s="146"/>
      <c r="F10" s="146" t="s">
        <v>123</v>
      </c>
      <c r="G10" s="146"/>
      <c r="H10" s="146"/>
      <c r="I10" s="146" t="s">
        <v>319</v>
      </c>
      <c r="J10" s="146"/>
    </row>
    <row r="11" spans="1:11">
      <c r="A11" s="146"/>
      <c r="B11" s="146"/>
      <c r="C11" s="146"/>
      <c r="D11" s="146"/>
      <c r="E11" s="146"/>
      <c r="F11" s="146"/>
      <c r="G11" s="146"/>
      <c r="H11" s="146"/>
      <c r="I11" s="146"/>
      <c r="J11" s="146"/>
    </row>
    <row r="12" spans="1:11">
      <c r="B12" s="142"/>
      <c r="C12" s="142"/>
      <c r="D12" s="131" t="s">
        <v>320</v>
      </c>
      <c r="E12" s="131"/>
      <c r="F12" s="131"/>
      <c r="G12" s="123" t="s">
        <v>321</v>
      </c>
      <c r="H12" s="123"/>
      <c r="I12" s="123" t="s">
        <v>322</v>
      </c>
    </row>
    <row r="13" spans="1:11">
      <c r="A13" s="119" t="s">
        <v>122</v>
      </c>
      <c r="B13" s="119" t="s">
        <v>323</v>
      </c>
      <c r="C13" s="119" t="s">
        <v>324</v>
      </c>
      <c r="D13" s="119" t="s">
        <v>1</v>
      </c>
      <c r="E13" s="119" t="s">
        <v>325</v>
      </c>
      <c r="F13" s="119" t="s">
        <v>326</v>
      </c>
      <c r="G13" s="119" t="s">
        <v>1</v>
      </c>
      <c r="H13" s="119" t="s">
        <v>327</v>
      </c>
      <c r="I13" s="119" t="s">
        <v>1</v>
      </c>
      <c r="J13" s="119" t="str">
        <f t="shared" ref="J13:J24" si="0">A13</f>
        <v>Line</v>
      </c>
    </row>
    <row r="14" spans="1:11">
      <c r="A14" s="131">
        <v>100</v>
      </c>
      <c r="B14" s="27">
        <v>350</v>
      </c>
      <c r="C14" s="4" t="s">
        <v>328</v>
      </c>
      <c r="D14" s="464">
        <v>320034388</v>
      </c>
      <c r="E14" s="799" t="s">
        <v>1974</v>
      </c>
      <c r="F14" s="464"/>
      <c r="G14" s="466">
        <f>'7-PlantInService'!D24+'7-PlantInService'!E24</f>
        <v>305374408.20253754</v>
      </c>
      <c r="H14" s="147" t="s">
        <v>1038</v>
      </c>
      <c r="I14" s="466">
        <f>+D14+F14-G14</f>
        <v>14659979.797462463</v>
      </c>
      <c r="J14" s="131">
        <f t="shared" si="0"/>
        <v>100</v>
      </c>
    </row>
    <row r="15" spans="1:11">
      <c r="A15" s="131">
        <f t="shared" ref="A15:A24" si="1">A14+1</f>
        <v>101</v>
      </c>
      <c r="B15" s="27">
        <v>352</v>
      </c>
      <c r="C15" s="4" t="s">
        <v>329</v>
      </c>
      <c r="D15" s="464">
        <v>497382410</v>
      </c>
      <c r="E15" s="799" t="s">
        <v>1975</v>
      </c>
      <c r="F15" s="464"/>
      <c r="G15" s="466">
        <f>'7-PlantInService'!F24+'7-PlantInService'!G24</f>
        <v>488570818.1088779</v>
      </c>
      <c r="H15" s="147" t="s">
        <v>1039</v>
      </c>
      <c r="I15" s="466">
        <f t="shared" ref="I15:I23" si="2">+D15+F15-G15</f>
        <v>8811591.8911221027</v>
      </c>
      <c r="J15" s="131">
        <f t="shared" si="0"/>
        <v>101</v>
      </c>
      <c r="K15" s="148"/>
    </row>
    <row r="16" spans="1:11">
      <c r="A16" s="131">
        <f t="shared" si="1"/>
        <v>102</v>
      </c>
      <c r="B16" s="27">
        <v>353</v>
      </c>
      <c r="C16" s="4" t="s">
        <v>330</v>
      </c>
      <c r="D16" s="464">
        <v>8120053053</v>
      </c>
      <c r="E16" s="799" t="s">
        <v>1976</v>
      </c>
      <c r="F16" s="464">
        <v>-491897.41999831999</v>
      </c>
      <c r="G16" s="466">
        <f>'7-PlantInService'!H24+'7-PlantInService'!I24</f>
        <v>7742763833.6352015</v>
      </c>
      <c r="H16" s="147" t="s">
        <v>1040</v>
      </c>
      <c r="I16" s="466">
        <f t="shared" si="2"/>
        <v>376797321.94480038</v>
      </c>
      <c r="J16" s="131">
        <f t="shared" si="0"/>
        <v>102</v>
      </c>
      <c r="K16" s="17"/>
    </row>
    <row r="17" spans="1:12">
      <c r="A17" s="131">
        <f t="shared" si="1"/>
        <v>103</v>
      </c>
      <c r="B17" s="149">
        <v>354</v>
      </c>
      <c r="C17" s="5" t="s">
        <v>331</v>
      </c>
      <c r="D17" s="465">
        <v>1155768326</v>
      </c>
      <c r="E17" s="799" t="s">
        <v>1977</v>
      </c>
      <c r="F17" s="465">
        <v>392131.50000083447</v>
      </c>
      <c r="G17" s="466">
        <f>'7-PlantInService'!J24</f>
        <v>1062242405.8880787</v>
      </c>
      <c r="H17" s="147" t="s">
        <v>1041</v>
      </c>
      <c r="I17" s="466">
        <f t="shared" si="2"/>
        <v>93918051.611922264</v>
      </c>
      <c r="J17" s="131">
        <f t="shared" si="0"/>
        <v>103</v>
      </c>
    </row>
    <row r="18" spans="1:12">
      <c r="A18" s="131">
        <f t="shared" si="1"/>
        <v>104</v>
      </c>
      <c r="B18" s="27">
        <v>355</v>
      </c>
      <c r="C18" s="4" t="s">
        <v>332</v>
      </c>
      <c r="D18" s="465">
        <v>2499854016</v>
      </c>
      <c r="E18" s="799" t="s">
        <v>1978</v>
      </c>
      <c r="F18" s="465">
        <v>-145143.87999773026</v>
      </c>
      <c r="G18" s="466">
        <f>'7-PlantInService'!K24</f>
        <v>2381845833.3490334</v>
      </c>
      <c r="H18" s="147" t="s">
        <v>1042</v>
      </c>
      <c r="I18" s="466">
        <f t="shared" si="2"/>
        <v>117863038.77096891</v>
      </c>
      <c r="J18" s="131">
        <f t="shared" si="0"/>
        <v>104</v>
      </c>
    </row>
    <row r="19" spans="1:12">
      <c r="A19" s="131">
        <f t="shared" si="1"/>
        <v>105</v>
      </c>
      <c r="B19" s="27">
        <v>356</v>
      </c>
      <c r="C19" s="4" t="s">
        <v>333</v>
      </c>
      <c r="D19" s="465">
        <v>2851598858</v>
      </c>
      <c r="E19" s="799" t="s">
        <v>1979</v>
      </c>
      <c r="F19" s="465">
        <v>-292996.98001146317</v>
      </c>
      <c r="G19" s="466">
        <f>'7-PlantInService'!L24</f>
        <v>2686127973.6737804</v>
      </c>
      <c r="H19" s="147" t="s">
        <v>1043</v>
      </c>
      <c r="I19" s="466">
        <f t="shared" si="2"/>
        <v>165177887.3462081</v>
      </c>
      <c r="J19" s="131">
        <f t="shared" si="0"/>
        <v>105</v>
      </c>
    </row>
    <row r="20" spans="1:12">
      <c r="A20" s="131">
        <f t="shared" si="1"/>
        <v>106</v>
      </c>
      <c r="B20" s="27">
        <v>357</v>
      </c>
      <c r="C20" s="4" t="s">
        <v>334</v>
      </c>
      <c r="D20" s="465">
        <v>527902080</v>
      </c>
      <c r="E20" s="799" t="s">
        <v>1980</v>
      </c>
      <c r="F20" s="465"/>
      <c r="G20" s="466">
        <f>'7-PlantInService'!M24</f>
        <v>523695481.2628119</v>
      </c>
      <c r="H20" s="147" t="s">
        <v>1044</v>
      </c>
      <c r="I20" s="466">
        <f t="shared" si="2"/>
        <v>4206598.7371881008</v>
      </c>
      <c r="J20" s="131">
        <f t="shared" si="0"/>
        <v>106</v>
      </c>
      <c r="K20" s="17"/>
    </row>
    <row r="21" spans="1:12">
      <c r="A21" s="131">
        <f t="shared" si="1"/>
        <v>107</v>
      </c>
      <c r="B21" s="27">
        <v>358</v>
      </c>
      <c r="C21" s="4" t="s">
        <v>335</v>
      </c>
      <c r="D21" s="465">
        <v>288211156</v>
      </c>
      <c r="E21" s="799" t="s">
        <v>1981</v>
      </c>
      <c r="F21" s="465"/>
      <c r="G21" s="466">
        <f>'7-PlantInService'!N24</f>
        <v>281894975.36176646</v>
      </c>
      <c r="H21" s="147" t="s">
        <v>1045</v>
      </c>
      <c r="I21" s="466">
        <f t="shared" si="2"/>
        <v>6316180.6382335424</v>
      </c>
      <c r="J21" s="131">
        <f t="shared" si="0"/>
        <v>107</v>
      </c>
    </row>
    <row r="22" spans="1:12">
      <c r="A22" s="131">
        <f t="shared" si="1"/>
        <v>108</v>
      </c>
      <c r="B22" s="27"/>
      <c r="C22" s="4" t="s">
        <v>336</v>
      </c>
      <c r="D22" s="465">
        <v>194053726</v>
      </c>
      <c r="E22" s="799" t="s">
        <v>1982</v>
      </c>
      <c r="F22" s="465"/>
      <c r="G22" s="466">
        <f>'7-PlantInService'!O24</f>
        <v>186139561.6063633</v>
      </c>
      <c r="H22" s="147" t="s">
        <v>1046</v>
      </c>
      <c r="I22" s="466">
        <f t="shared" si="2"/>
        <v>7914164.3936367035</v>
      </c>
      <c r="J22" s="131">
        <f t="shared" si="0"/>
        <v>108</v>
      </c>
    </row>
    <row r="23" spans="1:12">
      <c r="A23" s="131">
        <f t="shared" si="1"/>
        <v>109</v>
      </c>
      <c r="B23" s="27">
        <v>359.1</v>
      </c>
      <c r="C23" s="4" t="s">
        <v>1146</v>
      </c>
      <c r="D23" s="465">
        <v>50429472</v>
      </c>
      <c r="E23" s="799" t="s">
        <v>1983</v>
      </c>
      <c r="F23" s="465">
        <v>-50429472</v>
      </c>
      <c r="G23" s="466">
        <v>0</v>
      </c>
      <c r="H23" s="147" t="s">
        <v>124</v>
      </c>
      <c r="I23" s="466">
        <f t="shared" si="2"/>
        <v>0</v>
      </c>
      <c r="J23" s="131">
        <f t="shared" si="0"/>
        <v>109</v>
      </c>
    </row>
    <row r="24" spans="1:12">
      <c r="A24" s="131">
        <f t="shared" si="1"/>
        <v>110</v>
      </c>
      <c r="B24" s="415"/>
      <c r="C24" s="541" t="s">
        <v>337</v>
      </c>
      <c r="D24" s="542">
        <f>SUM(D14:D23)</f>
        <v>16505287485</v>
      </c>
      <c r="E24" s="543"/>
      <c r="F24" s="542">
        <f>SUM(F14:F23)</f>
        <v>-50967378.780006677</v>
      </c>
      <c r="G24" s="542">
        <f>SUM(G14:G23)</f>
        <v>15658655291.088451</v>
      </c>
      <c r="H24" s="543"/>
      <c r="I24" s="542">
        <f>SUM(I14:I23)</f>
        <v>795664815.13154256</v>
      </c>
      <c r="J24" s="131">
        <f t="shared" si="0"/>
        <v>110</v>
      </c>
    </row>
    <row r="25" spans="1:12">
      <c r="A25" s="140"/>
      <c r="B25" s="140"/>
      <c r="C25" s="140"/>
      <c r="D25" s="146"/>
      <c r="E25" s="140"/>
      <c r="F25" s="140"/>
      <c r="G25" s="146"/>
      <c r="H25" s="140"/>
      <c r="I25" s="140"/>
      <c r="J25" s="140"/>
      <c r="K25" s="140"/>
      <c r="L25" s="140"/>
    </row>
    <row r="26" spans="1:12">
      <c r="B26" s="16" t="s">
        <v>125</v>
      </c>
    </row>
    <row r="27" spans="1:12">
      <c r="B27" s="414" t="s">
        <v>1857</v>
      </c>
      <c r="C27" s="117"/>
      <c r="D27" s="117"/>
      <c r="E27" s="117"/>
      <c r="F27" s="117"/>
      <c r="G27" s="117"/>
      <c r="H27" s="117"/>
    </row>
    <row r="28" spans="1:12" ht="15" customHeight="1">
      <c r="B28" s="414" t="s">
        <v>1858</v>
      </c>
      <c r="C28" s="414"/>
      <c r="D28" s="414"/>
      <c r="E28" s="414"/>
      <c r="F28" s="414"/>
      <c r="G28" s="414"/>
      <c r="H28" s="414"/>
    </row>
    <row r="29" spans="1:12">
      <c r="B29" s="414"/>
      <c r="C29" s="414"/>
      <c r="D29" s="414"/>
      <c r="E29" s="414"/>
      <c r="F29" s="414"/>
      <c r="G29" s="414"/>
      <c r="H29" s="414"/>
    </row>
    <row r="30" spans="1:12" ht="15" customHeight="1">
      <c r="A30" s="18"/>
      <c r="B30"/>
      <c r="C30"/>
      <c r="D30"/>
      <c r="E30"/>
      <c r="F30"/>
      <c r="G30"/>
      <c r="H30"/>
    </row>
  </sheetData>
  <printOptions horizontalCentered="1"/>
  <pageMargins left="1" right="1" top="1" bottom="1" header="0.5" footer="0.5"/>
  <pageSetup scale="54"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137"/>
  <sheetViews>
    <sheetView tabSelected="1" view="pageBreakPreview" topLeftCell="A103" zoomScale="90" zoomScaleNormal="90" zoomScaleSheetLayoutView="90" zoomScalePageLayoutView="70" workbookViewId="0">
      <selection activeCell="C59" activeCellId="1" sqref="L63 C59"/>
    </sheetView>
  </sheetViews>
  <sheetFormatPr defaultColWidth="8.81640625" defaultRowHeight="14.5"/>
  <cols>
    <col min="1" max="1" width="6.81640625" style="30" bestFit="1" customWidth="1"/>
    <col min="2" max="2" width="14" customWidth="1"/>
    <col min="3" max="3" width="14.453125" customWidth="1"/>
    <col min="4" max="4" width="21.54296875" bestFit="1" customWidth="1"/>
    <col min="5" max="5" width="17.54296875" customWidth="1"/>
    <col min="6" max="6" width="15.81640625" customWidth="1"/>
    <col min="7" max="8" width="17.81640625" customWidth="1"/>
    <col min="9" max="9" width="13.54296875" customWidth="1"/>
    <col min="10" max="10" width="15.453125" customWidth="1"/>
    <col min="11" max="12" width="17.26953125" customWidth="1"/>
    <col min="13" max="15" width="15.453125" customWidth="1"/>
    <col min="16" max="16" width="19" bestFit="1" customWidth="1"/>
    <col min="17" max="17" width="20.54296875" customWidth="1"/>
    <col min="18" max="18" width="6.26953125" style="30" customWidth="1"/>
    <col min="19" max="19" width="8.81640625" customWidth="1"/>
  </cols>
  <sheetData>
    <row r="1" spans="1:18">
      <c r="B1" s="12" t="s">
        <v>338</v>
      </c>
      <c r="C1" s="12"/>
      <c r="F1" s="143"/>
      <c r="J1" s="17"/>
      <c r="O1" s="8"/>
      <c r="P1" s="15" t="str">
        <f>CONCATENATE("Prior Year: ",'1-BaseTRR'!$F$2)</f>
        <v>Prior Year: 2022</v>
      </c>
      <c r="Q1" s="8"/>
    </row>
    <row r="2" spans="1:18">
      <c r="B2" s="117" t="s">
        <v>193</v>
      </c>
      <c r="C2" s="49"/>
      <c r="J2" s="17"/>
      <c r="O2" s="15"/>
      <c r="P2" s="8"/>
      <c r="Q2" s="8"/>
    </row>
    <row r="3" spans="1:18">
      <c r="A3" s="119"/>
      <c r="B3" s="142"/>
      <c r="R3" s="119"/>
    </row>
    <row r="4" spans="1:18">
      <c r="B4" s="57" t="s">
        <v>339</v>
      </c>
      <c r="C4" s="57"/>
      <c r="D4" s="54"/>
      <c r="E4" s="54"/>
      <c r="F4" s="54"/>
      <c r="G4" s="54"/>
      <c r="H4" s="54"/>
      <c r="I4" s="54"/>
      <c r="J4" s="54"/>
      <c r="K4" s="54"/>
      <c r="L4" s="54"/>
      <c r="M4" s="54"/>
      <c r="N4" s="54"/>
      <c r="O4" s="54"/>
      <c r="P4" s="54"/>
      <c r="Q4" s="54"/>
    </row>
    <row r="5" spans="1:18">
      <c r="A5" s="8"/>
      <c r="B5" s="150" t="s">
        <v>1052</v>
      </c>
      <c r="C5" s="17"/>
      <c r="I5" s="17"/>
      <c r="J5" s="30"/>
      <c r="K5" s="151"/>
    </row>
    <row r="6" spans="1:18">
      <c r="A6" s="8"/>
      <c r="B6" s="17"/>
      <c r="C6" s="17"/>
      <c r="I6" s="17"/>
      <c r="J6" s="30"/>
      <c r="K6" s="151"/>
    </row>
    <row r="7" spans="1:18">
      <c r="A7" s="8"/>
      <c r="D7" s="122" t="s">
        <v>98</v>
      </c>
      <c r="E7" s="122" t="s">
        <v>99</v>
      </c>
      <c r="F7" s="122" t="s">
        <v>100</v>
      </c>
      <c r="G7" s="122" t="s">
        <v>101</v>
      </c>
      <c r="H7" s="122" t="s">
        <v>102</v>
      </c>
      <c r="I7" s="122" t="s">
        <v>103</v>
      </c>
      <c r="J7" s="122" t="s">
        <v>104</v>
      </c>
      <c r="K7" s="122" t="s">
        <v>105</v>
      </c>
      <c r="L7" s="122" t="s">
        <v>106</v>
      </c>
      <c r="M7" s="122" t="s">
        <v>266</v>
      </c>
      <c r="N7" s="122" t="s">
        <v>267</v>
      </c>
      <c r="O7" s="122" t="s">
        <v>268</v>
      </c>
      <c r="P7" s="122" t="s">
        <v>269</v>
      </c>
      <c r="Q7" s="122"/>
    </row>
    <row r="8" spans="1:18" ht="29">
      <c r="B8" s="8"/>
      <c r="C8" s="8"/>
      <c r="D8" s="152" t="s">
        <v>340</v>
      </c>
      <c r="E8" s="152" t="s">
        <v>340</v>
      </c>
      <c r="F8" s="152" t="s">
        <v>340</v>
      </c>
      <c r="G8" s="152" t="s">
        <v>340</v>
      </c>
      <c r="H8" s="152" t="s">
        <v>340</v>
      </c>
      <c r="I8" s="152" t="s">
        <v>340</v>
      </c>
      <c r="J8" s="152" t="s">
        <v>340</v>
      </c>
      <c r="K8" s="152" t="s">
        <v>340</v>
      </c>
      <c r="L8" s="152" t="s">
        <v>340</v>
      </c>
      <c r="M8" s="152" t="s">
        <v>340</v>
      </c>
      <c r="N8" s="152" t="s">
        <v>340</v>
      </c>
      <c r="O8" s="152" t="s">
        <v>340</v>
      </c>
      <c r="P8" s="153" t="s">
        <v>1158</v>
      </c>
      <c r="Q8" s="154"/>
    </row>
    <row r="9" spans="1:18">
      <c r="B9" s="8"/>
      <c r="C9" s="8"/>
      <c r="H9" s="155"/>
      <c r="N9" s="30"/>
      <c r="P9" s="30"/>
      <c r="Q9" s="30"/>
    </row>
    <row r="10" spans="1:18">
      <c r="C10" s="130" t="s">
        <v>341</v>
      </c>
      <c r="D10" s="123">
        <v>350.01</v>
      </c>
      <c r="E10" s="123">
        <v>350.02</v>
      </c>
      <c r="F10" s="123">
        <v>352.01</v>
      </c>
      <c r="G10" s="123">
        <v>352.02</v>
      </c>
      <c r="H10" s="123">
        <v>353.01</v>
      </c>
      <c r="I10" s="123">
        <v>353.02</v>
      </c>
      <c r="J10" s="123">
        <v>354</v>
      </c>
      <c r="K10" s="123">
        <v>355</v>
      </c>
      <c r="L10" s="123">
        <v>356</v>
      </c>
      <c r="M10" s="123">
        <v>357</v>
      </c>
      <c r="N10" s="123">
        <v>358</v>
      </c>
      <c r="O10" s="123">
        <v>359</v>
      </c>
    </row>
    <row r="11" spans="1:18">
      <c r="A11" s="119" t="s">
        <v>122</v>
      </c>
      <c r="B11" s="119" t="s">
        <v>81</v>
      </c>
      <c r="C11" s="119" t="s">
        <v>109</v>
      </c>
      <c r="D11" s="122" t="s">
        <v>342</v>
      </c>
      <c r="E11" s="122" t="s">
        <v>343</v>
      </c>
      <c r="F11" s="122" t="s">
        <v>344</v>
      </c>
      <c r="G11" s="122" t="s">
        <v>345</v>
      </c>
      <c r="H11" s="122" t="s">
        <v>346</v>
      </c>
      <c r="I11" s="122" t="s">
        <v>347</v>
      </c>
      <c r="J11" s="122" t="s">
        <v>348</v>
      </c>
      <c r="K11" s="122" t="s">
        <v>349</v>
      </c>
      <c r="L11" s="122" t="s">
        <v>350</v>
      </c>
      <c r="M11" s="122" t="s">
        <v>351</v>
      </c>
      <c r="N11" s="122" t="s">
        <v>352</v>
      </c>
      <c r="O11" s="122" t="s">
        <v>353</v>
      </c>
      <c r="P11" s="119" t="s">
        <v>354</v>
      </c>
      <c r="Q11" s="119" t="s">
        <v>54</v>
      </c>
      <c r="R11" s="119" t="str">
        <f>A11</f>
        <v>Line</v>
      </c>
    </row>
    <row r="12" spans="1:18">
      <c r="A12" s="131">
        <v>100</v>
      </c>
      <c r="B12" s="150" t="s">
        <v>111</v>
      </c>
      <c r="C12" s="156">
        <f>'1-BaseTRR'!$F$2-1</f>
        <v>2021</v>
      </c>
      <c r="D12" s="198">
        <f t="shared" ref="D12:O24" si="0">+D37+D62</f>
        <v>82791681</v>
      </c>
      <c r="E12" s="198">
        <f t="shared" si="0"/>
        <v>208997631</v>
      </c>
      <c r="F12" s="198">
        <f t="shared" si="0"/>
        <v>362688526</v>
      </c>
      <c r="G12" s="198">
        <f t="shared" si="0"/>
        <v>108679506</v>
      </c>
      <c r="H12" s="198">
        <f t="shared" si="0"/>
        <v>7529329070</v>
      </c>
      <c r="I12" s="198">
        <f t="shared" si="0"/>
        <v>35991450</v>
      </c>
      <c r="J12" s="198">
        <f t="shared" si="0"/>
        <v>1040283564</v>
      </c>
      <c r="K12" s="198">
        <f t="shared" si="0"/>
        <v>2159592516</v>
      </c>
      <c r="L12" s="198">
        <f t="shared" si="0"/>
        <v>2346203987</v>
      </c>
      <c r="M12" s="198">
        <f t="shared" si="0"/>
        <v>518614161</v>
      </c>
      <c r="N12" s="198">
        <f t="shared" si="0"/>
        <v>281575116</v>
      </c>
      <c r="O12" s="198">
        <f t="shared" si="0"/>
        <v>164958388</v>
      </c>
      <c r="P12" s="33">
        <f>SUM(D12:O12)</f>
        <v>14839705596</v>
      </c>
      <c r="Q12" s="158" t="str">
        <f>"Line "&amp;A37&amp;" + Line "&amp;A62&amp;""</f>
        <v>Line 200 + Line 300</v>
      </c>
      <c r="R12" s="131">
        <f>A12</f>
        <v>100</v>
      </c>
    </row>
    <row r="13" spans="1:18">
      <c r="A13" s="131">
        <f>A12+1</f>
        <v>101</v>
      </c>
      <c r="B13" s="150" t="s">
        <v>112</v>
      </c>
      <c r="C13" s="156">
        <f>'1-BaseTRR'!$F$2</f>
        <v>2022</v>
      </c>
      <c r="D13" s="198">
        <f t="shared" si="0"/>
        <v>83668290.879999995</v>
      </c>
      <c r="E13" s="198">
        <f t="shared" si="0"/>
        <v>210242376.84000003</v>
      </c>
      <c r="F13" s="198">
        <f t="shared" si="0"/>
        <v>363978809.27999997</v>
      </c>
      <c r="G13" s="198">
        <f t="shared" si="0"/>
        <v>108971776.86</v>
      </c>
      <c r="H13" s="198">
        <f t="shared" si="0"/>
        <v>7536364529.9299994</v>
      </c>
      <c r="I13" s="198">
        <f t="shared" si="0"/>
        <v>35991450.320000008</v>
      </c>
      <c r="J13" s="198">
        <f t="shared" si="0"/>
        <v>1042130553.72</v>
      </c>
      <c r="K13" s="198">
        <f t="shared" si="0"/>
        <v>2211040492.73</v>
      </c>
      <c r="L13" s="198">
        <f t="shared" si="0"/>
        <v>2386266085.5900002</v>
      </c>
      <c r="M13" s="198">
        <f t="shared" si="0"/>
        <v>520059211.48999995</v>
      </c>
      <c r="N13" s="198">
        <f t="shared" si="0"/>
        <v>282790466.08999997</v>
      </c>
      <c r="O13" s="198">
        <f t="shared" si="0"/>
        <v>165949027.57999998</v>
      </c>
      <c r="P13" s="33">
        <f t="shared" ref="P13:P24" si="1">SUM(D13:O13)</f>
        <v>14947453071.309998</v>
      </c>
      <c r="Q13" s="158" t="str">
        <f t="shared" ref="Q13:Q24" si="2">"Line "&amp;A38&amp;" + Line "&amp;A63&amp;""</f>
        <v>Line 201 + Line 301</v>
      </c>
      <c r="R13" s="131">
        <f t="shared" ref="R13:R25" si="3">A13</f>
        <v>101</v>
      </c>
    </row>
    <row r="14" spans="1:18">
      <c r="A14" s="131">
        <f t="shared" ref="A14:A25" si="4">A13+1</f>
        <v>102</v>
      </c>
      <c r="B14" s="150" t="s">
        <v>113</v>
      </c>
      <c r="C14" s="156">
        <f>'1-BaseTRR'!$F$2</f>
        <v>2022</v>
      </c>
      <c r="D14" s="198">
        <f t="shared" si="0"/>
        <v>83773913.640000001</v>
      </c>
      <c r="E14" s="198">
        <f t="shared" si="0"/>
        <v>210432771.73000002</v>
      </c>
      <c r="F14" s="198">
        <f t="shared" si="0"/>
        <v>363081146.67000002</v>
      </c>
      <c r="G14" s="198">
        <f t="shared" si="0"/>
        <v>108983561.52000001</v>
      </c>
      <c r="H14" s="198">
        <f t="shared" si="0"/>
        <v>7550640865.8299999</v>
      </c>
      <c r="I14" s="198">
        <f t="shared" si="0"/>
        <v>35992353.820000008</v>
      </c>
      <c r="J14" s="198">
        <f t="shared" si="0"/>
        <v>1032595810.75</v>
      </c>
      <c r="K14" s="198">
        <f t="shared" si="0"/>
        <v>2228107287.1500001</v>
      </c>
      <c r="L14" s="198">
        <f t="shared" si="0"/>
        <v>2420922917.0500002</v>
      </c>
      <c r="M14" s="198">
        <f t="shared" si="0"/>
        <v>520108065.39999998</v>
      </c>
      <c r="N14" s="198">
        <f t="shared" si="0"/>
        <v>282791263.80000001</v>
      </c>
      <c r="O14" s="198">
        <f t="shared" si="0"/>
        <v>166197061.33999997</v>
      </c>
      <c r="P14" s="33">
        <f t="shared" si="1"/>
        <v>15003627018.699999</v>
      </c>
      <c r="Q14" s="158" t="str">
        <f t="shared" si="2"/>
        <v>Line 202 + Line 302</v>
      </c>
      <c r="R14" s="131">
        <f t="shared" si="3"/>
        <v>102</v>
      </c>
    </row>
    <row r="15" spans="1:18">
      <c r="A15" s="131">
        <f t="shared" si="4"/>
        <v>103</v>
      </c>
      <c r="B15" s="150" t="s">
        <v>114</v>
      </c>
      <c r="C15" s="156">
        <f>'1-BaseTRR'!$F$2</f>
        <v>2022</v>
      </c>
      <c r="D15" s="198">
        <f t="shared" si="0"/>
        <v>85296017.439999998</v>
      </c>
      <c r="E15" s="198">
        <f t="shared" si="0"/>
        <v>210701042.81</v>
      </c>
      <c r="F15" s="198">
        <f t="shared" si="0"/>
        <v>363504242.85000002</v>
      </c>
      <c r="G15" s="198">
        <f t="shared" si="0"/>
        <v>109132221.63</v>
      </c>
      <c r="H15" s="198">
        <f t="shared" si="0"/>
        <v>7559868208.7600002</v>
      </c>
      <c r="I15" s="198">
        <f t="shared" si="0"/>
        <v>35992352.239999995</v>
      </c>
      <c r="J15" s="198">
        <f t="shared" si="0"/>
        <v>1037098813.27</v>
      </c>
      <c r="K15" s="198">
        <f t="shared" si="0"/>
        <v>2234979699.1999998</v>
      </c>
      <c r="L15" s="198">
        <f t="shared" si="0"/>
        <v>2411265605.1599998</v>
      </c>
      <c r="M15" s="198">
        <f t="shared" si="0"/>
        <v>520166480.04999995</v>
      </c>
      <c r="N15" s="198">
        <f t="shared" si="0"/>
        <v>282997499.23000002</v>
      </c>
      <c r="O15" s="198">
        <f t="shared" si="0"/>
        <v>168300356.50999999</v>
      </c>
      <c r="P15" s="33">
        <f t="shared" si="1"/>
        <v>15019302539.15</v>
      </c>
      <c r="Q15" s="158" t="str">
        <f t="shared" si="2"/>
        <v>Line 203 + Line 303</v>
      </c>
      <c r="R15" s="131">
        <f t="shared" si="3"/>
        <v>103</v>
      </c>
    </row>
    <row r="16" spans="1:18">
      <c r="A16" s="131">
        <f t="shared" si="4"/>
        <v>104</v>
      </c>
      <c r="B16" s="150" t="s">
        <v>115</v>
      </c>
      <c r="C16" s="156">
        <f>'1-BaseTRR'!$F$2</f>
        <v>2022</v>
      </c>
      <c r="D16" s="198">
        <f t="shared" si="0"/>
        <v>92371233.189999998</v>
      </c>
      <c r="E16" s="198">
        <f t="shared" si="0"/>
        <v>210937418.45999998</v>
      </c>
      <c r="F16" s="198">
        <f t="shared" si="0"/>
        <v>363830202.03999996</v>
      </c>
      <c r="G16" s="198">
        <f t="shared" si="0"/>
        <v>110047067.56</v>
      </c>
      <c r="H16" s="198">
        <f t="shared" si="0"/>
        <v>7591821911.7399998</v>
      </c>
      <c r="I16" s="198">
        <f t="shared" si="0"/>
        <v>35973643.620000005</v>
      </c>
      <c r="J16" s="198">
        <f t="shared" si="0"/>
        <v>1034650792.88</v>
      </c>
      <c r="K16" s="198">
        <f t="shared" si="0"/>
        <v>2257391804.23</v>
      </c>
      <c r="L16" s="198">
        <f t="shared" si="0"/>
        <v>2450448699.3299999</v>
      </c>
      <c r="M16" s="198">
        <f t="shared" si="0"/>
        <v>522769863.84999996</v>
      </c>
      <c r="N16" s="198">
        <f t="shared" si="0"/>
        <v>282435654.76999998</v>
      </c>
      <c r="O16" s="198">
        <f t="shared" si="0"/>
        <v>169280206.31999999</v>
      </c>
      <c r="P16" s="33">
        <f t="shared" si="1"/>
        <v>15121958497.99</v>
      </c>
      <c r="Q16" s="158" t="str">
        <f t="shared" si="2"/>
        <v>Line 204 + Line 304</v>
      </c>
      <c r="R16" s="131">
        <f t="shared" si="3"/>
        <v>104</v>
      </c>
    </row>
    <row r="17" spans="1:19">
      <c r="A17" s="131">
        <f t="shared" si="4"/>
        <v>105</v>
      </c>
      <c r="B17" s="150" t="s">
        <v>89</v>
      </c>
      <c r="C17" s="156">
        <f>'1-BaseTRR'!$F$2</f>
        <v>2022</v>
      </c>
      <c r="D17" s="198">
        <f t="shared" si="0"/>
        <v>94673185.409999996</v>
      </c>
      <c r="E17" s="198">
        <f t="shared" si="0"/>
        <v>211078728.74000001</v>
      </c>
      <c r="F17" s="198">
        <f t="shared" si="0"/>
        <v>364048065.31</v>
      </c>
      <c r="G17" s="198">
        <f t="shared" si="0"/>
        <v>110794960.08000001</v>
      </c>
      <c r="H17" s="198">
        <f t="shared" si="0"/>
        <v>7617166066.250001</v>
      </c>
      <c r="I17" s="198">
        <f t="shared" si="0"/>
        <v>35973646.280000001</v>
      </c>
      <c r="J17" s="198">
        <f t="shared" si="0"/>
        <v>1022318468.98</v>
      </c>
      <c r="K17" s="198">
        <f t="shared" si="0"/>
        <v>2269311326.0599999</v>
      </c>
      <c r="L17" s="198">
        <f t="shared" si="0"/>
        <v>2506482777.4300003</v>
      </c>
      <c r="M17" s="198">
        <f t="shared" si="0"/>
        <v>522597272.31999993</v>
      </c>
      <c r="N17" s="198">
        <f t="shared" si="0"/>
        <v>282517176.63999999</v>
      </c>
      <c r="O17" s="198">
        <f t="shared" si="0"/>
        <v>169901273.38999999</v>
      </c>
      <c r="P17" s="33">
        <f t="shared" si="1"/>
        <v>15206862946.889999</v>
      </c>
      <c r="Q17" s="158" t="str">
        <f t="shared" si="2"/>
        <v>Line 205 + Line 305</v>
      </c>
      <c r="R17" s="131">
        <f t="shared" si="3"/>
        <v>105</v>
      </c>
    </row>
    <row r="18" spans="1:19">
      <c r="A18" s="131">
        <f t="shared" si="4"/>
        <v>106</v>
      </c>
      <c r="B18" s="150" t="s">
        <v>272</v>
      </c>
      <c r="C18" s="156">
        <f>'1-BaseTRR'!$F$2</f>
        <v>2022</v>
      </c>
      <c r="D18" s="198">
        <f t="shared" si="0"/>
        <v>94809399.989999995</v>
      </c>
      <c r="E18" s="198">
        <f t="shared" si="0"/>
        <v>211132515.65000001</v>
      </c>
      <c r="F18" s="198">
        <f t="shared" si="0"/>
        <v>363580781.86000001</v>
      </c>
      <c r="G18" s="198">
        <f t="shared" si="0"/>
        <v>112787174.66000001</v>
      </c>
      <c r="H18" s="198">
        <f t="shared" si="0"/>
        <v>7605118827.2200012</v>
      </c>
      <c r="I18" s="198">
        <f t="shared" si="0"/>
        <v>35973656.159999996</v>
      </c>
      <c r="J18" s="198">
        <f t="shared" si="0"/>
        <v>1023321522.55</v>
      </c>
      <c r="K18" s="198">
        <f t="shared" si="0"/>
        <v>2287220558.2199998</v>
      </c>
      <c r="L18" s="198">
        <f t="shared" si="0"/>
        <v>2530758591.9899998</v>
      </c>
      <c r="M18" s="198">
        <f t="shared" si="0"/>
        <v>524968165.93999994</v>
      </c>
      <c r="N18" s="198">
        <f t="shared" si="0"/>
        <v>282715294.25999999</v>
      </c>
      <c r="O18" s="198">
        <f t="shared" si="0"/>
        <v>171062777.22</v>
      </c>
      <c r="P18" s="33">
        <f t="shared" si="1"/>
        <v>15243449265.719999</v>
      </c>
      <c r="Q18" s="158" t="str">
        <f t="shared" si="2"/>
        <v>Line 206 + Line 306</v>
      </c>
      <c r="R18" s="131">
        <f t="shared" si="3"/>
        <v>106</v>
      </c>
    </row>
    <row r="19" spans="1:19">
      <c r="A19" s="131">
        <f t="shared" si="4"/>
        <v>107</v>
      </c>
      <c r="B19" s="150" t="s">
        <v>117</v>
      </c>
      <c r="C19" s="156">
        <f>'1-BaseTRR'!$F$2</f>
        <v>2022</v>
      </c>
      <c r="D19" s="198">
        <f t="shared" si="0"/>
        <v>94940467.480000004</v>
      </c>
      <c r="E19" s="198">
        <f t="shared" si="0"/>
        <v>211231613.22999999</v>
      </c>
      <c r="F19" s="198">
        <f t="shared" si="0"/>
        <v>363726447.28999996</v>
      </c>
      <c r="G19" s="198">
        <f t="shared" si="0"/>
        <v>114024499.11000001</v>
      </c>
      <c r="H19" s="198">
        <f t="shared" si="0"/>
        <v>7611923009.5599995</v>
      </c>
      <c r="I19" s="198">
        <f t="shared" si="0"/>
        <v>35989538.849999994</v>
      </c>
      <c r="J19" s="198">
        <f t="shared" si="0"/>
        <v>1025470774.99</v>
      </c>
      <c r="K19" s="198">
        <f t="shared" si="0"/>
        <v>2302162630.5100002</v>
      </c>
      <c r="L19" s="198">
        <f t="shared" si="0"/>
        <v>2564087393.1899996</v>
      </c>
      <c r="M19" s="198">
        <f t="shared" si="0"/>
        <v>524953454.66999996</v>
      </c>
      <c r="N19" s="198">
        <f t="shared" si="0"/>
        <v>283098366.38999999</v>
      </c>
      <c r="O19" s="198">
        <f t="shared" si="0"/>
        <v>171479636.69999999</v>
      </c>
      <c r="P19" s="33">
        <f t="shared" si="1"/>
        <v>15303087831.969999</v>
      </c>
      <c r="Q19" s="158" t="str">
        <f t="shared" si="2"/>
        <v>Line 207 + Line 307</v>
      </c>
      <c r="R19" s="131">
        <f t="shared" si="3"/>
        <v>107</v>
      </c>
    </row>
    <row r="20" spans="1:19">
      <c r="A20" s="131">
        <f t="shared" si="4"/>
        <v>108</v>
      </c>
      <c r="B20" s="150" t="s">
        <v>118</v>
      </c>
      <c r="C20" s="156">
        <f>'1-BaseTRR'!$F$2</f>
        <v>2022</v>
      </c>
      <c r="D20" s="198">
        <f t="shared" si="0"/>
        <v>95064535.129999995</v>
      </c>
      <c r="E20" s="198">
        <f t="shared" si="0"/>
        <v>211324176.33999997</v>
      </c>
      <c r="F20" s="198">
        <f t="shared" si="0"/>
        <v>363652627.88</v>
      </c>
      <c r="G20" s="198">
        <f t="shared" si="0"/>
        <v>114954306.44000001</v>
      </c>
      <c r="H20" s="198">
        <f t="shared" si="0"/>
        <v>7656548690.75</v>
      </c>
      <c r="I20" s="198">
        <f t="shared" si="0"/>
        <v>35989549.010000005</v>
      </c>
      <c r="J20" s="198">
        <f t="shared" si="0"/>
        <v>1026343054.85</v>
      </c>
      <c r="K20" s="198">
        <f t="shared" si="0"/>
        <v>2316615680.48</v>
      </c>
      <c r="L20" s="198">
        <f t="shared" si="0"/>
        <v>2603819602.6199999</v>
      </c>
      <c r="M20" s="198">
        <f t="shared" si="0"/>
        <v>525030176.54999995</v>
      </c>
      <c r="N20" s="198">
        <f t="shared" si="0"/>
        <v>283623102.63</v>
      </c>
      <c r="O20" s="198">
        <f t="shared" si="0"/>
        <v>172696618.66</v>
      </c>
      <c r="P20" s="33">
        <f t="shared" si="1"/>
        <v>15405662121.339998</v>
      </c>
      <c r="Q20" s="158" t="str">
        <f t="shared" si="2"/>
        <v>Line 208 + Line 308</v>
      </c>
      <c r="R20" s="131">
        <f t="shared" si="3"/>
        <v>108</v>
      </c>
    </row>
    <row r="21" spans="1:19">
      <c r="A21" s="131">
        <f t="shared" si="4"/>
        <v>109</v>
      </c>
      <c r="B21" s="150" t="s">
        <v>119</v>
      </c>
      <c r="C21" s="156">
        <f>'1-BaseTRR'!$F$2</f>
        <v>2022</v>
      </c>
      <c r="D21" s="198">
        <f t="shared" si="0"/>
        <v>94780250.469999999</v>
      </c>
      <c r="E21" s="198">
        <f t="shared" si="0"/>
        <v>211480219.58000001</v>
      </c>
      <c r="F21" s="198">
        <f t="shared" si="0"/>
        <v>363885231.74000001</v>
      </c>
      <c r="G21" s="198">
        <f t="shared" si="0"/>
        <v>121230489.86</v>
      </c>
      <c r="H21" s="198">
        <f t="shared" si="0"/>
        <v>7677420001.2200003</v>
      </c>
      <c r="I21" s="198">
        <f t="shared" si="0"/>
        <v>35989552.450000003</v>
      </c>
      <c r="J21" s="198">
        <f t="shared" si="0"/>
        <v>1020412250.77</v>
      </c>
      <c r="K21" s="198">
        <f t="shared" si="0"/>
        <v>2333265590.4500003</v>
      </c>
      <c r="L21" s="198">
        <f t="shared" si="0"/>
        <v>2629508490.4200001</v>
      </c>
      <c r="M21" s="198">
        <f t="shared" si="0"/>
        <v>525052226.84999996</v>
      </c>
      <c r="N21" s="198">
        <f t="shared" si="0"/>
        <v>282045653.62</v>
      </c>
      <c r="O21" s="198">
        <f t="shared" si="0"/>
        <v>175259554.53999999</v>
      </c>
      <c r="P21" s="33">
        <f t="shared" si="1"/>
        <v>15470329511.970003</v>
      </c>
      <c r="Q21" s="158" t="str">
        <f t="shared" si="2"/>
        <v>Line 209 + Line 309</v>
      </c>
      <c r="R21" s="131">
        <f t="shared" si="3"/>
        <v>109</v>
      </c>
    </row>
    <row r="22" spans="1:19">
      <c r="A22" s="131">
        <f t="shared" si="4"/>
        <v>110</v>
      </c>
      <c r="B22" s="150"/>
      <c r="C22" s="156">
        <f>'1-BaseTRR'!$F$2</f>
        <v>2022</v>
      </c>
      <c r="D22" s="198">
        <f t="shared" si="0"/>
        <v>94858310.390000001</v>
      </c>
      <c r="E22" s="198">
        <f t="shared" si="0"/>
        <v>211563307.46000001</v>
      </c>
      <c r="F22" s="198">
        <f t="shared" si="0"/>
        <v>363922752.50999999</v>
      </c>
      <c r="G22" s="198">
        <f>+G47+G72</f>
        <v>119864984.45</v>
      </c>
      <c r="H22" s="198">
        <f t="shared" si="0"/>
        <v>7675974348.3999996</v>
      </c>
      <c r="I22" s="198">
        <f t="shared" si="0"/>
        <v>35989555.329999998</v>
      </c>
      <c r="J22" s="198">
        <f t="shared" si="0"/>
        <v>1032276234.25</v>
      </c>
      <c r="K22" s="198">
        <f t="shared" si="0"/>
        <v>2358792565.21</v>
      </c>
      <c r="L22" s="198">
        <f t="shared" si="0"/>
        <v>2642141558.3200002</v>
      </c>
      <c r="M22" s="198">
        <f t="shared" si="0"/>
        <v>525077514.57999998</v>
      </c>
      <c r="N22" s="198">
        <f t="shared" si="0"/>
        <v>282075843.24000001</v>
      </c>
      <c r="O22" s="198">
        <f t="shared" si="0"/>
        <v>179507572.26999998</v>
      </c>
      <c r="P22" s="33">
        <f t="shared" si="1"/>
        <v>15522044546.41</v>
      </c>
      <c r="Q22" s="158" t="str">
        <f t="shared" si="2"/>
        <v>Line 210 + Line 310</v>
      </c>
      <c r="R22" s="131">
        <f t="shared" si="3"/>
        <v>110</v>
      </c>
    </row>
    <row r="23" spans="1:19">
      <c r="A23" s="131">
        <f t="shared" si="4"/>
        <v>111</v>
      </c>
      <c r="B23" s="150" t="s">
        <v>121</v>
      </c>
      <c r="C23" s="156">
        <f>'1-BaseTRR'!$F$2</f>
        <v>2022</v>
      </c>
      <c r="D23" s="198">
        <f t="shared" si="0"/>
        <v>94929933.239999995</v>
      </c>
      <c r="E23" s="198">
        <f t="shared" si="0"/>
        <v>211585818.49000001</v>
      </c>
      <c r="F23" s="198">
        <f t="shared" si="0"/>
        <v>364060320.79000002</v>
      </c>
      <c r="G23" s="198">
        <f t="shared" si="0"/>
        <v>121499387.96000001</v>
      </c>
      <c r="H23" s="198">
        <f t="shared" si="0"/>
        <v>7672256593.1199999</v>
      </c>
      <c r="I23" s="198">
        <f t="shared" si="0"/>
        <v>35989559.25</v>
      </c>
      <c r="J23" s="198">
        <f t="shared" si="0"/>
        <v>1049103390.5599999</v>
      </c>
      <c r="K23" s="198">
        <f t="shared" si="0"/>
        <v>2376039948.6599998</v>
      </c>
      <c r="L23" s="198">
        <f t="shared" si="0"/>
        <v>2681525513.3200002</v>
      </c>
      <c r="M23" s="198">
        <f t="shared" si="0"/>
        <v>525074846.71000004</v>
      </c>
      <c r="N23" s="198">
        <f t="shared" si="0"/>
        <v>282021366.25999999</v>
      </c>
      <c r="O23" s="198">
        <f t="shared" si="0"/>
        <v>179834493.15000001</v>
      </c>
      <c r="P23" s="33">
        <f t="shared" si="1"/>
        <v>15593921171.509998</v>
      </c>
      <c r="Q23" s="158" t="str">
        <f t="shared" si="2"/>
        <v>Line 211 + Line 311</v>
      </c>
      <c r="R23" s="131">
        <f t="shared" si="3"/>
        <v>111</v>
      </c>
      <c r="S23" s="158"/>
    </row>
    <row r="24" spans="1:19">
      <c r="A24" s="131">
        <f t="shared" si="4"/>
        <v>112</v>
      </c>
      <c r="B24" s="159" t="s">
        <v>111</v>
      </c>
      <c r="C24" s="160">
        <f>'1-BaseTRR'!$F$2</f>
        <v>2022</v>
      </c>
      <c r="D24" s="467">
        <f t="shared" si="0"/>
        <v>94304454.074713677</v>
      </c>
      <c r="E24" s="467">
        <f t="shared" si="0"/>
        <v>211069954.12782389</v>
      </c>
      <c r="F24" s="467">
        <f t="shared" si="0"/>
        <v>363199302.32501286</v>
      </c>
      <c r="G24" s="467">
        <f t="shared" si="0"/>
        <v>125371515.78386503</v>
      </c>
      <c r="H24" s="467">
        <f t="shared" si="0"/>
        <v>7706774272.0488892</v>
      </c>
      <c r="I24" s="467">
        <f t="shared" si="0"/>
        <v>35989561.586312369</v>
      </c>
      <c r="J24" s="467">
        <f t="shared" si="0"/>
        <v>1062242405.8880787</v>
      </c>
      <c r="K24" s="467">
        <f t="shared" si="0"/>
        <v>2381845833.3490334</v>
      </c>
      <c r="L24" s="467">
        <f t="shared" si="0"/>
        <v>2686127973.6737804</v>
      </c>
      <c r="M24" s="467">
        <f t="shared" si="0"/>
        <v>523695481.2628119</v>
      </c>
      <c r="N24" s="467">
        <f t="shared" si="0"/>
        <v>281894975.36176646</v>
      </c>
      <c r="O24" s="467">
        <f t="shared" si="0"/>
        <v>186139561.6063633</v>
      </c>
      <c r="P24" s="467">
        <f t="shared" si="1"/>
        <v>15658655291.088451</v>
      </c>
      <c r="Q24" s="158" t="str">
        <f t="shared" si="2"/>
        <v>Line 212 + Line 312</v>
      </c>
      <c r="R24" s="131">
        <f t="shared" si="3"/>
        <v>112</v>
      </c>
      <c r="S24" s="158"/>
    </row>
    <row r="25" spans="1:19">
      <c r="A25" s="131">
        <f t="shared" si="4"/>
        <v>113</v>
      </c>
      <c r="B25" s="544" t="s">
        <v>355</v>
      </c>
      <c r="C25" s="169"/>
      <c r="D25" s="199">
        <f>SUM(D12:D24)/13</f>
        <v>91250897.87190105</v>
      </c>
      <c r="E25" s="199">
        <f>SUM(E12:E24)/13</f>
        <v>210905967.26598644</v>
      </c>
      <c r="F25" s="199">
        <f>SUM(F12:F24)/13</f>
        <v>363627573.58038563</v>
      </c>
      <c r="G25" s="199">
        <f>SUM(G12:G24)/13</f>
        <v>114333957.83952808</v>
      </c>
      <c r="H25" s="199">
        <f t="shared" ref="H25:P25" si="5">SUM(H12:H24)/13</f>
        <v>7614708184.2176056</v>
      </c>
      <c r="I25" s="199">
        <f t="shared" si="5"/>
        <v>35986605.301254794</v>
      </c>
      <c r="J25" s="199">
        <f t="shared" si="5"/>
        <v>1034480587.4967753</v>
      </c>
      <c r="K25" s="199">
        <f t="shared" si="5"/>
        <v>2285874302.4806948</v>
      </c>
      <c r="L25" s="199">
        <f t="shared" si="5"/>
        <v>2527658399.6225986</v>
      </c>
      <c r="M25" s="199">
        <f t="shared" si="5"/>
        <v>522935916.97483164</v>
      </c>
      <c r="N25" s="199">
        <f t="shared" si="5"/>
        <v>282506290.63782823</v>
      </c>
      <c r="O25" s="199">
        <f t="shared" si="5"/>
        <v>172351271.32972029</v>
      </c>
      <c r="P25" s="199">
        <f t="shared" si="5"/>
        <v>15256619954.619112</v>
      </c>
      <c r="Q25" s="158"/>
      <c r="R25" s="131">
        <f t="shared" si="3"/>
        <v>113</v>
      </c>
      <c r="S25" s="158"/>
    </row>
    <row r="26" spans="1:19">
      <c r="A26" s="27"/>
      <c r="B26" s="17"/>
      <c r="C26" s="17"/>
      <c r="D26" s="17"/>
      <c r="E26" s="17"/>
      <c r="F26" s="17"/>
      <c r="G26" s="17"/>
      <c r="H26" s="17"/>
      <c r="I26" s="17"/>
      <c r="J26" s="17"/>
      <c r="K26" s="17"/>
      <c r="L26" s="17"/>
      <c r="M26" s="17"/>
      <c r="R26" s="131"/>
    </row>
    <row r="27" spans="1:19">
      <c r="A27" s="27"/>
      <c r="B27" s="17"/>
      <c r="C27" s="17"/>
      <c r="D27" s="17"/>
      <c r="E27" s="17"/>
      <c r="F27" s="17"/>
      <c r="G27" s="17"/>
      <c r="H27" s="17"/>
      <c r="I27" s="17"/>
      <c r="J27" s="17"/>
      <c r="K27" s="17"/>
      <c r="L27" s="17"/>
      <c r="M27" s="17"/>
      <c r="R27" s="131"/>
    </row>
    <row r="28" spans="1:19">
      <c r="B28" s="57" t="s">
        <v>356</v>
      </c>
      <c r="C28" s="57"/>
      <c r="D28" s="144"/>
      <c r="E28" s="54"/>
      <c r="F28" s="54"/>
      <c r="G28" s="144"/>
      <c r="H28" s="144"/>
      <c r="I28" s="144"/>
      <c r="J28" s="144"/>
      <c r="K28" s="144"/>
      <c r="L28" s="144"/>
      <c r="M28" s="144"/>
      <c r="N28" s="54"/>
      <c r="O28" s="54"/>
      <c r="P28" s="54"/>
      <c r="Q28" s="54"/>
    </row>
    <row r="29" spans="1:19">
      <c r="B29" s="150"/>
      <c r="C29" s="12"/>
      <c r="D29" s="17"/>
      <c r="G29" s="17"/>
      <c r="H29" s="17"/>
      <c r="I29" s="17"/>
      <c r="J29" s="17"/>
      <c r="K29" s="17"/>
      <c r="L29" s="17"/>
      <c r="M29" s="17"/>
    </row>
    <row r="30" spans="1:19">
      <c r="B30" t="s">
        <v>1289</v>
      </c>
      <c r="C30" s="12"/>
      <c r="D30" s="17"/>
      <c r="G30" s="17"/>
      <c r="H30" s="17"/>
      <c r="I30" s="17"/>
      <c r="J30" s="17"/>
      <c r="K30" s="17"/>
      <c r="L30" s="17"/>
      <c r="M30" s="17"/>
    </row>
    <row r="31" spans="1:19">
      <c r="C31" s="12"/>
      <c r="D31" s="17"/>
      <c r="G31" s="17"/>
      <c r="H31" s="17"/>
      <c r="I31" s="17"/>
      <c r="J31" s="17"/>
      <c r="K31" s="17"/>
      <c r="L31" s="17"/>
      <c r="M31" s="17"/>
    </row>
    <row r="32" spans="1:19">
      <c r="A32" s="8"/>
      <c r="D32" s="122" t="s">
        <v>98</v>
      </c>
      <c r="E32" s="122" t="s">
        <v>99</v>
      </c>
      <c r="F32" s="122" t="s">
        <v>100</v>
      </c>
      <c r="G32" s="122" t="s">
        <v>101</v>
      </c>
      <c r="H32" s="122" t="s">
        <v>102</v>
      </c>
      <c r="I32" s="122" t="s">
        <v>103</v>
      </c>
      <c r="J32" s="122" t="s">
        <v>104</v>
      </c>
      <c r="K32" s="122" t="s">
        <v>105</v>
      </c>
      <c r="L32" s="122" t="s">
        <v>106</v>
      </c>
      <c r="M32" s="122" t="s">
        <v>266</v>
      </c>
      <c r="N32" s="122" t="s">
        <v>267</v>
      </c>
      <c r="O32" s="122" t="s">
        <v>268</v>
      </c>
      <c r="P32" s="122" t="s">
        <v>269</v>
      </c>
      <c r="Q32" s="122"/>
    </row>
    <row r="33" spans="1:18">
      <c r="B33" s="8"/>
      <c r="C33" s="8"/>
      <c r="D33" s="162"/>
      <c r="E33" s="162"/>
      <c r="F33" s="162"/>
      <c r="G33" s="162"/>
      <c r="H33" s="162"/>
      <c r="I33" s="162"/>
      <c r="J33" s="162"/>
      <c r="K33" s="162"/>
      <c r="L33" s="162"/>
      <c r="M33" s="162"/>
      <c r="N33" s="162"/>
      <c r="O33" s="162"/>
      <c r="P33" s="153" t="s">
        <v>1158</v>
      </c>
      <c r="Q33" s="30"/>
    </row>
    <row r="34" spans="1:18">
      <c r="B34" s="8"/>
      <c r="C34" s="8"/>
      <c r="P34" s="30"/>
      <c r="Q34" s="30"/>
    </row>
    <row r="35" spans="1:18">
      <c r="A35" s="131"/>
      <c r="B35" s="131"/>
      <c r="C35" s="130" t="s">
        <v>341</v>
      </c>
      <c r="D35" s="123">
        <v>350.01</v>
      </c>
      <c r="E35" s="123">
        <v>350.02</v>
      </c>
      <c r="F35" s="123">
        <v>352.01</v>
      </c>
      <c r="G35" s="123">
        <v>352.02</v>
      </c>
      <c r="H35" s="123">
        <v>353.01</v>
      </c>
      <c r="I35" s="123">
        <v>353.02</v>
      </c>
      <c r="J35" s="123">
        <v>354</v>
      </c>
      <c r="K35" s="123">
        <v>355</v>
      </c>
      <c r="L35" s="123">
        <v>356</v>
      </c>
      <c r="M35" s="123">
        <v>357</v>
      </c>
      <c r="N35" s="123">
        <v>358</v>
      </c>
      <c r="O35" s="123">
        <v>359</v>
      </c>
    </row>
    <row r="36" spans="1:18">
      <c r="A36" s="119" t="s">
        <v>122</v>
      </c>
      <c r="B36" s="119" t="s">
        <v>81</v>
      </c>
      <c r="C36" s="119" t="s">
        <v>109</v>
      </c>
      <c r="D36" s="122" t="s">
        <v>342</v>
      </c>
      <c r="E36" s="122" t="s">
        <v>343</v>
      </c>
      <c r="F36" s="122" t="s">
        <v>344</v>
      </c>
      <c r="G36" s="122" t="s">
        <v>345</v>
      </c>
      <c r="H36" s="122" t="s">
        <v>346</v>
      </c>
      <c r="I36" s="122" t="s">
        <v>347</v>
      </c>
      <c r="J36" s="122" t="s">
        <v>348</v>
      </c>
      <c r="K36" s="122" t="s">
        <v>349</v>
      </c>
      <c r="L36" s="122" t="s">
        <v>350</v>
      </c>
      <c r="M36" s="122" t="s">
        <v>351</v>
      </c>
      <c r="N36" s="122" t="s">
        <v>352</v>
      </c>
      <c r="O36" s="122" t="s">
        <v>353</v>
      </c>
      <c r="P36" s="119" t="s">
        <v>354</v>
      </c>
      <c r="Q36" s="119"/>
      <c r="R36" s="119" t="str">
        <f>A36</f>
        <v>Line</v>
      </c>
    </row>
    <row r="37" spans="1:18">
      <c r="A37" s="131">
        <v>200</v>
      </c>
      <c r="B37" s="150" t="s">
        <v>111</v>
      </c>
      <c r="C37" s="156">
        <f>'1-BaseTRR'!$F$2-1</f>
        <v>2021</v>
      </c>
      <c r="D37" s="468">
        <v>53064227</v>
      </c>
      <c r="E37" s="468">
        <v>100274774</v>
      </c>
      <c r="F37" s="468">
        <v>151151509</v>
      </c>
      <c r="G37" s="468">
        <v>34486743</v>
      </c>
      <c r="H37" s="468">
        <v>2811121350</v>
      </c>
      <c r="I37" s="468">
        <v>4821603</v>
      </c>
      <c r="J37" s="468">
        <v>536643388</v>
      </c>
      <c r="K37" s="468">
        <v>142382009</v>
      </c>
      <c r="L37" s="468">
        <v>863683216</v>
      </c>
      <c r="M37" s="468">
        <v>351675577</v>
      </c>
      <c r="N37" s="468">
        <v>116938830</v>
      </c>
      <c r="O37" s="468">
        <v>70037974</v>
      </c>
      <c r="P37" s="33">
        <f>SUM(D37:O37)</f>
        <v>5236281200</v>
      </c>
      <c r="Q37" s="158"/>
      <c r="R37" s="131">
        <f t="shared" ref="R37:R50" si="6">A37</f>
        <v>200</v>
      </c>
    </row>
    <row r="38" spans="1:18">
      <c r="A38" s="131">
        <f>A37+1</f>
        <v>201</v>
      </c>
      <c r="B38" s="150" t="s">
        <v>112</v>
      </c>
      <c r="C38" s="156">
        <f>'1-BaseTRR'!$F$2</f>
        <v>2022</v>
      </c>
      <c r="D38" s="468">
        <v>53937070.979933992</v>
      </c>
      <c r="E38" s="468">
        <v>100684869.08062918</v>
      </c>
      <c r="F38" s="468">
        <v>143994573.80756152</v>
      </c>
      <c r="G38" s="468">
        <v>31010709.293156695</v>
      </c>
      <c r="H38" s="468">
        <v>2770781517.3147745</v>
      </c>
      <c r="I38" s="468">
        <v>4736074.8411313258</v>
      </c>
      <c r="J38" s="468">
        <v>537135934.22535443</v>
      </c>
      <c r="K38" s="468">
        <v>162768049.53491309</v>
      </c>
      <c r="L38" s="468">
        <v>876983188.66154671</v>
      </c>
      <c r="M38" s="468">
        <v>352480527.24107897</v>
      </c>
      <c r="N38" s="468">
        <v>117556165.85305624</v>
      </c>
      <c r="O38" s="468">
        <v>70413759.660125896</v>
      </c>
      <c r="P38" s="33">
        <f t="shared" ref="P38:P49" si="7">SUM(D38:O38)</f>
        <v>5222482440.4932623</v>
      </c>
      <c r="Q38" s="158"/>
      <c r="R38" s="131">
        <f t="shared" si="6"/>
        <v>201</v>
      </c>
    </row>
    <row r="39" spans="1:18">
      <c r="A39" s="131">
        <f t="shared" ref="A39:A50" si="8">A38+1</f>
        <v>202</v>
      </c>
      <c r="B39" s="150" t="s">
        <v>113</v>
      </c>
      <c r="C39" s="156">
        <f>'1-BaseTRR'!$F$2</f>
        <v>2022</v>
      </c>
      <c r="D39" s="468">
        <v>53939177.306153171</v>
      </c>
      <c r="E39" s="468">
        <v>100694218.04197666</v>
      </c>
      <c r="F39" s="468">
        <v>143527683.12200674</v>
      </c>
      <c r="G39" s="468">
        <v>31012686.679295875</v>
      </c>
      <c r="H39" s="468">
        <v>2771446858.2265739</v>
      </c>
      <c r="I39" s="468">
        <v>4736074.8411313258</v>
      </c>
      <c r="J39" s="468">
        <v>530576225.75012356</v>
      </c>
      <c r="K39" s="468">
        <v>167637807.36902645</v>
      </c>
      <c r="L39" s="468">
        <v>900322078.20065117</v>
      </c>
      <c r="M39" s="468">
        <v>352529381.151079</v>
      </c>
      <c r="N39" s="468">
        <v>117556439.22357331</v>
      </c>
      <c r="O39" s="468">
        <v>70582116.770621255</v>
      </c>
      <c r="P39" s="33">
        <f t="shared" si="7"/>
        <v>5244560746.6822138</v>
      </c>
      <c r="Q39" s="158"/>
      <c r="R39" s="131">
        <f t="shared" si="6"/>
        <v>202</v>
      </c>
    </row>
    <row r="40" spans="1:18">
      <c r="A40" s="131">
        <f t="shared" si="8"/>
        <v>203</v>
      </c>
      <c r="B40" s="150" t="s">
        <v>114</v>
      </c>
      <c r="C40" s="156">
        <f>'1-BaseTRR'!$F$2</f>
        <v>2022</v>
      </c>
      <c r="D40" s="468">
        <v>54028995.988591559</v>
      </c>
      <c r="E40" s="468">
        <v>100824239.79351325</v>
      </c>
      <c r="F40" s="468">
        <v>143541201.82333145</v>
      </c>
      <c r="G40" s="468">
        <v>31016070.665435053</v>
      </c>
      <c r="H40" s="468">
        <v>2776969628.4065247</v>
      </c>
      <c r="I40" s="468">
        <v>4736074.8411313258</v>
      </c>
      <c r="J40" s="468">
        <v>530662171.28361207</v>
      </c>
      <c r="K40" s="468">
        <v>155922499.76566413</v>
      </c>
      <c r="L40" s="468">
        <v>902804004.88909256</v>
      </c>
      <c r="M40" s="468">
        <v>352586754.13107902</v>
      </c>
      <c r="N40" s="468">
        <v>117535549.14932704</v>
      </c>
      <c r="O40" s="468">
        <v>71010100.348202154</v>
      </c>
      <c r="P40" s="33">
        <f t="shared" si="7"/>
        <v>5241637291.0855036</v>
      </c>
      <c r="Q40" s="158"/>
      <c r="R40" s="131">
        <f t="shared" si="6"/>
        <v>203</v>
      </c>
    </row>
    <row r="41" spans="1:18">
      <c r="A41" s="131">
        <f t="shared" si="8"/>
        <v>204</v>
      </c>
      <c r="B41" s="150" t="s">
        <v>115</v>
      </c>
      <c r="C41" s="156">
        <f>'1-BaseTRR'!$F$2</f>
        <v>2022</v>
      </c>
      <c r="D41" s="468">
        <v>61094914.601044327</v>
      </c>
      <c r="E41" s="468">
        <v>100890250.84059869</v>
      </c>
      <c r="F41" s="468">
        <v>143543984.82333145</v>
      </c>
      <c r="G41" s="468">
        <v>31572110.338209368</v>
      </c>
      <c r="H41" s="468">
        <v>2790602356.179461</v>
      </c>
      <c r="I41" s="468">
        <v>4736074.8411313258</v>
      </c>
      <c r="J41" s="468">
        <v>530703640.31581861</v>
      </c>
      <c r="K41" s="468">
        <v>161161686.60915765</v>
      </c>
      <c r="L41" s="468">
        <v>922314993.99424624</v>
      </c>
      <c r="M41" s="468">
        <v>355192472.41107899</v>
      </c>
      <c r="N41" s="468">
        <v>117548216.87130715</v>
      </c>
      <c r="O41" s="468">
        <v>71347916.282945797</v>
      </c>
      <c r="P41" s="33">
        <f t="shared" si="7"/>
        <v>5290708618.1083307</v>
      </c>
      <c r="Q41" s="158"/>
      <c r="R41" s="131">
        <f t="shared" si="6"/>
        <v>204</v>
      </c>
    </row>
    <row r="42" spans="1:18">
      <c r="A42" s="131">
        <f t="shared" si="8"/>
        <v>205</v>
      </c>
      <c r="B42" s="150" t="s">
        <v>89</v>
      </c>
      <c r="C42" s="156">
        <f>'1-BaseTRR'!$F$2</f>
        <v>2022</v>
      </c>
      <c r="D42" s="468">
        <v>61098813.540038422</v>
      </c>
      <c r="E42" s="468">
        <v>100909369.62278831</v>
      </c>
      <c r="F42" s="468">
        <v>143559109.78333145</v>
      </c>
      <c r="G42" s="468">
        <v>31776366.027915101</v>
      </c>
      <c r="H42" s="468">
        <v>2795065397.9047155</v>
      </c>
      <c r="I42" s="468">
        <v>4736074.8411313258</v>
      </c>
      <c r="J42" s="468">
        <v>528425254.71689546</v>
      </c>
      <c r="K42" s="468">
        <v>163069445.36912337</v>
      </c>
      <c r="L42" s="468">
        <v>946677086.10941875</v>
      </c>
      <c r="M42" s="468">
        <v>355260767.901079</v>
      </c>
      <c r="N42" s="468">
        <v>117631299.34647019</v>
      </c>
      <c r="O42" s="468">
        <v>71542289.542719766</v>
      </c>
      <c r="P42" s="33">
        <f t="shared" si="7"/>
        <v>5319751274.7056265</v>
      </c>
      <c r="Q42" s="158"/>
      <c r="R42" s="131">
        <f t="shared" si="6"/>
        <v>205</v>
      </c>
    </row>
    <row r="43" spans="1:18">
      <c r="A43" s="131">
        <f t="shared" si="8"/>
        <v>206</v>
      </c>
      <c r="B43" s="150" t="s">
        <v>272</v>
      </c>
      <c r="C43" s="156">
        <f>'1-BaseTRR'!$F$2</f>
        <v>2022</v>
      </c>
      <c r="D43" s="468">
        <v>61067537.859335423</v>
      </c>
      <c r="E43" s="468">
        <v>100921539.90499227</v>
      </c>
      <c r="F43" s="468">
        <v>143562109.03412455</v>
      </c>
      <c r="G43" s="468">
        <v>32438430.601475623</v>
      </c>
      <c r="H43" s="468">
        <v>2788340654.8977923</v>
      </c>
      <c r="I43" s="468">
        <v>4736074.8411313258</v>
      </c>
      <c r="J43" s="468">
        <v>528726009.27585411</v>
      </c>
      <c r="K43" s="468">
        <v>164751544.96027347</v>
      </c>
      <c r="L43" s="468">
        <v>957864989.91941237</v>
      </c>
      <c r="M43" s="468">
        <v>357631688.271079</v>
      </c>
      <c r="N43" s="468">
        <v>117701242.47031359</v>
      </c>
      <c r="O43" s="468">
        <v>72524659.57748878</v>
      </c>
      <c r="P43" s="33">
        <f t="shared" si="7"/>
        <v>5330266481.6132727</v>
      </c>
      <c r="Q43" s="158"/>
      <c r="R43" s="131">
        <f t="shared" si="6"/>
        <v>206</v>
      </c>
    </row>
    <row r="44" spans="1:18">
      <c r="A44" s="131">
        <f t="shared" si="8"/>
        <v>207</v>
      </c>
      <c r="B44" s="150" t="s">
        <v>117</v>
      </c>
      <c r="C44" s="156">
        <f>'1-BaseTRR'!$F$2</f>
        <v>2022</v>
      </c>
      <c r="D44" s="468">
        <v>61122756.643041551</v>
      </c>
      <c r="E44" s="468">
        <v>100989983.65432787</v>
      </c>
      <c r="F44" s="468">
        <v>143566855.51412454</v>
      </c>
      <c r="G44" s="468">
        <v>32674124.776611082</v>
      </c>
      <c r="H44" s="468">
        <v>2791586285.614357</v>
      </c>
      <c r="I44" s="468">
        <v>4741518.7872072496</v>
      </c>
      <c r="J44" s="468">
        <v>529941487.75394988</v>
      </c>
      <c r="K44" s="468">
        <v>163590751.30219138</v>
      </c>
      <c r="L44" s="468">
        <v>981893709.82347441</v>
      </c>
      <c r="M44" s="468">
        <v>357616927.25107902</v>
      </c>
      <c r="N44" s="468">
        <v>117827057.84527498</v>
      </c>
      <c r="O44" s="468">
        <v>73014896.947124749</v>
      </c>
      <c r="P44" s="33">
        <f t="shared" si="7"/>
        <v>5358566355.9127626</v>
      </c>
      <c r="Q44" s="158"/>
      <c r="R44" s="131">
        <f t="shared" si="6"/>
        <v>207</v>
      </c>
    </row>
    <row r="45" spans="1:18">
      <c r="A45" s="131">
        <f t="shared" si="8"/>
        <v>208</v>
      </c>
      <c r="B45" s="150" t="s">
        <v>118</v>
      </c>
      <c r="C45" s="156">
        <f>'1-BaseTRR'!$F$2</f>
        <v>2022</v>
      </c>
      <c r="D45" s="468">
        <v>61159556.162073731</v>
      </c>
      <c r="E45" s="468">
        <v>101025170.16161774</v>
      </c>
      <c r="F45" s="468">
        <v>143569416.66065148</v>
      </c>
      <c r="G45" s="468">
        <v>33179121.474308819</v>
      </c>
      <c r="H45" s="468">
        <v>2825510740.1126981</v>
      </c>
      <c r="I45" s="468">
        <v>4741518.7872072496</v>
      </c>
      <c r="J45" s="468">
        <v>530136295.93767756</v>
      </c>
      <c r="K45" s="468">
        <v>163007176.84319988</v>
      </c>
      <c r="L45" s="468">
        <v>1001318241.8850801</v>
      </c>
      <c r="M45" s="468">
        <v>357693485.20107901</v>
      </c>
      <c r="N45" s="468">
        <v>117969589.58524215</v>
      </c>
      <c r="O45" s="468">
        <v>73719832.507398784</v>
      </c>
      <c r="P45" s="33">
        <f t="shared" si="7"/>
        <v>5413030145.3182344</v>
      </c>
      <c r="Q45" s="158"/>
      <c r="R45" s="131">
        <f t="shared" si="6"/>
        <v>208</v>
      </c>
    </row>
    <row r="46" spans="1:18">
      <c r="A46" s="131">
        <f t="shared" si="8"/>
        <v>209</v>
      </c>
      <c r="B46" s="150" t="s">
        <v>119</v>
      </c>
      <c r="C46" s="156">
        <f>'1-BaseTRR'!$F$2</f>
        <v>2022</v>
      </c>
      <c r="D46" s="468">
        <v>61168058.917076036</v>
      </c>
      <c r="E46" s="468">
        <v>101067563.9531891</v>
      </c>
      <c r="F46" s="468">
        <v>143570548.33736709</v>
      </c>
      <c r="G46" s="468">
        <v>35372890.903438315</v>
      </c>
      <c r="H46" s="468">
        <v>2831756866.5036392</v>
      </c>
      <c r="I46" s="468">
        <v>4741518.7872072496</v>
      </c>
      <c r="J46" s="468">
        <v>526282021.74011999</v>
      </c>
      <c r="K46" s="468">
        <v>170726484.31955007</v>
      </c>
      <c r="L46" s="468">
        <v>1019373823.0439504</v>
      </c>
      <c r="M46" s="468">
        <v>357717122.97107899</v>
      </c>
      <c r="N46" s="468">
        <v>117567012.22096299</v>
      </c>
      <c r="O46" s="468">
        <v>74968834.756602243</v>
      </c>
      <c r="P46" s="33">
        <f t="shared" si="7"/>
        <v>5444312746.4541807</v>
      </c>
      <c r="Q46" s="158"/>
      <c r="R46" s="131">
        <f t="shared" si="6"/>
        <v>209</v>
      </c>
    </row>
    <row r="47" spans="1:18">
      <c r="A47" s="131">
        <f t="shared" si="8"/>
        <v>210</v>
      </c>
      <c r="B47" s="150" t="s">
        <v>120</v>
      </c>
      <c r="C47" s="156">
        <f>'1-BaseTRR'!$F$2</f>
        <v>2022</v>
      </c>
      <c r="D47" s="468">
        <v>61169871.124681972</v>
      </c>
      <c r="E47" s="468">
        <v>101099810.67864875</v>
      </c>
      <c r="F47" s="468">
        <v>143567677.1205242</v>
      </c>
      <c r="G47" s="468">
        <v>33510499.305401936</v>
      </c>
      <c r="H47" s="468">
        <v>2835104805.7942991</v>
      </c>
      <c r="I47" s="468">
        <v>4741518.7872072496</v>
      </c>
      <c r="J47" s="468">
        <v>530670184.89249861</v>
      </c>
      <c r="K47" s="468">
        <v>173002109.31518558</v>
      </c>
      <c r="L47" s="468">
        <v>1026271176.0265926</v>
      </c>
      <c r="M47" s="468">
        <v>357742174.38107902</v>
      </c>
      <c r="N47" s="468">
        <v>117556484.88487998</v>
      </c>
      <c r="O47" s="468">
        <v>78783439.202536613</v>
      </c>
      <c r="P47" s="33">
        <f t="shared" si="7"/>
        <v>5463219751.5135345</v>
      </c>
      <c r="Q47" s="158"/>
      <c r="R47" s="131">
        <f t="shared" si="6"/>
        <v>210</v>
      </c>
    </row>
    <row r="48" spans="1:18">
      <c r="A48" s="131">
        <f t="shared" si="8"/>
        <v>211</v>
      </c>
      <c r="B48" s="150" t="s">
        <v>121</v>
      </c>
      <c r="C48" s="156">
        <f>'1-BaseTRR'!$F$2</f>
        <v>2022</v>
      </c>
      <c r="D48" s="468">
        <v>61170023.604681969</v>
      </c>
      <c r="E48" s="468">
        <v>101108250.33786391</v>
      </c>
      <c r="F48" s="468">
        <v>143587643.37340215</v>
      </c>
      <c r="G48" s="468">
        <v>33700752.980145745</v>
      </c>
      <c r="H48" s="468">
        <v>2832792874.8215265</v>
      </c>
      <c r="I48" s="468">
        <v>4741518.7872072496</v>
      </c>
      <c r="J48" s="468">
        <v>543814534.35323286</v>
      </c>
      <c r="K48" s="468">
        <v>173226328.69798636</v>
      </c>
      <c r="L48" s="468">
        <v>1031773762.2102841</v>
      </c>
      <c r="M48" s="468">
        <v>357739638.60176063</v>
      </c>
      <c r="N48" s="468">
        <v>117556538.87346756</v>
      </c>
      <c r="O48" s="468">
        <v>78819758.042979911</v>
      </c>
      <c r="P48" s="33">
        <f t="shared" si="7"/>
        <v>5480031624.6845398</v>
      </c>
      <c r="Q48" s="158"/>
      <c r="R48" s="131">
        <f t="shared" si="6"/>
        <v>211</v>
      </c>
    </row>
    <row r="49" spans="1:18">
      <c r="A49" s="131">
        <f t="shared" si="8"/>
        <v>212</v>
      </c>
      <c r="B49" s="159" t="s">
        <v>111</v>
      </c>
      <c r="C49" s="160">
        <f>'1-BaseTRR'!$F$2</f>
        <v>2022</v>
      </c>
      <c r="D49" s="469">
        <v>60162731.08416947</v>
      </c>
      <c r="E49" s="469">
        <v>100662592.20168242</v>
      </c>
      <c r="F49" s="469">
        <v>158358385.74996537</v>
      </c>
      <c r="G49" s="469">
        <v>37915005.32041502</v>
      </c>
      <c r="H49" s="469">
        <v>2739649434.2214961</v>
      </c>
      <c r="I49" s="469">
        <v>4741531.8130886443</v>
      </c>
      <c r="J49" s="469">
        <v>544170941.50518775</v>
      </c>
      <c r="K49" s="469">
        <v>137957292.88401097</v>
      </c>
      <c r="L49" s="469">
        <v>1022637283.156759</v>
      </c>
      <c r="M49" s="469">
        <v>357208084.25825995</v>
      </c>
      <c r="N49" s="469">
        <v>117364996.77943152</v>
      </c>
      <c r="O49" s="469">
        <v>85300632.076979473</v>
      </c>
      <c r="P49" s="470">
        <f t="shared" si="7"/>
        <v>5366128911.051445</v>
      </c>
      <c r="Q49" s="158"/>
      <c r="R49" s="131">
        <f t="shared" si="6"/>
        <v>212</v>
      </c>
    </row>
    <row r="50" spans="1:18">
      <c r="A50" s="131">
        <f t="shared" si="8"/>
        <v>213</v>
      </c>
      <c r="B50" s="544" t="s">
        <v>355</v>
      </c>
      <c r="C50" s="169"/>
      <c r="D50" s="199">
        <f>SUM(D37:D49)/13</f>
        <v>58783364.216217041</v>
      </c>
      <c r="E50" s="199">
        <f>SUM(E37:E49)/13</f>
        <v>100857894.79014063</v>
      </c>
      <c r="F50" s="199">
        <f>SUM(F37:F49)/13</f>
        <v>145315438.3192094</v>
      </c>
      <c r="G50" s="199">
        <f>SUM(G37:G49)/13</f>
        <v>33051193.181985281</v>
      </c>
      <c r="H50" s="199">
        <f t="shared" ref="H50" si="9">SUM(H37:H49)/13</f>
        <v>2796979136.1536813</v>
      </c>
      <c r="I50" s="199">
        <f t="shared" ref="I50" si="10">SUM(I37:I49)/13</f>
        <v>4745167.5227625258</v>
      </c>
      <c r="J50" s="199">
        <f t="shared" ref="J50" si="11">SUM(J37:J49)/13</f>
        <v>532914468.4423328</v>
      </c>
      <c r="K50" s="199">
        <f t="shared" ref="K50" si="12">SUM(K37:K49)/13</f>
        <v>161477168.15156019</v>
      </c>
      <c r="L50" s="199">
        <f t="shared" ref="L50" si="13">SUM(L37:L49)/13</f>
        <v>957993657.99388528</v>
      </c>
      <c r="M50" s="199">
        <f t="shared" ref="M50" si="14">SUM(M37:M49)/13</f>
        <v>355621123.13621616</v>
      </c>
      <c r="N50" s="199">
        <f t="shared" ref="N50" si="15">SUM(N37:N49)/13</f>
        <v>117562263.315639</v>
      </c>
      <c r="O50" s="199">
        <f t="shared" ref="O50" si="16">SUM(O37:O49)/13</f>
        <v>74005093.055055812</v>
      </c>
      <c r="P50" s="353">
        <f t="shared" ref="P50" si="17">SUM(P37:P49)/13</f>
        <v>5339305968.2786856</v>
      </c>
      <c r="Q50" s="158"/>
      <c r="R50" s="131">
        <f t="shared" si="6"/>
        <v>213</v>
      </c>
    </row>
    <row r="51" spans="1:18">
      <c r="A51" s="27"/>
      <c r="B51" s="17"/>
      <c r="C51" s="17"/>
      <c r="D51" s="17"/>
      <c r="E51" s="17"/>
      <c r="F51" s="17"/>
      <c r="G51" s="17"/>
      <c r="H51" s="17"/>
      <c r="I51" s="17"/>
      <c r="J51" s="17"/>
      <c r="K51" s="17"/>
      <c r="L51" s="17"/>
      <c r="M51" s="17"/>
      <c r="R51" s="131"/>
    </row>
    <row r="52" spans="1:18">
      <c r="A52" s="27"/>
      <c r="B52" s="17"/>
      <c r="C52" s="17"/>
      <c r="D52" s="17"/>
      <c r="E52" s="17"/>
      <c r="F52" s="17"/>
      <c r="G52" s="17"/>
      <c r="H52" s="17"/>
      <c r="I52" s="17"/>
      <c r="J52" s="17"/>
      <c r="K52" s="17"/>
      <c r="L52" s="17"/>
      <c r="M52" s="17"/>
      <c r="R52" s="131"/>
    </row>
    <row r="53" spans="1:18">
      <c r="B53" s="57" t="s">
        <v>357</v>
      </c>
      <c r="C53" s="57"/>
      <c r="D53" s="144"/>
      <c r="E53" s="144"/>
      <c r="F53" s="54"/>
      <c r="G53" s="144"/>
      <c r="H53" s="144"/>
      <c r="I53" s="144"/>
      <c r="J53" s="144"/>
      <c r="K53" s="144"/>
      <c r="L53" s="144"/>
      <c r="M53" s="144"/>
      <c r="N53" s="54"/>
      <c r="O53" s="54"/>
      <c r="P53" s="54"/>
      <c r="Q53" s="54"/>
    </row>
    <row r="54" spans="1:18">
      <c r="B54" s="150" t="s">
        <v>1871</v>
      </c>
      <c r="C54" s="12"/>
      <c r="D54" s="17"/>
      <c r="E54" s="17"/>
      <c r="G54" s="17"/>
      <c r="H54" s="17"/>
      <c r="I54" s="17"/>
      <c r="J54" s="17"/>
      <c r="K54" s="17"/>
      <c r="L54" s="17"/>
      <c r="M54" s="17"/>
    </row>
    <row r="55" spans="1:18">
      <c r="B55" t="s">
        <v>1290</v>
      </c>
      <c r="C55" s="12"/>
      <c r="D55" s="17"/>
      <c r="E55" s="17"/>
      <c r="G55" s="17"/>
      <c r="H55" s="17"/>
      <c r="I55" s="17"/>
      <c r="J55" s="17"/>
      <c r="K55" s="17"/>
      <c r="L55" s="17"/>
      <c r="M55" s="17"/>
    </row>
    <row r="56" spans="1:18">
      <c r="B56" s="150"/>
      <c r="C56" s="12"/>
      <c r="D56" s="17"/>
      <c r="E56" s="17"/>
      <c r="G56" s="17"/>
      <c r="H56" s="17"/>
      <c r="I56" s="17"/>
      <c r="J56" s="17"/>
      <c r="K56" s="17"/>
      <c r="L56" s="17"/>
      <c r="M56" s="17"/>
    </row>
    <row r="57" spans="1:18">
      <c r="A57" s="8"/>
      <c r="D57" s="122" t="s">
        <v>98</v>
      </c>
      <c r="E57" s="122" t="s">
        <v>99</v>
      </c>
      <c r="F57" s="122" t="s">
        <v>100</v>
      </c>
      <c r="G57" s="122" t="s">
        <v>101</v>
      </c>
      <c r="H57" s="122" t="s">
        <v>102</v>
      </c>
      <c r="I57" s="122" t="s">
        <v>103</v>
      </c>
      <c r="J57" s="122" t="s">
        <v>104</v>
      </c>
      <c r="K57" s="122" t="s">
        <v>105</v>
      </c>
      <c r="L57" s="122" t="s">
        <v>106</v>
      </c>
      <c r="M57" s="122" t="s">
        <v>266</v>
      </c>
      <c r="N57" s="122" t="s">
        <v>267</v>
      </c>
      <c r="O57" s="122" t="s">
        <v>268</v>
      </c>
      <c r="P57" s="122" t="s">
        <v>269</v>
      </c>
      <c r="Q57" s="122"/>
      <c r="R57" s="131"/>
    </row>
    <row r="58" spans="1:18">
      <c r="B58" s="8"/>
      <c r="C58" s="8"/>
      <c r="D58" s="162"/>
      <c r="E58" s="162"/>
      <c r="F58" s="162"/>
      <c r="G58" s="162"/>
      <c r="H58" s="162"/>
      <c r="I58" s="162"/>
      <c r="J58" s="162"/>
      <c r="K58" s="162"/>
      <c r="L58" s="162"/>
      <c r="M58" s="162"/>
      <c r="N58" s="162"/>
      <c r="O58" s="162"/>
      <c r="P58" s="153" t="s">
        <v>1158</v>
      </c>
      <c r="Q58" s="30"/>
      <c r="R58" s="131"/>
    </row>
    <row r="59" spans="1:18">
      <c r="B59" s="8"/>
      <c r="C59" s="8"/>
      <c r="N59" s="30"/>
      <c r="P59" s="30"/>
      <c r="Q59" s="30"/>
      <c r="R59" s="131"/>
    </row>
    <row r="60" spans="1:18">
      <c r="A60" s="131"/>
      <c r="B60" s="131"/>
      <c r="C60" s="130" t="s">
        <v>341</v>
      </c>
      <c r="D60" s="123">
        <v>350.01</v>
      </c>
      <c r="E60" s="123">
        <v>350.02</v>
      </c>
      <c r="F60" s="123">
        <v>352.01</v>
      </c>
      <c r="G60" s="123">
        <v>352.02</v>
      </c>
      <c r="H60" s="123">
        <v>353.01</v>
      </c>
      <c r="I60" s="123">
        <v>353.02</v>
      </c>
      <c r="J60" s="123">
        <v>354</v>
      </c>
      <c r="K60" s="123">
        <v>355</v>
      </c>
      <c r="L60" s="123">
        <v>356</v>
      </c>
      <c r="M60" s="123">
        <v>357</v>
      </c>
      <c r="N60" s="123">
        <v>358</v>
      </c>
      <c r="O60" s="123">
        <v>359</v>
      </c>
      <c r="R60" s="131"/>
    </row>
    <row r="61" spans="1:18">
      <c r="A61" s="119" t="s">
        <v>122</v>
      </c>
      <c r="B61" s="119" t="s">
        <v>81</v>
      </c>
      <c r="C61" s="119" t="s">
        <v>109</v>
      </c>
      <c r="D61" s="122" t="s">
        <v>342</v>
      </c>
      <c r="E61" s="122" t="s">
        <v>343</v>
      </c>
      <c r="F61" s="122" t="s">
        <v>344</v>
      </c>
      <c r="G61" s="122" t="s">
        <v>345</v>
      </c>
      <c r="H61" s="122" t="s">
        <v>346</v>
      </c>
      <c r="I61" s="122" t="s">
        <v>347</v>
      </c>
      <c r="J61" s="122" t="s">
        <v>348</v>
      </c>
      <c r="K61" s="122" t="s">
        <v>349</v>
      </c>
      <c r="L61" s="122" t="s">
        <v>350</v>
      </c>
      <c r="M61" s="122" t="s">
        <v>351</v>
      </c>
      <c r="N61" s="122" t="s">
        <v>352</v>
      </c>
      <c r="O61" s="122" t="s">
        <v>353</v>
      </c>
      <c r="P61" s="119" t="s">
        <v>354</v>
      </c>
      <c r="Q61" s="119"/>
      <c r="R61" s="119" t="str">
        <f>A61</f>
        <v>Line</v>
      </c>
    </row>
    <row r="62" spans="1:18">
      <c r="A62" s="131">
        <v>300</v>
      </c>
      <c r="B62" s="150" t="s">
        <v>111</v>
      </c>
      <c r="C62" s="156">
        <f>'1-BaseTRR'!$F$2-1</f>
        <v>2021</v>
      </c>
      <c r="D62" s="468">
        <v>29727454</v>
      </c>
      <c r="E62" s="468">
        <v>108722857</v>
      </c>
      <c r="F62" s="468">
        <v>211537017</v>
      </c>
      <c r="G62" s="468">
        <v>74192763</v>
      </c>
      <c r="H62" s="468">
        <v>4718207720</v>
      </c>
      <c r="I62" s="468">
        <v>31169847</v>
      </c>
      <c r="J62" s="468">
        <v>503640176</v>
      </c>
      <c r="K62" s="468">
        <v>2017210507</v>
      </c>
      <c r="L62" s="468">
        <v>1482520771</v>
      </c>
      <c r="M62" s="468">
        <v>166938584</v>
      </c>
      <c r="N62" s="468">
        <v>164636286</v>
      </c>
      <c r="O62" s="468">
        <v>94920414</v>
      </c>
      <c r="P62" s="33">
        <f>SUM(D62:O62)</f>
        <v>9603424396</v>
      </c>
      <c r="Q62" s="158"/>
      <c r="R62" s="131">
        <f t="shared" ref="R62:R75" si="18">A62</f>
        <v>300</v>
      </c>
    </row>
    <row r="63" spans="1:18">
      <c r="A63" s="131">
        <f>A62+1</f>
        <v>301</v>
      </c>
      <c r="B63" s="150" t="s">
        <v>112</v>
      </c>
      <c r="C63" s="156">
        <f>'1-BaseTRR'!$F$2</f>
        <v>2022</v>
      </c>
      <c r="D63" s="468">
        <v>29731219.900066003</v>
      </c>
      <c r="E63" s="468">
        <v>109557507.75937083</v>
      </c>
      <c r="F63" s="468">
        <v>219984235.47243848</v>
      </c>
      <c r="G63" s="468">
        <v>77961067.566843301</v>
      </c>
      <c r="H63" s="468">
        <v>4765583012.6152248</v>
      </c>
      <c r="I63" s="468">
        <v>31255375.478868678</v>
      </c>
      <c r="J63" s="468">
        <v>504994619.49464554</v>
      </c>
      <c r="K63" s="468">
        <v>2048272443.195087</v>
      </c>
      <c r="L63" s="468">
        <v>1509282896.9284532</v>
      </c>
      <c r="M63" s="468">
        <v>167578684.24892098</v>
      </c>
      <c r="N63" s="468">
        <v>165234300.23694375</v>
      </c>
      <c r="O63" s="468">
        <v>95535267.919874102</v>
      </c>
      <c r="P63" s="33">
        <f t="shared" ref="P63:P74" si="19">SUM(D63:O63)</f>
        <v>9724970630.8167362</v>
      </c>
      <c r="Q63" s="158"/>
      <c r="R63" s="131">
        <f t="shared" si="18"/>
        <v>301</v>
      </c>
    </row>
    <row r="64" spans="1:18">
      <c r="A64" s="131">
        <f t="shared" ref="A64:A75" si="20">A63+1</f>
        <v>302</v>
      </c>
      <c r="B64" s="150" t="s">
        <v>113</v>
      </c>
      <c r="C64" s="156">
        <f>'1-BaseTRR'!$F$2</f>
        <v>2022</v>
      </c>
      <c r="D64" s="468">
        <v>29834736.33384683</v>
      </c>
      <c r="E64" s="468">
        <v>109738553.68802334</v>
      </c>
      <c r="F64" s="468">
        <v>219553463.54799327</v>
      </c>
      <c r="G64" s="468">
        <v>77970874.840704128</v>
      </c>
      <c r="H64" s="468">
        <v>4779194007.603426</v>
      </c>
      <c r="I64" s="468">
        <v>31256278.978868678</v>
      </c>
      <c r="J64" s="468">
        <v>502019584.99987644</v>
      </c>
      <c r="K64" s="468">
        <v>2060469479.7809734</v>
      </c>
      <c r="L64" s="468">
        <v>1520600838.8493488</v>
      </c>
      <c r="M64" s="468">
        <v>167578684.24892098</v>
      </c>
      <c r="N64" s="468">
        <v>165234824.57642668</v>
      </c>
      <c r="O64" s="468">
        <v>95614944.569378734</v>
      </c>
      <c r="P64" s="33">
        <f t="shared" si="19"/>
        <v>9759066272.017786</v>
      </c>
      <c r="Q64" s="158"/>
      <c r="R64" s="131">
        <f t="shared" si="18"/>
        <v>302</v>
      </c>
    </row>
    <row r="65" spans="1:18">
      <c r="A65" s="131">
        <f t="shared" si="20"/>
        <v>303</v>
      </c>
      <c r="B65" s="150" t="s">
        <v>114</v>
      </c>
      <c r="C65" s="156">
        <f>'1-BaseTRR'!$F$2</f>
        <v>2022</v>
      </c>
      <c r="D65" s="468">
        <v>31267021.451408442</v>
      </c>
      <c r="E65" s="468">
        <v>109876803.01648673</v>
      </c>
      <c r="F65" s="468">
        <v>219963041.02666855</v>
      </c>
      <c r="G65" s="468">
        <v>78116150.964564949</v>
      </c>
      <c r="H65" s="468">
        <v>4782898580.3534756</v>
      </c>
      <c r="I65" s="468">
        <v>31256277.398868673</v>
      </c>
      <c r="J65" s="468">
        <v>506436641.98638791</v>
      </c>
      <c r="K65" s="468">
        <v>2079057199.4343357</v>
      </c>
      <c r="L65" s="468">
        <v>1508461600.2709074</v>
      </c>
      <c r="M65" s="468">
        <v>167579725.91892096</v>
      </c>
      <c r="N65" s="468">
        <v>165461950.08067298</v>
      </c>
      <c r="O65" s="468">
        <v>97290256.161797836</v>
      </c>
      <c r="P65" s="33">
        <f t="shared" si="19"/>
        <v>9777665248.0644951</v>
      </c>
      <c r="Q65" s="158"/>
      <c r="R65" s="131">
        <f t="shared" si="18"/>
        <v>303</v>
      </c>
    </row>
    <row r="66" spans="1:18">
      <c r="A66" s="131">
        <f t="shared" si="20"/>
        <v>304</v>
      </c>
      <c r="B66" s="150" t="s">
        <v>115</v>
      </c>
      <c r="C66" s="156">
        <f>'1-BaseTRR'!$F$2</f>
        <v>2022</v>
      </c>
      <c r="D66" s="468">
        <v>31276318.588955671</v>
      </c>
      <c r="E66" s="468">
        <v>110047167.61940131</v>
      </c>
      <c r="F66" s="468">
        <v>220286217.21666855</v>
      </c>
      <c r="G66" s="468">
        <v>78474957.221790642</v>
      </c>
      <c r="H66" s="468">
        <v>4801219555.5605392</v>
      </c>
      <c r="I66" s="468">
        <v>31237568.778868675</v>
      </c>
      <c r="J66" s="468">
        <v>503947152.56418139</v>
      </c>
      <c r="K66" s="468">
        <v>2096230117.6208422</v>
      </c>
      <c r="L66" s="468">
        <v>1528133705.3357539</v>
      </c>
      <c r="M66" s="468">
        <v>167577391.43892097</v>
      </c>
      <c r="N66" s="468">
        <v>164887437.89869285</v>
      </c>
      <c r="O66" s="468">
        <v>97932290.037054211</v>
      </c>
      <c r="P66" s="33">
        <f t="shared" si="19"/>
        <v>9831249879.88167</v>
      </c>
      <c r="Q66" s="158"/>
      <c r="R66" s="131">
        <f t="shared" si="18"/>
        <v>304</v>
      </c>
    </row>
    <row r="67" spans="1:18">
      <c r="A67" s="131">
        <f t="shared" si="20"/>
        <v>305</v>
      </c>
      <c r="B67" s="150" t="s">
        <v>89</v>
      </c>
      <c r="C67" s="156">
        <f>'1-BaseTRR'!$F$2</f>
        <v>2022</v>
      </c>
      <c r="D67" s="468">
        <v>33574371.869961575</v>
      </c>
      <c r="E67" s="468">
        <v>110169359.11721168</v>
      </c>
      <c r="F67" s="468">
        <v>220488955.52666855</v>
      </c>
      <c r="G67" s="468">
        <v>79018594.052084908</v>
      </c>
      <c r="H67" s="468">
        <v>4822100668.3452854</v>
      </c>
      <c r="I67" s="468">
        <v>31237571.438868672</v>
      </c>
      <c r="J67" s="468">
        <v>493893214.26310456</v>
      </c>
      <c r="K67" s="468">
        <v>2106241880.6908767</v>
      </c>
      <c r="L67" s="468">
        <v>1559805691.3205814</v>
      </c>
      <c r="M67" s="468">
        <v>167336504.41892096</v>
      </c>
      <c r="N67" s="468">
        <v>164885877.29352981</v>
      </c>
      <c r="O67" s="468">
        <v>98358983.847280234</v>
      </c>
      <c r="P67" s="33">
        <f t="shared" si="19"/>
        <v>9887111672.1843739</v>
      </c>
      <c r="Q67" s="158"/>
      <c r="R67" s="131">
        <f t="shared" si="18"/>
        <v>305</v>
      </c>
    </row>
    <row r="68" spans="1:18">
      <c r="A68" s="131">
        <f t="shared" si="20"/>
        <v>306</v>
      </c>
      <c r="B68" s="150" t="s">
        <v>272</v>
      </c>
      <c r="C68" s="156">
        <f>'1-BaseTRR'!$F$2</f>
        <v>2022</v>
      </c>
      <c r="D68" s="468">
        <v>33741862.130664572</v>
      </c>
      <c r="E68" s="468">
        <v>110210975.74500774</v>
      </c>
      <c r="F68" s="468">
        <v>220018672.82587543</v>
      </c>
      <c r="G68" s="468">
        <v>80348744.058524385</v>
      </c>
      <c r="H68" s="468">
        <v>4816778172.3222084</v>
      </c>
      <c r="I68" s="468">
        <v>31237581.318868674</v>
      </c>
      <c r="J68" s="468">
        <v>494595513.27414584</v>
      </c>
      <c r="K68" s="468">
        <v>2122469013.2597265</v>
      </c>
      <c r="L68" s="468">
        <v>1572893602.0705876</v>
      </c>
      <c r="M68" s="468">
        <v>167336477.66892096</v>
      </c>
      <c r="N68" s="468">
        <v>165014051.78968638</v>
      </c>
      <c r="O68" s="468">
        <v>98538117.642511219</v>
      </c>
      <c r="P68" s="33">
        <f t="shared" si="19"/>
        <v>9913182784.1067276</v>
      </c>
      <c r="Q68" s="158"/>
      <c r="R68" s="131">
        <f t="shared" si="18"/>
        <v>306</v>
      </c>
    </row>
    <row r="69" spans="1:18">
      <c r="A69" s="131">
        <f t="shared" si="20"/>
        <v>307</v>
      </c>
      <c r="B69" s="150" t="s">
        <v>117</v>
      </c>
      <c r="C69" s="156">
        <f>'1-BaseTRR'!$F$2</f>
        <v>2022</v>
      </c>
      <c r="D69" s="468">
        <v>33817710.836958453</v>
      </c>
      <c r="E69" s="468">
        <v>110241629.57567212</v>
      </c>
      <c r="F69" s="468">
        <v>220159591.77587545</v>
      </c>
      <c r="G69" s="468">
        <v>81350374.333388925</v>
      </c>
      <c r="H69" s="468">
        <v>4820336723.9456425</v>
      </c>
      <c r="I69" s="468">
        <v>31248020.062792748</v>
      </c>
      <c r="J69" s="468">
        <v>495529287.23605013</v>
      </c>
      <c r="K69" s="468">
        <v>2138571879.2078087</v>
      </c>
      <c r="L69" s="468">
        <v>1582193683.3665254</v>
      </c>
      <c r="M69" s="468">
        <v>167336527.41892096</v>
      </c>
      <c r="N69" s="468">
        <v>165271308.54472503</v>
      </c>
      <c r="O69" s="468">
        <v>98464739.752875239</v>
      </c>
      <c r="P69" s="33">
        <f t="shared" si="19"/>
        <v>9944521476.0572338</v>
      </c>
      <c r="Q69" s="158"/>
      <c r="R69" s="131">
        <f t="shared" si="18"/>
        <v>307</v>
      </c>
    </row>
    <row r="70" spans="1:18">
      <c r="A70" s="131">
        <f t="shared" si="20"/>
        <v>308</v>
      </c>
      <c r="B70" s="150" t="s">
        <v>118</v>
      </c>
      <c r="C70" s="156">
        <f>'1-BaseTRR'!$F$2</f>
        <v>2022</v>
      </c>
      <c r="D70" s="468">
        <v>33904978.967926264</v>
      </c>
      <c r="E70" s="468">
        <v>110299006.17838225</v>
      </c>
      <c r="F70" s="468">
        <v>220083211.21934852</v>
      </c>
      <c r="G70" s="468">
        <v>81775184.965691194</v>
      </c>
      <c r="H70" s="468">
        <v>4831037950.6373024</v>
      </c>
      <c r="I70" s="468">
        <v>31248030.222792752</v>
      </c>
      <c r="J70" s="468">
        <v>496206758.91232246</v>
      </c>
      <c r="K70" s="468">
        <v>2153608503.6368003</v>
      </c>
      <c r="L70" s="468">
        <v>1602501360.73492</v>
      </c>
      <c r="M70" s="468">
        <v>167336691.34892097</v>
      </c>
      <c r="N70" s="468">
        <v>165653513.04475784</v>
      </c>
      <c r="O70" s="468">
        <v>98976786.152601212</v>
      </c>
      <c r="P70" s="33">
        <f t="shared" si="19"/>
        <v>9992631976.0217667</v>
      </c>
      <c r="Q70" s="158"/>
      <c r="R70" s="131">
        <f t="shared" si="18"/>
        <v>308</v>
      </c>
    </row>
    <row r="71" spans="1:18">
      <c r="A71" s="131">
        <f t="shared" si="20"/>
        <v>309</v>
      </c>
      <c r="B71" s="150" t="s">
        <v>119</v>
      </c>
      <c r="C71" s="156">
        <f>'1-BaseTRR'!$F$2</f>
        <v>2022</v>
      </c>
      <c r="D71" s="468">
        <v>33612191.552923962</v>
      </c>
      <c r="E71" s="468">
        <v>110412655.62681091</v>
      </c>
      <c r="F71" s="468">
        <v>220314683.40263289</v>
      </c>
      <c r="G71" s="468">
        <v>85857598.956561685</v>
      </c>
      <c r="H71" s="468">
        <v>4845663134.716361</v>
      </c>
      <c r="I71" s="468">
        <v>31248033.66279275</v>
      </c>
      <c r="J71" s="468">
        <v>494130229.02987999</v>
      </c>
      <c r="K71" s="468">
        <v>2162539106.1304502</v>
      </c>
      <c r="L71" s="468">
        <v>1610134667.3760495</v>
      </c>
      <c r="M71" s="468">
        <v>167335103.87892097</v>
      </c>
      <c r="N71" s="468">
        <v>164478641.39903703</v>
      </c>
      <c r="O71" s="468">
        <v>100290719.78339775</v>
      </c>
      <c r="P71" s="33">
        <f t="shared" si="19"/>
        <v>10026016765.51582</v>
      </c>
      <c r="Q71" s="158"/>
      <c r="R71" s="131">
        <f t="shared" si="18"/>
        <v>309</v>
      </c>
    </row>
    <row r="72" spans="1:18">
      <c r="A72" s="131">
        <f t="shared" si="20"/>
        <v>310</v>
      </c>
      <c r="B72" s="150" t="s">
        <v>120</v>
      </c>
      <c r="C72" s="156">
        <f>'1-BaseTRR'!$F$2</f>
        <v>2022</v>
      </c>
      <c r="D72" s="468">
        <v>33688439.265318029</v>
      </c>
      <c r="E72" s="468">
        <v>110463496.78135125</v>
      </c>
      <c r="F72" s="468">
        <v>220355075.38947582</v>
      </c>
      <c r="G72" s="468">
        <v>86354485.144598067</v>
      </c>
      <c r="H72" s="468">
        <v>4840869542.6057005</v>
      </c>
      <c r="I72" s="468">
        <v>31248036.542792752</v>
      </c>
      <c r="J72" s="468">
        <v>501606049.35750139</v>
      </c>
      <c r="K72" s="468">
        <v>2185790455.8948145</v>
      </c>
      <c r="L72" s="468">
        <v>1615870382.2934074</v>
      </c>
      <c r="M72" s="468">
        <v>167335340.19892097</v>
      </c>
      <c r="N72" s="468">
        <v>164519358.35512003</v>
      </c>
      <c r="O72" s="468">
        <v>100724133.06746337</v>
      </c>
      <c r="P72" s="33">
        <f t="shared" si="19"/>
        <v>10058824794.896463</v>
      </c>
      <c r="Q72" s="158"/>
      <c r="R72" s="131">
        <f t="shared" si="18"/>
        <v>310</v>
      </c>
    </row>
    <row r="73" spans="1:18">
      <c r="A73" s="131">
        <f t="shared" si="20"/>
        <v>311</v>
      </c>
      <c r="B73" s="150" t="s">
        <v>121</v>
      </c>
      <c r="C73" s="156">
        <f>'1-BaseTRR'!$F$2</f>
        <v>2022</v>
      </c>
      <c r="D73" s="468">
        <v>33759909.635318026</v>
      </c>
      <c r="E73" s="468">
        <v>110477568.1521361</v>
      </c>
      <c r="F73" s="468">
        <v>220472677.41659787</v>
      </c>
      <c r="G73" s="468">
        <v>87798634.979854256</v>
      </c>
      <c r="H73" s="468">
        <v>4839463718.2984734</v>
      </c>
      <c r="I73" s="468">
        <v>31248040.462792754</v>
      </c>
      <c r="J73" s="468">
        <v>505288856.20676708</v>
      </c>
      <c r="K73" s="468">
        <v>2202813619.9620137</v>
      </c>
      <c r="L73" s="468">
        <v>1649751751.1097159</v>
      </c>
      <c r="M73" s="468">
        <v>167335208.10823938</v>
      </c>
      <c r="N73" s="468">
        <v>164464827.38653246</v>
      </c>
      <c r="O73" s="468">
        <v>101014735.10702009</v>
      </c>
      <c r="P73" s="33">
        <f t="shared" si="19"/>
        <v>10113889546.82546</v>
      </c>
      <c r="Q73" s="158"/>
      <c r="R73" s="131">
        <f t="shared" si="18"/>
        <v>311</v>
      </c>
    </row>
    <row r="74" spans="1:18">
      <c r="A74" s="131">
        <f t="shared" si="20"/>
        <v>312</v>
      </c>
      <c r="B74" s="159" t="s">
        <v>111</v>
      </c>
      <c r="C74" s="160">
        <f>'1-BaseTRR'!$F$2</f>
        <v>2022</v>
      </c>
      <c r="D74" s="469">
        <v>34141722.9905442</v>
      </c>
      <c r="E74" s="469">
        <v>110407361.92614146</v>
      </c>
      <c r="F74" s="469">
        <v>204840916.57504749</v>
      </c>
      <c r="G74" s="469">
        <v>87456510.463450015</v>
      </c>
      <c r="H74" s="469">
        <v>4967124837.8273926</v>
      </c>
      <c r="I74" s="469">
        <v>31248029.773223724</v>
      </c>
      <c r="J74" s="469">
        <v>518071464.38289094</v>
      </c>
      <c r="K74" s="469">
        <v>2243888540.4650226</v>
      </c>
      <c r="L74" s="469">
        <v>1663490690.5170214</v>
      </c>
      <c r="M74" s="469">
        <v>166487397.00455198</v>
      </c>
      <c r="N74" s="469">
        <v>164529978.58233494</v>
      </c>
      <c r="O74" s="469">
        <v>100838929.52938381</v>
      </c>
      <c r="P74" s="470">
        <f t="shared" si="19"/>
        <v>10292526380.037006</v>
      </c>
      <c r="Q74" s="158"/>
      <c r="R74" s="131">
        <f t="shared" si="18"/>
        <v>312</v>
      </c>
    </row>
    <row r="75" spans="1:18">
      <c r="A75" s="131">
        <f t="shared" si="20"/>
        <v>313</v>
      </c>
      <c r="B75" s="544" t="s">
        <v>355</v>
      </c>
      <c r="C75" s="169"/>
      <c r="D75" s="199">
        <f>SUM(D62:D74)/13</f>
        <v>32467533.655684009</v>
      </c>
      <c r="E75" s="199">
        <f>SUM(E62:E74)/13</f>
        <v>110048072.47584583</v>
      </c>
      <c r="F75" s="199">
        <f>SUM(F62:F74)/13</f>
        <v>218312135.26117623</v>
      </c>
      <c r="G75" s="199">
        <f>SUM(G62:G74)/13</f>
        <v>81282764.65754281</v>
      </c>
      <c r="H75" s="199">
        <f t="shared" ref="H75" si="21">SUM(H62:H74)/13</f>
        <v>4817729048.0639248</v>
      </c>
      <c r="I75" s="199">
        <f t="shared" ref="I75" si="22">SUM(I62:I74)/13</f>
        <v>31241437.778492268</v>
      </c>
      <c r="J75" s="199">
        <f t="shared" ref="J75" si="23">SUM(J62:J74)/13</f>
        <v>501566119.05444252</v>
      </c>
      <c r="K75" s="199">
        <f t="shared" ref="K75" si="24">SUM(K62:K74)/13</f>
        <v>2124397134.3291347</v>
      </c>
      <c r="L75" s="199">
        <f t="shared" ref="L75" si="25">SUM(L62:L74)/13</f>
        <v>1569664741.6287131</v>
      </c>
      <c r="M75" s="199">
        <f t="shared" ref="M75" si="26">SUM(M62:M74)/13</f>
        <v>167314793.83861548</v>
      </c>
      <c r="N75" s="199">
        <f t="shared" ref="N75" si="27">SUM(N62:N74)/13</f>
        <v>164944027.32218921</v>
      </c>
      <c r="O75" s="199">
        <f t="shared" ref="O75" si="28">SUM(O62:O74)/13</f>
        <v>98346178.274664462</v>
      </c>
      <c r="P75" s="353">
        <f t="shared" ref="P75" si="29">SUM(P62:P74)/13</f>
        <v>9917313986.3404255</v>
      </c>
      <c r="Q75" s="158"/>
      <c r="R75" s="131">
        <f t="shared" si="18"/>
        <v>313</v>
      </c>
    </row>
    <row r="76" spans="1:18">
      <c r="A76" s="131"/>
      <c r="B76" s="161"/>
      <c r="C76" s="161"/>
      <c r="D76" s="20"/>
      <c r="E76" s="20"/>
      <c r="F76" s="20"/>
      <c r="G76" s="20"/>
      <c r="H76" s="20"/>
      <c r="I76" s="20"/>
      <c r="J76" s="20"/>
      <c r="K76" s="20"/>
      <c r="L76" s="20"/>
      <c r="M76" s="20"/>
      <c r="N76" s="20"/>
      <c r="R76" s="131"/>
    </row>
    <row r="77" spans="1:18">
      <c r="A77" s="131"/>
      <c r="B77" s="161"/>
      <c r="C77" s="161"/>
      <c r="D77" s="20"/>
      <c r="E77" s="20"/>
      <c r="F77" s="20"/>
      <c r="G77" s="20"/>
      <c r="H77" s="20"/>
      <c r="I77" s="20"/>
      <c r="J77" s="20"/>
      <c r="K77" s="20"/>
      <c r="L77" s="20"/>
      <c r="M77" s="20"/>
      <c r="N77" s="20"/>
      <c r="R77" s="131"/>
    </row>
    <row r="78" spans="1:18">
      <c r="B78" s="57" t="s">
        <v>358</v>
      </c>
      <c r="C78" s="57"/>
      <c r="D78" s="144"/>
      <c r="E78" s="144"/>
      <c r="F78" s="144"/>
      <c r="G78" s="54"/>
      <c r="H78" s="144"/>
      <c r="I78" s="144"/>
      <c r="J78" s="144"/>
      <c r="K78" s="144"/>
      <c r="L78" s="144"/>
      <c r="M78" s="144"/>
      <c r="N78" s="54"/>
      <c r="O78" s="54"/>
      <c r="P78" s="54"/>
      <c r="Q78" s="54"/>
    </row>
    <row r="79" spans="1:18">
      <c r="B79" s="150" t="s">
        <v>1872</v>
      </c>
      <c r="C79" s="150"/>
      <c r="D79" s="150"/>
      <c r="E79" s="150"/>
      <c r="F79" s="150"/>
      <c r="G79" s="150"/>
      <c r="H79" s="150"/>
      <c r="I79" s="150"/>
      <c r="J79" s="150"/>
      <c r="K79" s="150"/>
      <c r="L79" s="150"/>
      <c r="M79" s="150"/>
      <c r="N79" s="150"/>
      <c r="O79" s="150"/>
      <c r="P79" s="150"/>
      <c r="Q79" s="150"/>
    </row>
    <row r="80" spans="1:18">
      <c r="B80" s="150"/>
      <c r="C80" s="150"/>
      <c r="D80" s="150"/>
      <c r="E80" s="150"/>
      <c r="F80" s="150"/>
      <c r="G80" s="150"/>
      <c r="H80" s="150"/>
      <c r="I80" s="150"/>
      <c r="J80" s="150"/>
      <c r="K80" s="150"/>
      <c r="L80" s="150"/>
      <c r="M80" s="150"/>
      <c r="N80" s="150"/>
      <c r="O80" s="150"/>
      <c r="P80" s="150"/>
      <c r="Q80" s="150"/>
    </row>
    <row r="81" spans="1:18">
      <c r="A81" s="8"/>
      <c r="D81" s="122" t="s">
        <v>98</v>
      </c>
      <c r="E81" s="122" t="s">
        <v>99</v>
      </c>
      <c r="F81" s="122" t="s">
        <v>100</v>
      </c>
      <c r="G81" s="122"/>
      <c r="H81" s="122"/>
      <c r="I81" s="122"/>
      <c r="J81" s="122"/>
      <c r="K81" s="122"/>
      <c r="L81" s="122"/>
      <c r="M81" s="122"/>
      <c r="N81" s="122"/>
      <c r="R81" s="131"/>
    </row>
    <row r="82" spans="1:18">
      <c r="B82" s="131"/>
      <c r="C82" s="131"/>
      <c r="D82" s="140" t="s">
        <v>359</v>
      </c>
      <c r="E82" s="153" t="s">
        <v>123</v>
      </c>
      <c r="F82" s="153" t="s">
        <v>123</v>
      </c>
      <c r="R82" s="131"/>
    </row>
    <row r="83" spans="1:18">
      <c r="B83" s="131"/>
      <c r="C83" s="131"/>
      <c r="D83" s="140"/>
      <c r="E83" s="122"/>
      <c r="R83" s="131"/>
    </row>
    <row r="84" spans="1:18">
      <c r="B84" s="131"/>
      <c r="C84" s="131"/>
      <c r="D84" s="123" t="s">
        <v>360</v>
      </c>
      <c r="E84" s="123" t="s">
        <v>361</v>
      </c>
      <c r="F84" s="123" t="s">
        <v>361</v>
      </c>
      <c r="R84" s="131"/>
    </row>
    <row r="85" spans="1:18">
      <c r="A85" s="119" t="s">
        <v>122</v>
      </c>
      <c r="B85" s="119" t="s">
        <v>81</v>
      </c>
      <c r="C85" s="119" t="s">
        <v>109</v>
      </c>
      <c r="D85" s="163" t="s">
        <v>362</v>
      </c>
      <c r="E85" s="163" t="s">
        <v>363</v>
      </c>
      <c r="F85" s="163" t="s">
        <v>364</v>
      </c>
      <c r="G85" s="122"/>
      <c r="H85" s="122"/>
      <c r="I85" s="122"/>
      <c r="J85" s="122"/>
      <c r="K85" s="122"/>
      <c r="L85" s="122"/>
      <c r="M85" s="122"/>
      <c r="N85" s="119"/>
      <c r="R85" s="119" t="str">
        <f>A85</f>
        <v>Line</v>
      </c>
    </row>
    <row r="86" spans="1:18">
      <c r="A86" s="131">
        <v>400</v>
      </c>
      <c r="B86" s="150" t="s">
        <v>111</v>
      </c>
      <c r="C86" s="156">
        <f>'1-BaseTRR'!$F$2-1</f>
        <v>2021</v>
      </c>
      <c r="D86" s="198">
        <f>+E86+F86</f>
        <v>985786308.14000034</v>
      </c>
      <c r="E86" s="468">
        <v>344220571.70387566</v>
      </c>
      <c r="F86" s="468">
        <v>641565736.43612468</v>
      </c>
      <c r="G86" s="164" t="s">
        <v>1387</v>
      </c>
      <c r="H86" s="164"/>
      <c r="I86" s="164"/>
      <c r="J86" s="164"/>
      <c r="K86" s="164"/>
      <c r="L86" s="164"/>
      <c r="M86" s="164"/>
      <c r="N86" s="20"/>
      <c r="R86" s="131">
        <f>A86</f>
        <v>400</v>
      </c>
    </row>
    <row r="87" spans="1:18">
      <c r="A87" s="131">
        <f>+A86+1</f>
        <v>401</v>
      </c>
      <c r="B87" s="159" t="s">
        <v>111</v>
      </c>
      <c r="C87" s="160">
        <f>'1-BaseTRR'!$F$2</f>
        <v>2022</v>
      </c>
      <c r="D87" s="467">
        <f>+E87+F87</f>
        <v>1090147067.3300004</v>
      </c>
      <c r="E87" s="469">
        <v>363266842.15335417</v>
      </c>
      <c r="F87" s="469">
        <v>726880225.17664623</v>
      </c>
      <c r="G87" s="164" t="s">
        <v>1388</v>
      </c>
      <c r="H87" s="165"/>
      <c r="I87" s="165"/>
      <c r="J87" s="165"/>
      <c r="K87" s="165"/>
      <c r="L87" s="165"/>
      <c r="M87" s="165"/>
      <c r="N87" s="165"/>
      <c r="R87" s="131">
        <f>A87</f>
        <v>401</v>
      </c>
    </row>
    <row r="88" spans="1:18">
      <c r="A88" s="131">
        <f t="shared" ref="A88" si="30">A87+1</f>
        <v>402</v>
      </c>
      <c r="B88" s="169" t="s">
        <v>365</v>
      </c>
      <c r="C88" s="169"/>
      <c r="D88" s="487">
        <f>AVERAGE(D86:D87)</f>
        <v>1037966687.7350004</v>
      </c>
      <c r="E88" s="487">
        <f t="shared" ref="E88:F88" si="31">AVERAGE(E86:E87)</f>
        <v>353743706.92861491</v>
      </c>
      <c r="F88" s="487">
        <f t="shared" si="31"/>
        <v>684222980.80638552</v>
      </c>
      <c r="G88" s="20" t="s">
        <v>1149</v>
      </c>
      <c r="H88" s="20"/>
      <c r="I88" s="20"/>
      <c r="J88" s="20"/>
      <c r="K88" s="20"/>
      <c r="L88" s="20"/>
      <c r="M88" s="20"/>
      <c r="N88" s="20"/>
      <c r="R88" s="131">
        <f>A88</f>
        <v>402</v>
      </c>
    </row>
    <row r="89" spans="1:18">
      <c r="A89" s="131"/>
      <c r="B89" s="161"/>
      <c r="C89" s="161"/>
      <c r="D89" s="20"/>
      <c r="E89" s="20"/>
      <c r="F89" s="20"/>
      <c r="G89" s="20"/>
      <c r="H89" s="20"/>
      <c r="I89" s="20"/>
      <c r="J89" s="20"/>
      <c r="K89" s="20"/>
      <c r="L89" s="20"/>
      <c r="M89" s="20"/>
      <c r="N89" s="20"/>
      <c r="R89" s="131"/>
    </row>
    <row r="90" spans="1:18">
      <c r="A90" s="131"/>
      <c r="B90" s="161"/>
      <c r="C90" s="161"/>
      <c r="D90" s="20"/>
      <c r="E90" s="20"/>
      <c r="F90" s="20"/>
      <c r="G90" s="20"/>
      <c r="H90" s="20"/>
      <c r="I90" s="20"/>
      <c r="J90" s="20"/>
      <c r="K90" s="20"/>
      <c r="L90" s="20"/>
      <c r="M90" s="20"/>
      <c r="N90" s="20"/>
      <c r="R90" s="131"/>
    </row>
    <row r="91" spans="1:18">
      <c r="B91" s="57" t="s">
        <v>366</v>
      </c>
      <c r="C91" s="57"/>
      <c r="D91" s="144"/>
      <c r="E91" s="144"/>
      <c r="F91" s="144"/>
      <c r="G91" s="144"/>
      <c r="H91" s="144"/>
      <c r="I91" s="54"/>
      <c r="J91" s="144"/>
      <c r="K91" s="144"/>
      <c r="L91" s="144"/>
      <c r="M91" s="144"/>
      <c r="N91" s="54"/>
      <c r="O91" s="54"/>
      <c r="P91" s="54"/>
      <c r="Q91" s="54"/>
    </row>
    <row r="92" spans="1:18">
      <c r="A92" s="27"/>
      <c r="B92" s="150" t="s">
        <v>1873</v>
      </c>
      <c r="C92" s="150"/>
      <c r="D92" s="150"/>
      <c r="E92" s="150"/>
      <c r="F92" s="150"/>
      <c r="G92" s="150"/>
      <c r="H92" s="150"/>
      <c r="I92" s="150"/>
      <c r="J92" s="150"/>
      <c r="K92" s="150"/>
      <c r="L92" s="150"/>
      <c r="M92" s="150"/>
      <c r="N92" s="150"/>
      <c r="O92" s="150"/>
      <c r="P92" s="150"/>
      <c r="Q92" s="150"/>
      <c r="R92" s="131"/>
    </row>
    <row r="93" spans="1:18">
      <c r="A93" s="27"/>
      <c r="B93" s="17"/>
      <c r="C93" s="17"/>
      <c r="D93" s="17"/>
      <c r="E93" s="17"/>
      <c r="F93" s="17"/>
      <c r="G93" s="17"/>
      <c r="H93" s="17"/>
      <c r="I93" s="17"/>
      <c r="J93" s="17"/>
      <c r="K93" s="17"/>
      <c r="L93" s="17"/>
      <c r="M93" s="17"/>
      <c r="R93" s="131"/>
    </row>
    <row r="94" spans="1:18">
      <c r="A94" s="8"/>
      <c r="D94" s="122" t="s">
        <v>98</v>
      </c>
      <c r="E94" s="122" t="s">
        <v>99</v>
      </c>
      <c r="F94" s="122" t="s">
        <v>100</v>
      </c>
      <c r="G94" s="122" t="s">
        <v>101</v>
      </c>
      <c r="H94" s="122" t="s">
        <v>102</v>
      </c>
      <c r="I94" s="122"/>
      <c r="J94" s="122"/>
      <c r="K94" s="122"/>
      <c r="L94" s="122"/>
      <c r="M94" s="122"/>
      <c r="N94" s="122"/>
      <c r="R94" s="131"/>
    </row>
    <row r="95" spans="1:18" ht="29">
      <c r="B95" s="131"/>
      <c r="C95" s="131"/>
      <c r="D95" s="153" t="s">
        <v>124</v>
      </c>
      <c r="E95" s="153" t="s">
        <v>1047</v>
      </c>
      <c r="F95" s="166" t="s">
        <v>367</v>
      </c>
      <c r="G95" s="153" t="s">
        <v>1049</v>
      </c>
      <c r="H95" s="153" t="s">
        <v>1050</v>
      </c>
      <c r="R95" s="131"/>
    </row>
    <row r="96" spans="1:18">
      <c r="B96" s="131"/>
      <c r="C96" s="131"/>
      <c r="D96" s="122"/>
      <c r="F96" s="140"/>
      <c r="G96" s="154"/>
      <c r="H96" s="154"/>
      <c r="R96" s="131"/>
    </row>
    <row r="97" spans="1:18">
      <c r="B97" s="131"/>
      <c r="C97" s="131"/>
      <c r="D97" s="123"/>
      <c r="E97" s="8" t="s">
        <v>368</v>
      </c>
      <c r="F97" s="8" t="s">
        <v>368</v>
      </c>
      <c r="G97" s="8"/>
      <c r="H97" s="167"/>
      <c r="R97" s="131"/>
    </row>
    <row r="98" spans="1:18">
      <c r="B98" s="131"/>
      <c r="C98" s="131"/>
      <c r="D98" s="123" t="s">
        <v>369</v>
      </c>
      <c r="E98" s="8" t="s">
        <v>187</v>
      </c>
      <c r="F98" s="8" t="s">
        <v>187</v>
      </c>
      <c r="G98" s="167" t="s">
        <v>363</v>
      </c>
      <c r="H98" s="167" t="s">
        <v>364</v>
      </c>
      <c r="R98" s="131"/>
    </row>
    <row r="99" spans="1:18">
      <c r="A99" s="119" t="s">
        <v>122</v>
      </c>
      <c r="B99" s="119" t="s">
        <v>81</v>
      </c>
      <c r="C99" s="119" t="s">
        <v>109</v>
      </c>
      <c r="D99" s="168" t="s">
        <v>370</v>
      </c>
      <c r="E99" s="168" t="s">
        <v>371</v>
      </c>
      <c r="F99" s="163" t="s">
        <v>372</v>
      </c>
      <c r="G99" s="163" t="s">
        <v>372</v>
      </c>
      <c r="H99" s="163" t="s">
        <v>372</v>
      </c>
      <c r="I99" s="122"/>
      <c r="J99" s="122"/>
      <c r="K99" s="122"/>
      <c r="L99" s="122"/>
      <c r="M99" s="122"/>
      <c r="N99" s="119"/>
      <c r="R99" s="119" t="str">
        <f>A99</f>
        <v>Line</v>
      </c>
    </row>
    <row r="100" spans="1:18">
      <c r="A100" s="131">
        <v>500</v>
      </c>
      <c r="B100" s="150" t="s">
        <v>111</v>
      </c>
      <c r="C100" s="156">
        <f>'1-BaseTRR'!$F$2-1</f>
        <v>2021</v>
      </c>
      <c r="D100" s="468">
        <v>3180271854.7399998</v>
      </c>
      <c r="E100" s="31">
        <f>'24-Allocators'!$C$24</f>
        <v>9.5754660785216397E-2</v>
      </c>
      <c r="F100" s="456">
        <f>+E100*D100</f>
        <v>304525852.65539968</v>
      </c>
      <c r="G100" s="471">
        <f>+F100*'24-Allocators'!$C$43</f>
        <v>104359215.50854592</v>
      </c>
      <c r="H100" s="471">
        <f>+F100*'24-Allocators'!$C$44</f>
        <v>200166637.14685374</v>
      </c>
      <c r="I100" s="164" t="s">
        <v>1389</v>
      </c>
      <c r="J100" s="164"/>
      <c r="K100" s="164"/>
      <c r="L100" s="164"/>
      <c r="M100" s="164"/>
      <c r="N100" s="20"/>
      <c r="R100" s="131">
        <f t="shared" ref="R100:R102" si="32">A100</f>
        <v>500</v>
      </c>
    </row>
    <row r="101" spans="1:18">
      <c r="A101" s="131">
        <f>+A100+1</f>
        <v>501</v>
      </c>
      <c r="B101" s="159" t="s">
        <v>111</v>
      </c>
      <c r="C101" s="160">
        <f>'1-BaseTRR'!$F$2</f>
        <v>2022</v>
      </c>
      <c r="D101" s="472">
        <v>3604255746.5999975</v>
      </c>
      <c r="E101" s="41">
        <f>'24-Allocators'!$C$24</f>
        <v>9.5754660785216397E-2</v>
      </c>
      <c r="F101" s="467">
        <f>+E101*D101</f>
        <v>345124286.39884961</v>
      </c>
      <c r="G101" s="467">
        <f>+F101*'24-Allocators'!$C$43</f>
        <v>118272059.55576868</v>
      </c>
      <c r="H101" s="467">
        <f>+F101*'24-Allocators'!$C$44</f>
        <v>226852226.84308091</v>
      </c>
      <c r="I101" s="164" t="s">
        <v>1390</v>
      </c>
      <c r="J101" s="165"/>
      <c r="K101" s="165"/>
      <c r="L101" s="165"/>
      <c r="M101" s="165"/>
      <c r="N101" s="165"/>
      <c r="R101" s="131">
        <f t="shared" si="32"/>
        <v>501</v>
      </c>
    </row>
    <row r="102" spans="1:18">
      <c r="A102" s="131">
        <f t="shared" ref="A102" si="33">A101+1</f>
        <v>502</v>
      </c>
      <c r="B102" s="169" t="s">
        <v>365</v>
      </c>
      <c r="C102" s="169"/>
      <c r="D102" s="487">
        <f>AVERAGE(D100:D101)</f>
        <v>3392263800.6699986</v>
      </c>
      <c r="E102" s="12"/>
      <c r="F102" s="487">
        <f>AVERAGE(F100:F101)</f>
        <v>324825069.52712464</v>
      </c>
      <c r="G102" s="487">
        <f t="shared" ref="G102:H102" si="34">AVERAGE(G100:G101)</f>
        <v>111315637.5321573</v>
      </c>
      <c r="H102" s="487">
        <f t="shared" si="34"/>
        <v>213509431.99496734</v>
      </c>
      <c r="I102" s="20" t="s">
        <v>1148</v>
      </c>
      <c r="J102" s="20"/>
      <c r="K102" s="20"/>
      <c r="L102" s="20"/>
      <c r="M102" s="20"/>
      <c r="N102" s="20"/>
      <c r="R102" s="131">
        <f t="shared" si="32"/>
        <v>502</v>
      </c>
    </row>
    <row r="103" spans="1:18">
      <c r="A103" s="131"/>
      <c r="B103" s="150"/>
      <c r="C103" s="150"/>
      <c r="D103" s="20"/>
      <c r="E103" s="20"/>
      <c r="F103" s="20"/>
      <c r="G103" s="20"/>
      <c r="H103" s="20"/>
      <c r="I103" s="20"/>
      <c r="J103" s="20"/>
      <c r="K103" s="20"/>
      <c r="L103" s="20"/>
      <c r="M103" s="20"/>
      <c r="N103" s="20"/>
      <c r="R103" s="131"/>
    </row>
    <row r="104" spans="1:18">
      <c r="A104" s="131"/>
      <c r="B104" s="150"/>
      <c r="C104" s="150"/>
      <c r="D104" s="20"/>
      <c r="E104" s="20"/>
      <c r="F104" s="20"/>
      <c r="G104" s="20"/>
      <c r="H104" s="20"/>
      <c r="I104" s="20"/>
      <c r="J104" s="20"/>
      <c r="K104" s="20"/>
      <c r="L104" s="20"/>
      <c r="M104" s="20"/>
      <c r="N104" s="20"/>
      <c r="R104" s="131"/>
    </row>
    <row r="105" spans="1:18">
      <c r="B105" s="57" t="s">
        <v>373</v>
      </c>
      <c r="C105" s="57"/>
      <c r="D105" s="144"/>
      <c r="E105" s="144"/>
      <c r="F105" s="144"/>
      <c r="G105" s="144"/>
      <c r="H105" s="144"/>
      <c r="I105" s="54"/>
      <c r="J105" s="59"/>
      <c r="K105" s="59"/>
      <c r="L105" s="59"/>
      <c r="M105" s="59"/>
      <c r="N105" s="59"/>
      <c r="O105" s="54"/>
      <c r="P105" s="54"/>
      <c r="Q105" s="54"/>
    </row>
    <row r="106" spans="1:18">
      <c r="A106" s="27"/>
      <c r="B106" s="150" t="s">
        <v>374</v>
      </c>
      <c r="C106" s="150"/>
      <c r="D106" s="150"/>
      <c r="E106" s="150"/>
      <c r="F106" s="150"/>
      <c r="G106" s="150"/>
      <c r="H106" s="150"/>
      <c r="I106" s="150"/>
      <c r="J106" s="150"/>
      <c r="K106" s="150"/>
      <c r="L106" s="150"/>
      <c r="M106" s="150"/>
      <c r="N106" s="150"/>
      <c r="O106" s="150"/>
      <c r="P106" s="150"/>
      <c r="Q106" s="150"/>
      <c r="R106" s="131"/>
    </row>
    <row r="107" spans="1:18">
      <c r="A107" s="27"/>
      <c r="B107" s="150"/>
      <c r="C107" s="150"/>
      <c r="D107" s="150"/>
      <c r="E107" s="150"/>
      <c r="F107" s="150"/>
      <c r="G107" s="150"/>
      <c r="H107" s="150"/>
      <c r="I107" s="150"/>
      <c r="J107" s="150"/>
      <c r="K107" s="150"/>
      <c r="L107" s="150"/>
      <c r="M107" s="150"/>
      <c r="N107" s="150"/>
      <c r="O107" s="150"/>
      <c r="P107" s="150"/>
      <c r="Q107" s="150"/>
      <c r="R107" s="131"/>
    </row>
    <row r="108" spans="1:18">
      <c r="A108" s="8"/>
      <c r="D108" s="122" t="s">
        <v>98</v>
      </c>
      <c r="E108" s="122" t="s">
        <v>99</v>
      </c>
      <c r="F108" s="122" t="s">
        <v>100</v>
      </c>
      <c r="G108" s="122" t="s">
        <v>101</v>
      </c>
      <c r="H108" s="122" t="s">
        <v>102</v>
      </c>
      <c r="I108" s="20"/>
      <c r="J108" s="20"/>
      <c r="K108" s="20"/>
      <c r="L108" s="20"/>
      <c r="M108" s="20"/>
      <c r="N108" s="20"/>
      <c r="R108" s="131"/>
    </row>
    <row r="109" spans="1:18" ht="29">
      <c r="B109" s="131"/>
      <c r="C109" s="131"/>
      <c r="D109" s="153" t="s">
        <v>166</v>
      </c>
      <c r="E109" s="153" t="s">
        <v>1048</v>
      </c>
      <c r="F109" s="166" t="s">
        <v>367</v>
      </c>
      <c r="G109" s="153" t="s">
        <v>1049</v>
      </c>
      <c r="H109" s="153" t="s">
        <v>1050</v>
      </c>
      <c r="I109" s="20"/>
      <c r="J109" s="20"/>
      <c r="K109" s="20"/>
      <c r="L109" s="20"/>
      <c r="M109" s="20"/>
      <c r="N109" s="20"/>
      <c r="R109" s="131"/>
    </row>
    <row r="110" spans="1:18">
      <c r="B110" s="131"/>
      <c r="C110" s="131"/>
      <c r="D110" s="122"/>
      <c r="F110" s="140"/>
      <c r="G110" s="154"/>
      <c r="H110" s="154"/>
      <c r="I110" s="20"/>
      <c r="J110" s="20"/>
      <c r="K110" s="20"/>
      <c r="L110" s="20"/>
      <c r="M110" s="20"/>
      <c r="N110" s="20"/>
      <c r="R110" s="131"/>
    </row>
    <row r="111" spans="1:18">
      <c r="B111" s="131"/>
      <c r="C111" s="131"/>
      <c r="D111" s="122"/>
      <c r="E111" s="8" t="s">
        <v>368</v>
      </c>
      <c r="F111" s="8" t="s">
        <v>368</v>
      </c>
      <c r="G111" s="8"/>
      <c r="H111" s="167"/>
      <c r="I111" s="20"/>
      <c r="J111" s="20"/>
      <c r="K111" s="20"/>
      <c r="L111" s="20"/>
      <c r="M111" s="20"/>
      <c r="N111" s="20"/>
      <c r="R111" s="131"/>
    </row>
    <row r="112" spans="1:18">
      <c r="B112" s="131"/>
      <c r="C112" s="131"/>
      <c r="D112" s="123" t="s">
        <v>375</v>
      </c>
      <c r="E112" s="8" t="s">
        <v>187</v>
      </c>
      <c r="F112" s="8" t="s">
        <v>187</v>
      </c>
      <c r="G112" s="167" t="s">
        <v>363</v>
      </c>
      <c r="H112" s="167" t="s">
        <v>364</v>
      </c>
      <c r="I112" s="20"/>
      <c r="J112" s="20"/>
      <c r="K112" s="20"/>
      <c r="L112" s="20"/>
      <c r="M112" s="20"/>
      <c r="N112" s="20"/>
      <c r="R112" s="131"/>
    </row>
    <row r="113" spans="1:18">
      <c r="A113" s="119" t="s">
        <v>122</v>
      </c>
      <c r="B113" s="119" t="s">
        <v>81</v>
      </c>
      <c r="C113" s="119" t="s">
        <v>109</v>
      </c>
      <c r="D113" s="168" t="s">
        <v>370</v>
      </c>
      <c r="E113" s="168" t="s">
        <v>371</v>
      </c>
      <c r="F113" s="163" t="s">
        <v>372</v>
      </c>
      <c r="G113" s="163" t="s">
        <v>372</v>
      </c>
      <c r="H113" s="163" t="s">
        <v>372</v>
      </c>
      <c r="I113" s="20"/>
      <c r="J113" s="20"/>
      <c r="K113" s="20"/>
      <c r="L113" s="20"/>
      <c r="M113" s="20"/>
      <c r="N113" s="20"/>
      <c r="R113" s="119" t="str">
        <f>A113</f>
        <v>Line</v>
      </c>
    </row>
    <row r="114" spans="1:18">
      <c r="A114" s="131">
        <v>600</v>
      </c>
      <c r="B114" s="150" t="s">
        <v>111</v>
      </c>
      <c r="C114" s="156">
        <f>'1-BaseTRR'!$F$2-1</f>
        <v>2021</v>
      </c>
      <c r="D114" s="468">
        <v>228511816.55000007</v>
      </c>
      <c r="E114" s="31">
        <f>'24-Allocators'!$C$23</f>
        <v>0.13539553206179952</v>
      </c>
      <c r="F114" s="198">
        <f>+D114*E114</f>
        <v>30939478.984195586</v>
      </c>
      <c r="G114" s="471">
        <f>+F114*'24-Allocators'!$C$43</f>
        <v>10602777.159571785</v>
      </c>
      <c r="H114" s="471">
        <f>+F114*'24-Allocators'!$C$44</f>
        <v>20336701.824623801</v>
      </c>
      <c r="I114" s="164" t="s">
        <v>1391</v>
      </c>
      <c r="J114" s="20"/>
      <c r="K114" s="20"/>
      <c r="L114" s="20"/>
      <c r="M114" s="20"/>
      <c r="N114" s="20"/>
      <c r="R114" s="131">
        <f t="shared" ref="R114:R116" si="35">A114</f>
        <v>600</v>
      </c>
    </row>
    <row r="115" spans="1:18">
      <c r="A115" s="131">
        <f>+A114+1</f>
        <v>601</v>
      </c>
      <c r="B115" s="159" t="s">
        <v>111</v>
      </c>
      <c r="C115" s="160">
        <f>'1-BaseTRR'!$F$2</f>
        <v>2022</v>
      </c>
      <c r="D115" s="472">
        <v>231726351.07000005</v>
      </c>
      <c r="E115" s="41">
        <f>'24-Allocators'!$C$23</f>
        <v>0.13539553206179952</v>
      </c>
      <c r="F115" s="467">
        <f>+D115*E115</f>
        <v>31374712.595862005</v>
      </c>
      <c r="G115" s="467">
        <f>+F115*'24-Allocators'!$C$43</f>
        <v>10751929.153993279</v>
      </c>
      <c r="H115" s="467">
        <f>+F115*'24-Allocators'!$C$44</f>
        <v>20622783.441868726</v>
      </c>
      <c r="I115" s="164" t="s">
        <v>1392</v>
      </c>
      <c r="J115" s="20"/>
      <c r="K115" s="20"/>
      <c r="L115" s="20"/>
      <c r="M115" s="20"/>
      <c r="N115" s="20"/>
      <c r="R115" s="131">
        <f t="shared" si="35"/>
        <v>601</v>
      </c>
    </row>
    <row r="116" spans="1:18">
      <c r="A116" s="131">
        <f t="shared" ref="A116" si="36">A115+1</f>
        <v>602</v>
      </c>
      <c r="B116" s="169" t="s">
        <v>365</v>
      </c>
      <c r="C116" s="169"/>
      <c r="D116" s="487">
        <f>AVERAGE(D114:D115)</f>
        <v>230119083.81000006</v>
      </c>
      <c r="E116" s="12"/>
      <c r="F116" s="487">
        <f>AVERAGE(F114:F115)</f>
        <v>31157095.790028796</v>
      </c>
      <c r="G116" s="487">
        <f t="shared" ref="G116:H116" si="37">AVERAGE(G114:G115)</f>
        <v>10677353.156782532</v>
      </c>
      <c r="H116" s="487">
        <f t="shared" si="37"/>
        <v>20479742.633246265</v>
      </c>
      <c r="I116" s="20" t="s">
        <v>1147</v>
      </c>
      <c r="J116" s="20"/>
      <c r="K116" s="20"/>
      <c r="L116" s="20"/>
      <c r="M116" s="20"/>
      <c r="N116" s="20"/>
      <c r="R116" s="131">
        <f t="shared" si="35"/>
        <v>602</v>
      </c>
    </row>
    <row r="117" spans="1:18">
      <c r="A117" s="131"/>
      <c r="B117" s="150"/>
      <c r="C117" s="150"/>
      <c r="D117" s="20"/>
      <c r="E117" s="20"/>
      <c r="F117" s="20"/>
      <c r="G117" s="20"/>
      <c r="H117" s="20"/>
      <c r="I117" s="20"/>
      <c r="J117" s="20"/>
      <c r="K117" s="20"/>
      <c r="L117" s="20"/>
      <c r="M117" s="20"/>
      <c r="N117" s="20"/>
      <c r="R117" s="131"/>
    </row>
    <row r="118" spans="1:18">
      <c r="A118" s="131"/>
      <c r="B118" s="150"/>
      <c r="C118" s="150"/>
      <c r="D118" s="20"/>
      <c r="E118" s="20"/>
      <c r="F118" s="20"/>
      <c r="G118" s="20"/>
      <c r="H118" s="20"/>
      <c r="I118" s="20"/>
      <c r="J118" s="20"/>
      <c r="K118" s="20"/>
      <c r="L118" s="20"/>
      <c r="M118" s="20"/>
      <c r="N118" s="20"/>
      <c r="R118" s="131"/>
    </row>
    <row r="119" spans="1:18">
      <c r="B119" s="57" t="s">
        <v>376</v>
      </c>
      <c r="C119" s="57"/>
      <c r="D119" s="144"/>
      <c r="E119" s="144"/>
      <c r="F119" s="144"/>
      <c r="G119" s="144"/>
      <c r="H119" s="144"/>
      <c r="I119" s="54"/>
      <c r="J119" s="54"/>
      <c r="K119" s="144"/>
      <c r="L119" s="144"/>
      <c r="M119" s="144"/>
      <c r="N119" s="54"/>
      <c r="O119" s="54"/>
      <c r="P119" s="54"/>
      <c r="Q119" s="54"/>
    </row>
    <row r="120" spans="1:18">
      <c r="A120" s="27"/>
      <c r="B120" s="150" t="s">
        <v>377</v>
      </c>
      <c r="C120" s="150"/>
      <c r="D120" s="150"/>
      <c r="E120" s="150"/>
      <c r="F120" s="150"/>
      <c r="G120" s="150"/>
      <c r="H120" s="150"/>
      <c r="I120" s="150"/>
      <c r="J120" s="150"/>
      <c r="K120" s="150"/>
      <c r="L120" s="150"/>
      <c r="M120" s="150"/>
      <c r="N120" s="150"/>
      <c r="O120" s="150"/>
      <c r="P120" s="150"/>
      <c r="Q120" s="150"/>
      <c r="R120" s="131"/>
    </row>
    <row r="121" spans="1:18">
      <c r="A121" s="27"/>
      <c r="C121" s="17"/>
      <c r="D121" s="17"/>
      <c r="E121" s="17"/>
      <c r="F121" s="17"/>
      <c r="G121" s="17"/>
      <c r="H121" s="17"/>
      <c r="I121" s="17"/>
      <c r="J121" s="17"/>
      <c r="K121" s="17"/>
      <c r="L121" s="17"/>
      <c r="M121" s="17"/>
      <c r="R121" s="131"/>
    </row>
    <row r="122" spans="1:18">
      <c r="A122" s="8"/>
      <c r="D122" s="122" t="s">
        <v>98</v>
      </c>
      <c r="E122" s="122" t="s">
        <v>99</v>
      </c>
      <c r="F122" s="122" t="s">
        <v>100</v>
      </c>
      <c r="G122" s="122"/>
      <c r="H122" s="122"/>
      <c r="I122" s="122"/>
      <c r="J122" s="122"/>
      <c r="K122" s="122"/>
      <c r="L122" s="122"/>
      <c r="M122" s="122"/>
      <c r="N122" s="122"/>
      <c r="R122" s="131"/>
    </row>
    <row r="123" spans="1:18" ht="29">
      <c r="B123" s="131"/>
      <c r="C123" s="131"/>
      <c r="D123" s="153" t="s">
        <v>378</v>
      </c>
      <c r="E123" s="153" t="s">
        <v>378</v>
      </c>
      <c r="F123" s="153" t="s">
        <v>378</v>
      </c>
      <c r="R123" s="131"/>
    </row>
    <row r="124" spans="1:18">
      <c r="B124" s="131"/>
      <c r="C124" s="131"/>
      <c r="D124" s="123"/>
      <c r="E124" s="122"/>
      <c r="R124" s="131"/>
    </row>
    <row r="125" spans="1:18">
      <c r="B125" s="131"/>
      <c r="C125" s="131"/>
      <c r="D125" s="8" t="s">
        <v>379</v>
      </c>
      <c r="E125" s="167" t="s">
        <v>380</v>
      </c>
      <c r="F125" s="167" t="s">
        <v>381</v>
      </c>
      <c r="R125" s="131"/>
    </row>
    <row r="126" spans="1:18">
      <c r="A126" s="119" t="s">
        <v>122</v>
      </c>
      <c r="B126" s="119" t="s">
        <v>81</v>
      </c>
      <c r="C126" s="119" t="s">
        <v>109</v>
      </c>
      <c r="D126" s="13" t="s">
        <v>382</v>
      </c>
      <c r="E126" s="163" t="s">
        <v>383</v>
      </c>
      <c r="F126" s="163" t="s">
        <v>383</v>
      </c>
      <c r="G126" s="122" t="s">
        <v>54</v>
      </c>
      <c r="H126" s="122"/>
      <c r="I126" s="122"/>
      <c r="J126" s="122"/>
      <c r="K126" s="122"/>
      <c r="L126" s="122"/>
      <c r="M126" s="122"/>
      <c r="N126" s="119"/>
      <c r="R126" s="119" t="str">
        <f>A126</f>
        <v>Line</v>
      </c>
    </row>
    <row r="127" spans="1:18">
      <c r="A127" s="131">
        <v>700</v>
      </c>
      <c r="B127" s="150" t="s">
        <v>111</v>
      </c>
      <c r="C127" s="156">
        <f>'1-BaseTRR'!$F$2-1</f>
        <v>2021</v>
      </c>
      <c r="D127" s="198">
        <f t="shared" ref="D127:F128" si="38">+D86+F100+F114</f>
        <v>1321251639.7795956</v>
      </c>
      <c r="E127" s="198">
        <f t="shared" si="38"/>
        <v>459182564.37199336</v>
      </c>
      <c r="F127" s="198">
        <f t="shared" si="38"/>
        <v>862069075.40760231</v>
      </c>
      <c r="G127" s="164" t="s">
        <v>1053</v>
      </c>
      <c r="H127" s="164"/>
      <c r="I127" s="164"/>
      <c r="J127" s="164"/>
      <c r="K127" s="164"/>
      <c r="L127" s="164"/>
      <c r="M127" s="164"/>
      <c r="N127" s="20"/>
      <c r="R127" s="131">
        <f t="shared" ref="R127:R129" si="39">A127</f>
        <v>700</v>
      </c>
    </row>
    <row r="128" spans="1:18">
      <c r="A128" s="131">
        <f>+A127+1</f>
        <v>701</v>
      </c>
      <c r="B128" s="159" t="s">
        <v>111</v>
      </c>
      <c r="C128" s="160">
        <f>'1-BaseTRR'!$F$2</f>
        <v>2022</v>
      </c>
      <c r="D128" s="467">
        <f t="shared" si="38"/>
        <v>1466646066.3247118</v>
      </c>
      <c r="E128" s="467">
        <f t="shared" si="38"/>
        <v>492290830.86311615</v>
      </c>
      <c r="F128" s="467">
        <f t="shared" si="38"/>
        <v>974355235.46159589</v>
      </c>
      <c r="G128" s="164" t="s">
        <v>1054</v>
      </c>
      <c r="H128" s="165"/>
      <c r="I128" s="165"/>
      <c r="J128" s="165"/>
      <c r="K128" s="165"/>
      <c r="L128" s="165"/>
      <c r="M128" s="165"/>
      <c r="N128" s="165"/>
      <c r="R128" s="131">
        <f t="shared" si="39"/>
        <v>701</v>
      </c>
    </row>
    <row r="129" spans="1:18">
      <c r="A129" s="131">
        <f t="shared" ref="A129" si="40">A128+1</f>
        <v>702</v>
      </c>
      <c r="B129" s="169" t="s">
        <v>365</v>
      </c>
      <c r="C129" s="169"/>
      <c r="D129" s="487">
        <f>AVERAGE(D127:D128)</f>
        <v>1393948853.0521536</v>
      </c>
      <c r="E129" s="487">
        <f t="shared" ref="E129:F129" si="41">AVERAGE(E127:E128)</f>
        <v>475736697.61755478</v>
      </c>
      <c r="F129" s="487">
        <f t="shared" si="41"/>
        <v>918212155.43459916</v>
      </c>
      <c r="G129" s="20" t="s">
        <v>1055</v>
      </c>
      <c r="H129" s="20"/>
      <c r="I129" s="20"/>
      <c r="J129" s="20"/>
      <c r="K129" s="20"/>
      <c r="L129" s="20"/>
      <c r="M129" s="20"/>
      <c r="N129" s="20"/>
      <c r="R129" s="131">
        <f t="shared" si="39"/>
        <v>702</v>
      </c>
    </row>
    <row r="130" spans="1:18">
      <c r="A130" s="131"/>
      <c r="B130" s="161"/>
      <c r="C130" s="161"/>
      <c r="D130" s="20"/>
      <c r="E130" s="20"/>
      <c r="F130" s="20"/>
      <c r="G130" s="20"/>
      <c r="H130" s="20"/>
      <c r="I130" s="20"/>
      <c r="J130" s="20"/>
      <c r="K130" s="20"/>
      <c r="L130" s="20"/>
      <c r="M130" s="20"/>
      <c r="N130" s="20"/>
    </row>
    <row r="131" spans="1:18">
      <c r="A131" s="131"/>
      <c r="C131" s="161"/>
      <c r="D131" s="20"/>
      <c r="E131" s="20"/>
      <c r="F131" s="20"/>
      <c r="G131" s="20"/>
      <c r="H131" s="20"/>
      <c r="I131" s="20"/>
      <c r="J131" s="20"/>
      <c r="K131" s="20"/>
      <c r="L131" s="20"/>
      <c r="M131" s="20"/>
      <c r="N131" s="20"/>
    </row>
    <row r="132" spans="1:18">
      <c r="B132" s="16" t="s">
        <v>125</v>
      </c>
      <c r="C132" s="169"/>
      <c r="D132" s="20"/>
      <c r="E132" s="20"/>
      <c r="F132" s="20"/>
      <c r="G132" s="20"/>
      <c r="H132" s="20"/>
      <c r="I132" s="20"/>
      <c r="J132" s="20"/>
      <c r="K132" s="20"/>
      <c r="L132" s="20"/>
      <c r="M132" s="20"/>
      <c r="N132" s="20"/>
    </row>
    <row r="133" spans="1:18" ht="15" customHeight="1">
      <c r="B133" s="414" t="s">
        <v>1867</v>
      </c>
      <c r="C133" s="414"/>
      <c r="D133" s="414"/>
      <c r="E133" s="414"/>
      <c r="F133" s="414"/>
      <c r="G133" s="414"/>
      <c r="H133" s="414"/>
      <c r="I133" s="414"/>
      <c r="J133" s="414"/>
      <c r="K133" s="414"/>
      <c r="L133" s="414"/>
      <c r="M133" s="414"/>
      <c r="N133" s="44"/>
      <c r="O133" s="44"/>
      <c r="P133" s="44"/>
      <c r="Q133" s="6"/>
    </row>
    <row r="134" spans="1:18">
      <c r="A134" s="131"/>
      <c r="B134" s="414" t="s">
        <v>1866</v>
      </c>
      <c r="C134" s="414"/>
      <c r="D134" s="414"/>
      <c r="E134" s="414"/>
      <c r="F134" s="414"/>
      <c r="G134" s="414"/>
      <c r="H134" s="414"/>
      <c r="I134" s="414"/>
      <c r="J134" s="414"/>
      <c r="K134" s="414"/>
      <c r="L134" s="414"/>
      <c r="M134" s="414"/>
      <c r="N134" s="122"/>
      <c r="O134" s="122"/>
    </row>
    <row r="135" spans="1:18">
      <c r="B135" s="414" t="s">
        <v>1865</v>
      </c>
      <c r="C135" s="414"/>
      <c r="D135" s="414"/>
      <c r="E135" s="414"/>
      <c r="F135" s="414"/>
      <c r="G135" s="414"/>
      <c r="H135" s="414"/>
      <c r="I135" s="414"/>
      <c r="J135" s="414"/>
      <c r="K135" s="414"/>
      <c r="L135" s="414"/>
      <c r="M135" s="414"/>
    </row>
    <row r="136" spans="1:18">
      <c r="B136" s="414"/>
      <c r="C136" s="414"/>
      <c r="D136" s="414"/>
      <c r="E136" s="414"/>
      <c r="F136" s="414"/>
      <c r="G136" s="414"/>
      <c r="H136" s="414"/>
      <c r="I136" s="414"/>
      <c r="J136" s="414"/>
      <c r="K136" s="414"/>
      <c r="L136" s="414"/>
      <c r="M136" s="414"/>
    </row>
    <row r="137" spans="1:18">
      <c r="B137" s="131"/>
      <c r="C137" s="131"/>
      <c r="D137" s="20"/>
      <c r="E137" s="122"/>
      <c r="H137" s="17"/>
      <c r="I137" s="17"/>
      <c r="L137" s="17"/>
      <c r="M137" s="17"/>
    </row>
  </sheetData>
  <printOptions horizontalCentered="1"/>
  <pageMargins left="1" right="1" top="1" bottom="1" header="0.5" footer="0.5"/>
  <pageSetup scale="41" fitToHeight="0" orientation="landscape" r:id="rId1"/>
  <headerFooter>
    <oddHeader xml:space="preserve">&amp;C&amp;"-,Bold"Pacific Gas and Electric Company
Formula Rate Model
Schedule &amp;A&amp;R&amp;8Docket No. ER19-13-000, et al- Annual Update RY2024
&amp;F
</oddHeader>
  </headerFooter>
  <rowBreaks count="2" manualBreakCount="2">
    <brk id="50" max="17" man="1"/>
    <brk id="102" max="17" man="1"/>
  </rowBreaks>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22"/>
  <sheetViews>
    <sheetView tabSelected="1" view="pageBreakPreview" zoomScaleNormal="90" zoomScaleSheetLayoutView="100" zoomScalePageLayoutView="85" workbookViewId="0">
      <selection activeCell="C59" activeCellId="1" sqref="L63 C59"/>
    </sheetView>
  </sheetViews>
  <sheetFormatPr defaultColWidth="9.1796875" defaultRowHeight="14.5"/>
  <cols>
    <col min="1" max="1" width="6.7265625" style="170" bestFit="1" customWidth="1"/>
    <col min="2" max="2" width="66.26953125" style="69" customWidth="1"/>
    <col min="3" max="3" width="7.81640625" style="69" bestFit="1" customWidth="1"/>
    <col min="4" max="4" width="12.1796875" style="69" bestFit="1" customWidth="1"/>
    <col min="5" max="5" width="12.453125" style="69" bestFit="1" customWidth="1"/>
    <col min="6" max="7" width="12.54296875" style="69" bestFit="1" customWidth="1"/>
    <col min="8" max="8" width="12" style="170" bestFit="1" customWidth="1"/>
    <col min="9" max="9" width="12.54296875" style="170" bestFit="1" customWidth="1"/>
    <col min="10" max="10" width="11.81640625" style="69" bestFit="1" customWidth="1"/>
    <col min="11" max="11" width="14.81640625" style="69" bestFit="1" customWidth="1"/>
    <col min="12" max="12" width="25" style="69" bestFit="1" customWidth="1"/>
    <col min="13" max="13" width="12.1796875" style="69" bestFit="1" customWidth="1"/>
    <col min="14" max="14" width="15.7265625" style="69" bestFit="1" customWidth="1"/>
    <col min="15" max="15" width="15" style="69" bestFit="1" customWidth="1"/>
    <col min="16" max="16" width="14.81640625" style="69" bestFit="1" customWidth="1"/>
    <col min="17" max="17" width="4.7265625" style="69" bestFit="1" customWidth="1"/>
    <col min="18" max="16384" width="9.1796875" style="69"/>
  </cols>
  <sheetData>
    <row r="1" spans="1:17">
      <c r="B1" s="90" t="s">
        <v>384</v>
      </c>
      <c r="G1" s="143"/>
      <c r="H1" s="8"/>
      <c r="I1" s="8"/>
      <c r="P1" s="15" t="str">
        <f>CONCATENATE("Prior Year: ",'1-BaseTRR'!$F$2)</f>
        <v>Prior Year: 2022</v>
      </c>
    </row>
    <row r="2" spans="1:17">
      <c r="B2" s="117" t="s">
        <v>193</v>
      </c>
      <c r="C2" s="91"/>
      <c r="D2" s="91"/>
      <c r="H2" s="8"/>
      <c r="I2" s="8"/>
      <c r="J2" s="15"/>
    </row>
    <row r="3" spans="1:17">
      <c r="B3" s="69" t="s">
        <v>1453</v>
      </c>
      <c r="H3" s="69"/>
      <c r="I3" s="69"/>
    </row>
    <row r="5" spans="1:17">
      <c r="B5" s="171" t="s">
        <v>1407</v>
      </c>
      <c r="C5" s="171"/>
      <c r="D5" s="171"/>
      <c r="E5" s="172"/>
      <c r="F5" s="172"/>
      <c r="G5" s="172"/>
      <c r="H5" s="172"/>
      <c r="I5" s="172"/>
      <c r="J5" s="173"/>
      <c r="K5" s="172"/>
      <c r="L5" s="172"/>
      <c r="M5" s="172"/>
      <c r="N5" s="172"/>
      <c r="O5" s="172"/>
      <c r="P5" s="172"/>
      <c r="Q5" s="170"/>
    </row>
    <row r="6" spans="1:17">
      <c r="A6" s="30"/>
      <c r="E6" s="416"/>
      <c r="F6" s="416"/>
      <c r="G6" s="416"/>
      <c r="H6"/>
      <c r="I6"/>
      <c r="J6" s="174"/>
      <c r="K6"/>
      <c r="L6"/>
      <c r="M6"/>
      <c r="N6"/>
      <c r="O6"/>
      <c r="P6"/>
      <c r="Q6" s="30"/>
    </row>
    <row r="7" spans="1:17">
      <c r="A7" s="30"/>
      <c r="C7" s="174" t="s">
        <v>98</v>
      </c>
      <c r="D7" s="174" t="s">
        <v>99</v>
      </c>
      <c r="E7" s="174" t="s">
        <v>100</v>
      </c>
      <c r="F7" s="174" t="s">
        <v>101</v>
      </c>
      <c r="G7" s="174" t="s">
        <v>102</v>
      </c>
      <c r="H7" s="174" t="s">
        <v>103</v>
      </c>
      <c r="I7" s="174" t="s">
        <v>104</v>
      </c>
      <c r="J7" s="174" t="s">
        <v>105</v>
      </c>
      <c r="K7" s="174" t="s">
        <v>106</v>
      </c>
      <c r="L7" s="174" t="s">
        <v>266</v>
      </c>
      <c r="M7" s="174" t="s">
        <v>267</v>
      </c>
      <c r="N7" s="174" t="s">
        <v>268</v>
      </c>
      <c r="O7" s="174" t="s">
        <v>269</v>
      </c>
      <c r="P7" s="174" t="s">
        <v>270</v>
      </c>
      <c r="Q7" s="30"/>
    </row>
    <row r="8" spans="1:17">
      <c r="A8" s="30"/>
      <c r="C8" s="416"/>
      <c r="D8" s="416"/>
      <c r="E8" s="416"/>
      <c r="F8" s="416"/>
      <c r="G8" s="174"/>
      <c r="J8" s="170"/>
      <c r="K8" s="170" t="s">
        <v>1712</v>
      </c>
      <c r="L8" s="170" t="s">
        <v>1713</v>
      </c>
      <c r="M8" s="170" t="s">
        <v>1714</v>
      </c>
      <c r="N8" s="170" t="s">
        <v>1718</v>
      </c>
      <c r="O8" s="170"/>
      <c r="P8" s="170"/>
      <c r="Q8" s="30"/>
    </row>
    <row r="9" spans="1:17">
      <c r="A9" s="30"/>
      <c r="E9" s="416"/>
      <c r="F9" s="416"/>
      <c r="G9" s="416"/>
      <c r="H9"/>
      <c r="I9"/>
      <c r="J9" s="629"/>
      <c r="K9"/>
      <c r="L9"/>
      <c r="M9"/>
      <c r="N9"/>
      <c r="O9"/>
      <c r="P9"/>
      <c r="Q9" s="30"/>
    </row>
    <row r="10" spans="1:17">
      <c r="A10" s="30"/>
      <c r="D10" s="131" t="s">
        <v>1498</v>
      </c>
      <c r="E10" s="131" t="s">
        <v>1408</v>
      </c>
      <c r="F10" s="131" t="s">
        <v>205</v>
      </c>
      <c r="G10" s="131" t="s">
        <v>1154</v>
      </c>
      <c r="H10"/>
      <c r="I10" s="131" t="s">
        <v>132</v>
      </c>
      <c r="J10" s="569" t="s">
        <v>697</v>
      </c>
      <c r="K10" s="131" t="s">
        <v>1434</v>
      </c>
      <c r="L10"/>
      <c r="M10" s="569" t="s">
        <v>1451</v>
      </c>
      <c r="N10" s="8" t="s">
        <v>1450</v>
      </c>
      <c r="O10" s="131" t="s">
        <v>321</v>
      </c>
      <c r="P10" s="131" t="s">
        <v>1448</v>
      </c>
      <c r="Q10" s="30"/>
    </row>
    <row r="11" spans="1:17">
      <c r="A11" s="95" t="s">
        <v>122</v>
      </c>
      <c r="C11" s="95" t="s">
        <v>428</v>
      </c>
      <c r="D11" s="95" t="s">
        <v>1409</v>
      </c>
      <c r="E11" s="95" t="s">
        <v>1409</v>
      </c>
      <c r="F11" s="119" t="s">
        <v>1155</v>
      </c>
      <c r="G11" s="119" t="s">
        <v>205</v>
      </c>
      <c r="H11" s="95" t="s">
        <v>1410</v>
      </c>
      <c r="I11" s="95" t="s">
        <v>205</v>
      </c>
      <c r="J11" s="95" t="s">
        <v>141</v>
      </c>
      <c r="K11" s="95" t="s">
        <v>141</v>
      </c>
      <c r="L11" s="95" t="s">
        <v>1351</v>
      </c>
      <c r="M11" s="13" t="s">
        <v>1433</v>
      </c>
      <c r="N11" s="13" t="s">
        <v>1433</v>
      </c>
      <c r="O11" s="253" t="s">
        <v>1156</v>
      </c>
      <c r="P11" s="253" t="s">
        <v>1449</v>
      </c>
      <c r="Q11" s="95" t="str">
        <f>A11</f>
        <v>Line</v>
      </c>
    </row>
    <row r="12" spans="1:17">
      <c r="A12" s="76">
        <v>100</v>
      </c>
      <c r="B12" s="69" t="s">
        <v>1692</v>
      </c>
      <c r="C12" s="170" t="s">
        <v>380</v>
      </c>
      <c r="D12" s="473">
        <f ca="1">SUMIF($C$17:$P18,$C12,D$17:D$18)</f>
        <v>0</v>
      </c>
      <c r="E12" s="473">
        <f ca="1">SUMIF($C$17:$P18,$C12,E$17:E$18)</f>
        <v>0</v>
      </c>
      <c r="F12" s="209"/>
      <c r="G12" s="209"/>
      <c r="H12" s="473">
        <f ca="1">SUMIF($C$17:$P18,$C12,H$17:H$18)</f>
        <v>0</v>
      </c>
      <c r="I12" s="473">
        <f ca="1">SUMIF($C$17:$P18,$C12,I$17:I$18)</f>
        <v>0</v>
      </c>
      <c r="J12" s="473">
        <f ca="1">SUMIF($C$17:$P18,$C12,J$17:J$18)</f>
        <v>0</v>
      </c>
      <c r="K12" s="473">
        <f ca="1">SUMIF($C$17:$P18,$C12,K$17:K$18)</f>
        <v>0</v>
      </c>
      <c r="L12" s="473">
        <f ca="1">SUMIF($C$17:$P18,$C12,L$17:L$18)</f>
        <v>0</v>
      </c>
      <c r="M12" s="473">
        <f ca="1">SUMIF($C$17:$P18,$C12,M$17:M$18)</f>
        <v>0</v>
      </c>
      <c r="N12" s="473">
        <f ca="1">SUMIF($C$17:$P18,$C12,N$17:N$18)</f>
        <v>0</v>
      </c>
      <c r="O12" s="209"/>
      <c r="P12" s="209"/>
      <c r="Q12" s="76">
        <f>A12</f>
        <v>100</v>
      </c>
    </row>
    <row r="13" spans="1:17">
      <c r="A13" s="76">
        <f>A12+1</f>
        <v>101</v>
      </c>
      <c r="B13" s="559" t="s">
        <v>1693</v>
      </c>
      <c r="C13" s="560" t="s">
        <v>381</v>
      </c>
      <c r="D13" s="561">
        <f ca="1">SUMIF($C$17:$P18,$C13,D$17:D$18)</f>
        <v>0</v>
      </c>
      <c r="E13" s="561">
        <f ca="1">SUMIF($C$17:$P18,$C13,E$17:E$18)</f>
        <v>0</v>
      </c>
      <c r="F13" s="562"/>
      <c r="G13" s="562"/>
      <c r="H13" s="561">
        <f ca="1">SUMIF($C$17:$P18,$C13,H$17:H$18)</f>
        <v>0</v>
      </c>
      <c r="I13" s="561">
        <f ca="1">SUMIF($C$17:$P18,$C13,I$17:I$18)</f>
        <v>0</v>
      </c>
      <c r="J13" s="561">
        <f ca="1">SUMIF($C$17:$P18,$C13,J$17:J$18)</f>
        <v>0</v>
      </c>
      <c r="K13" s="561">
        <f ca="1">SUMIF($C$17:$P18,$C13,K$17:K$18)</f>
        <v>0</v>
      </c>
      <c r="L13" s="561">
        <f ca="1">SUMIF($C$17:$P18,$C13,L$17:L$18)</f>
        <v>0</v>
      </c>
      <c r="M13" s="561">
        <f ca="1">SUMIF($C$17:$P18,$C13,M$17:M$18)</f>
        <v>0</v>
      </c>
      <c r="N13" s="561">
        <f ca="1">SUMIF($C$17:$P18,$C13,N$17:N$18)</f>
        <v>0</v>
      </c>
      <c r="O13" s="562"/>
      <c r="P13" s="562"/>
      <c r="Q13" s="76">
        <f>A13</f>
        <v>101</v>
      </c>
    </row>
    <row r="14" spans="1:17">
      <c r="A14" s="76">
        <f t="shared" ref="A14" si="0">A13+1</f>
        <v>102</v>
      </c>
      <c r="B14" s="3" t="s">
        <v>1288</v>
      </c>
      <c r="C14" s="3"/>
      <c r="D14" s="3"/>
      <c r="E14" s="473">
        <f ca="1">E12+E13</f>
        <v>0</v>
      </c>
      <c r="F14" s="473"/>
      <c r="G14" s="473"/>
      <c r="H14" s="473">
        <f t="shared" ref="H14:N14" ca="1" si="1">H12+H13</f>
        <v>0</v>
      </c>
      <c r="I14" s="473">
        <f t="shared" ca="1" si="1"/>
        <v>0</v>
      </c>
      <c r="J14" s="473">
        <f t="shared" ca="1" si="1"/>
        <v>0</v>
      </c>
      <c r="K14" s="473">
        <f t="shared" ca="1" si="1"/>
        <v>0</v>
      </c>
      <c r="L14" s="473">
        <f t="shared" ca="1" si="1"/>
        <v>0</v>
      </c>
      <c r="M14" s="473">
        <f t="shared" ca="1" si="1"/>
        <v>0</v>
      </c>
      <c r="N14" s="473">
        <f t="shared" ca="1" si="1"/>
        <v>0</v>
      </c>
      <c r="O14" s="473"/>
      <c r="P14"/>
      <c r="Q14" s="76">
        <f>A14</f>
        <v>102</v>
      </c>
    </row>
    <row r="15" spans="1:17">
      <c r="A15" s="95"/>
      <c r="C15" s="95"/>
      <c r="D15" s="95"/>
      <c r="E15" s="95"/>
      <c r="F15" s="119"/>
      <c r="G15" s="119"/>
      <c r="H15" s="95"/>
      <c r="I15" s="95"/>
      <c r="J15" s="95"/>
      <c r="K15" s="95"/>
      <c r="L15" s="95"/>
      <c r="M15" s="95"/>
      <c r="N15" s="13"/>
      <c r="O15" s="253"/>
      <c r="P15" s="253"/>
      <c r="Q15" s="95"/>
    </row>
    <row r="16" spans="1:17">
      <c r="A16" s="95"/>
      <c r="C16" s="95"/>
      <c r="D16" s="95"/>
      <c r="E16" s="95"/>
      <c r="F16" s="119"/>
      <c r="G16" s="119"/>
      <c r="H16" s="95"/>
      <c r="I16" s="95"/>
      <c r="J16" s="95"/>
      <c r="K16" s="95"/>
      <c r="L16" s="95"/>
      <c r="M16" s="95"/>
      <c r="N16" s="13"/>
      <c r="O16" s="253"/>
      <c r="P16" s="253"/>
      <c r="Q16" s="95"/>
    </row>
    <row r="17" spans="1:17">
      <c r="A17" s="76">
        <f>A14+1</f>
        <v>103</v>
      </c>
      <c r="B17" s="2"/>
      <c r="C17" s="126"/>
      <c r="D17" s="619"/>
      <c r="E17" s="444"/>
      <c r="F17" s="126"/>
      <c r="G17" s="571"/>
      <c r="H17" s="444"/>
      <c r="I17" s="444"/>
      <c r="J17" s="444"/>
      <c r="K17" s="473">
        <f>(H17+J17)/2</f>
        <v>0</v>
      </c>
      <c r="L17" s="473">
        <f>K17*'1-BaseTRR'!$D$99</f>
        <v>0</v>
      </c>
      <c r="M17" s="473">
        <f>J17-L17</f>
        <v>0</v>
      </c>
      <c r="N17" s="473">
        <f t="shared" ref="N17" si="2">K17-L17</f>
        <v>0</v>
      </c>
      <c r="O17" s="126"/>
      <c r="P17" s="126"/>
      <c r="Q17" s="76">
        <f t="shared" ref="Q17:Q18" si="3">A17</f>
        <v>103</v>
      </c>
    </row>
    <row r="18" spans="1:17">
      <c r="A18" s="76">
        <f>A17+1</f>
        <v>104</v>
      </c>
      <c r="B18" s="414" t="s">
        <v>1157</v>
      </c>
      <c r="C18" s="126"/>
      <c r="D18" s="619"/>
      <c r="E18" s="444"/>
      <c r="F18" s="126"/>
      <c r="G18" s="571"/>
      <c r="H18" s="444"/>
      <c r="I18" s="444"/>
      <c r="J18" s="444"/>
      <c r="K18" s="473"/>
      <c r="L18" s="473"/>
      <c r="M18" s="473"/>
      <c r="N18" s="473"/>
      <c r="O18" s="126"/>
      <c r="P18" s="126"/>
      <c r="Q18" s="76">
        <f t="shared" si="3"/>
        <v>104</v>
      </c>
    </row>
    <row r="19" spans="1:17">
      <c r="H19" s="69"/>
      <c r="I19" s="69"/>
      <c r="K19" s="473"/>
      <c r="L19" s="473"/>
      <c r="M19" s="473"/>
      <c r="N19" s="473"/>
      <c r="Q19" s="170"/>
    </row>
    <row r="20" spans="1:17">
      <c r="B20" s="16" t="s">
        <v>125</v>
      </c>
      <c r="H20" s="69"/>
      <c r="I20" s="69"/>
      <c r="K20" s="473"/>
      <c r="L20" s="473"/>
      <c r="M20" s="473"/>
      <c r="N20" s="473"/>
    </row>
    <row r="21" spans="1:17">
      <c r="B21" s="819" t="s">
        <v>1859</v>
      </c>
      <c r="C21" s="819"/>
      <c r="D21" s="819"/>
      <c r="E21" s="819"/>
      <c r="F21" s="819"/>
      <c r="G21" s="819"/>
      <c r="H21" s="819"/>
      <c r="I21" s="819"/>
      <c r="J21" s="819"/>
      <c r="K21" s="819"/>
      <c r="L21" s="819"/>
      <c r="M21" s="819"/>
      <c r="N21" s="819"/>
      <c r="O21" s="819"/>
      <c r="P21" s="819"/>
    </row>
    <row r="22" spans="1:17">
      <c r="B22" s="819"/>
      <c r="C22" s="819"/>
      <c r="D22" s="819"/>
      <c r="E22" s="819"/>
      <c r="F22" s="819"/>
      <c r="G22" s="819"/>
      <c r="H22" s="819"/>
      <c r="I22" s="819"/>
      <c r="J22" s="819"/>
      <c r="K22" s="819"/>
      <c r="L22" s="819"/>
      <c r="M22" s="819"/>
      <c r="N22" s="819"/>
      <c r="O22" s="819"/>
      <c r="P22" s="819"/>
    </row>
  </sheetData>
  <mergeCells count="2">
    <mergeCell ref="B22:P22"/>
    <mergeCell ref="B21:P21"/>
  </mergeCells>
  <printOptions horizontalCentered="1"/>
  <pageMargins left="1" right="1" top="1" bottom="1" header="0.5" footer="0.5"/>
  <pageSetup scale="43"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128"/>
  <sheetViews>
    <sheetView tabSelected="1" view="pageBreakPreview" topLeftCell="A89" zoomScale="90" zoomScaleNormal="75" zoomScaleSheetLayoutView="90" zoomScalePageLayoutView="85" workbookViewId="0">
      <selection activeCell="C59" activeCellId="1" sqref="L63 C59"/>
    </sheetView>
  </sheetViews>
  <sheetFormatPr defaultColWidth="9.1796875" defaultRowHeight="14.5"/>
  <cols>
    <col min="1" max="1" width="5.26953125" style="176" customWidth="1"/>
    <col min="2" max="2" width="15.453125" style="176" customWidth="1"/>
    <col min="3" max="3" width="18.1796875" style="176" bestFit="1" customWidth="1"/>
    <col min="4" max="4" width="29" style="176" customWidth="1"/>
    <col min="5" max="5" width="18.81640625" style="176" customWidth="1"/>
    <col min="6" max="6" width="28.453125" style="176" bestFit="1" customWidth="1"/>
    <col min="7" max="7" width="18.81640625" style="176" customWidth="1"/>
    <col min="8" max="8" width="24.453125" style="176" bestFit="1" customWidth="1"/>
    <col min="9" max="9" width="18.81640625" style="176" customWidth="1"/>
    <col min="10" max="10" width="5.7265625" style="178" customWidth="1"/>
    <col min="11" max="12" width="15.54296875" style="176" customWidth="1"/>
    <col min="13" max="14" width="18.54296875" style="176" customWidth="1"/>
    <col min="15" max="27" width="15.54296875" style="176" customWidth="1"/>
    <col min="28" max="16384" width="9.1796875" style="176"/>
  </cols>
  <sheetData>
    <row r="1" spans="1:22">
      <c r="B1" s="177" t="s">
        <v>385</v>
      </c>
      <c r="F1" s="143"/>
      <c r="G1" s="78"/>
      <c r="H1" s="8"/>
      <c r="I1" s="15" t="str">
        <f>CONCATENATE("Prior Year: ",'1-BaseTRR'!$F$2)</f>
        <v>Prior Year: 2022</v>
      </c>
    </row>
    <row r="2" spans="1:22">
      <c r="B2" s="117" t="s">
        <v>193</v>
      </c>
      <c r="C2" s="117"/>
      <c r="G2" s="78"/>
      <c r="H2" s="15"/>
      <c r="I2" s="8"/>
    </row>
    <row r="3" spans="1:22">
      <c r="B3" s="142"/>
    </row>
    <row r="4" spans="1:22">
      <c r="B4" s="176" t="s">
        <v>1888</v>
      </c>
    </row>
    <row r="5" spans="1:22">
      <c r="B5" s="176" t="s">
        <v>386</v>
      </c>
    </row>
    <row r="7" spans="1:22">
      <c r="B7" s="179" t="s">
        <v>387</v>
      </c>
      <c r="C7" s="180"/>
      <c r="D7" s="180"/>
      <c r="E7" s="180"/>
      <c r="F7" s="180"/>
      <c r="G7" s="180"/>
      <c r="H7" s="180"/>
      <c r="I7" s="180"/>
    </row>
    <row r="8" spans="1:22">
      <c r="B8" s="176" t="s">
        <v>388</v>
      </c>
    </row>
    <row r="9" spans="1:22">
      <c r="B9" s="181"/>
    </row>
    <row r="10" spans="1:22">
      <c r="D10" s="174" t="s">
        <v>98</v>
      </c>
      <c r="E10" s="174" t="s">
        <v>99</v>
      </c>
      <c r="F10" s="174" t="s">
        <v>100</v>
      </c>
      <c r="G10" s="174" t="s">
        <v>101</v>
      </c>
      <c r="H10" s="174" t="s">
        <v>102</v>
      </c>
      <c r="I10" s="174" t="s">
        <v>103</v>
      </c>
      <c r="J10" s="1"/>
      <c r="M10" s="182"/>
      <c r="N10" s="182"/>
      <c r="O10" s="182"/>
      <c r="P10" s="182"/>
      <c r="Q10" s="182"/>
      <c r="R10" s="182"/>
      <c r="S10" s="182"/>
      <c r="T10" s="182"/>
      <c r="U10" s="182"/>
      <c r="V10" s="182"/>
    </row>
    <row r="11" spans="1:22" ht="29">
      <c r="D11" s="175" t="s">
        <v>389</v>
      </c>
      <c r="E11" s="175" t="s">
        <v>389</v>
      </c>
      <c r="F11" s="175" t="s">
        <v>389</v>
      </c>
      <c r="G11" s="175" t="s">
        <v>389</v>
      </c>
      <c r="H11" s="175" t="s">
        <v>389</v>
      </c>
      <c r="I11" s="175" t="s">
        <v>389</v>
      </c>
      <c r="J11" s="1"/>
    </row>
    <row r="12" spans="1:22">
      <c r="E12" s="1"/>
      <c r="F12" s="1"/>
      <c r="G12" s="1"/>
      <c r="H12" s="1"/>
      <c r="J12" s="1"/>
      <c r="M12" s="1"/>
      <c r="N12" s="1"/>
      <c r="O12" s="1"/>
      <c r="P12" s="1"/>
      <c r="Q12" s="1"/>
      <c r="R12" s="1"/>
      <c r="S12" s="1"/>
      <c r="T12" s="1"/>
      <c r="U12" s="1"/>
      <c r="V12" s="1"/>
    </row>
    <row r="13" spans="1:22">
      <c r="B13" s="820" t="s">
        <v>390</v>
      </c>
      <c r="C13" s="820"/>
      <c r="D13" s="1" t="s">
        <v>391</v>
      </c>
      <c r="E13" s="1" t="s">
        <v>392</v>
      </c>
      <c r="F13" s="1" t="s">
        <v>393</v>
      </c>
      <c r="G13" s="1" t="s">
        <v>394</v>
      </c>
      <c r="H13" s="1" t="s">
        <v>392</v>
      </c>
      <c r="I13" s="1" t="s">
        <v>395</v>
      </c>
      <c r="J13" s="1"/>
      <c r="M13" s="1"/>
      <c r="N13" s="1"/>
      <c r="O13" s="1"/>
      <c r="P13" s="1"/>
      <c r="Q13" s="1"/>
      <c r="R13" s="1"/>
      <c r="S13" s="1"/>
      <c r="T13" s="1"/>
      <c r="U13" s="1"/>
      <c r="V13" s="1"/>
    </row>
    <row r="14" spans="1:22">
      <c r="A14" s="182" t="s">
        <v>122</v>
      </c>
      <c r="B14" s="182" t="s">
        <v>81</v>
      </c>
      <c r="C14" s="182" t="s">
        <v>109</v>
      </c>
      <c r="D14" s="182" t="s">
        <v>396</v>
      </c>
      <c r="E14" s="182" t="s">
        <v>397</v>
      </c>
      <c r="F14" s="182" t="s">
        <v>398</v>
      </c>
      <c r="G14" s="182" t="s">
        <v>399</v>
      </c>
      <c r="H14" s="182" t="s">
        <v>400</v>
      </c>
      <c r="I14" s="182" t="s">
        <v>401</v>
      </c>
      <c r="J14" s="182" t="str">
        <f>A14</f>
        <v>Line</v>
      </c>
      <c r="M14" s="182"/>
      <c r="N14" s="182"/>
      <c r="O14" s="182"/>
      <c r="P14" s="182"/>
      <c r="Q14" s="182"/>
      <c r="R14" s="182"/>
      <c r="S14" s="182"/>
      <c r="T14" s="182"/>
      <c r="U14" s="182"/>
      <c r="V14" s="182"/>
    </row>
    <row r="15" spans="1:22">
      <c r="A15" s="1">
        <v>100</v>
      </c>
      <c r="B15" s="176" t="str">
        <f t="shared" ref="B15:B38" si="0">B52</f>
        <v>January</v>
      </c>
      <c r="C15" s="156">
        <f>'1-BaseTRR'!$F$2+1</f>
        <v>2023</v>
      </c>
      <c r="D15" s="198">
        <f t="shared" ref="D15:I30" si="1">D52+D88</f>
        <v>55340744.102750301</v>
      </c>
      <c r="E15" s="198">
        <f t="shared" si="1"/>
        <v>55340744.102750301</v>
      </c>
      <c r="F15" s="198">
        <f t="shared" si="1"/>
        <v>132107.84614753231</v>
      </c>
      <c r="G15" s="198">
        <f t="shared" si="1"/>
        <v>5067068.2120023929</v>
      </c>
      <c r="H15" s="198">
        <f t="shared" si="1"/>
        <v>-4934960.3658548612</v>
      </c>
      <c r="I15" s="198">
        <f t="shared" si="1"/>
        <v>60275704.468605161</v>
      </c>
      <c r="J15" s="1">
        <f>A15</f>
        <v>100</v>
      </c>
      <c r="M15" s="28"/>
      <c r="N15" s="183"/>
      <c r="O15" s="183"/>
      <c r="P15" s="183"/>
      <c r="Q15" s="183"/>
      <c r="R15" s="183"/>
      <c r="S15" s="183"/>
      <c r="T15" s="183"/>
      <c r="U15" s="183"/>
      <c r="V15" s="183"/>
    </row>
    <row r="16" spans="1:22">
      <c r="A16" s="1">
        <f>A15+1</f>
        <v>101</v>
      </c>
      <c r="B16" s="176" t="str">
        <f t="shared" si="0"/>
        <v>February</v>
      </c>
      <c r="C16" s="156">
        <f>'1-BaseTRR'!$F$2+1</f>
        <v>2023</v>
      </c>
      <c r="D16" s="198">
        <f t="shared" si="1"/>
        <v>69352119.224187255</v>
      </c>
      <c r="E16" s="198">
        <f t="shared" si="1"/>
        <v>124692863.32693756</v>
      </c>
      <c r="F16" s="198">
        <f t="shared" si="1"/>
        <v>297663.24741686444</v>
      </c>
      <c r="G16" s="198">
        <f t="shared" si="1"/>
        <v>6800480.5096731782</v>
      </c>
      <c r="H16" s="198">
        <f t="shared" si="1"/>
        <v>-11437777.628111174</v>
      </c>
      <c r="I16" s="198">
        <f t="shared" si="1"/>
        <v>136130640.95504874</v>
      </c>
      <c r="J16" s="1">
        <f t="shared" ref="J16:J39" si="2">A16</f>
        <v>101</v>
      </c>
      <c r="M16" s="28"/>
      <c r="N16" s="183"/>
      <c r="O16" s="183"/>
      <c r="P16" s="183"/>
      <c r="Q16" s="183"/>
      <c r="R16" s="183"/>
      <c r="S16" s="183"/>
      <c r="T16" s="183"/>
      <c r="U16" s="183"/>
      <c r="V16" s="183"/>
    </row>
    <row r="17" spans="1:22">
      <c r="A17" s="1">
        <f t="shared" ref="A17:A39" si="3">A16+1</f>
        <v>102</v>
      </c>
      <c r="B17" s="176" t="str">
        <f t="shared" si="0"/>
        <v>March</v>
      </c>
      <c r="C17" s="156">
        <f>'1-BaseTRR'!$F$2+1</f>
        <v>2023</v>
      </c>
      <c r="D17" s="198">
        <f t="shared" si="1"/>
        <v>84168508.657962263</v>
      </c>
      <c r="E17" s="198">
        <f t="shared" si="1"/>
        <v>208861371.98489982</v>
      </c>
      <c r="F17" s="198">
        <f t="shared" si="1"/>
        <v>498587.9110174884</v>
      </c>
      <c r="G17" s="198">
        <f t="shared" si="1"/>
        <v>4979071.2928128196</v>
      </c>
      <c r="H17" s="198">
        <f t="shared" si="1"/>
        <v>-15918261.009906504</v>
      </c>
      <c r="I17" s="198">
        <f t="shared" si="1"/>
        <v>224779632.99480635</v>
      </c>
      <c r="J17" s="1">
        <f t="shared" si="2"/>
        <v>102</v>
      </c>
      <c r="M17" s="28"/>
      <c r="N17" s="183"/>
      <c r="O17" s="183"/>
      <c r="P17" s="183"/>
      <c r="Q17" s="183"/>
      <c r="R17" s="183"/>
      <c r="S17" s="183"/>
      <c r="T17" s="183"/>
      <c r="U17" s="183"/>
      <c r="V17" s="183"/>
    </row>
    <row r="18" spans="1:22">
      <c r="A18" s="1">
        <f t="shared" si="3"/>
        <v>103</v>
      </c>
      <c r="B18" s="176" t="str">
        <f t="shared" si="0"/>
        <v>April</v>
      </c>
      <c r="C18" s="156">
        <f>'1-BaseTRR'!$F$2+1</f>
        <v>2023</v>
      </c>
      <c r="D18" s="198">
        <f t="shared" si="1"/>
        <v>195584190.89286771</v>
      </c>
      <c r="E18" s="198">
        <f t="shared" si="1"/>
        <v>404445562.87776756</v>
      </c>
      <c r="F18" s="198">
        <f t="shared" si="1"/>
        <v>965480.91396286199</v>
      </c>
      <c r="G18" s="198">
        <f t="shared" si="1"/>
        <v>6353928.2057424672</v>
      </c>
      <c r="H18" s="198">
        <f t="shared" si="1"/>
        <v>-21306708.301686108</v>
      </c>
      <c r="I18" s="198">
        <f t="shared" si="1"/>
        <v>425752271.17945361</v>
      </c>
      <c r="J18" s="1">
        <f t="shared" si="2"/>
        <v>103</v>
      </c>
      <c r="M18" s="28"/>
      <c r="N18" s="183"/>
      <c r="O18" s="183"/>
      <c r="P18" s="183"/>
      <c r="Q18" s="183"/>
      <c r="R18" s="183"/>
      <c r="S18" s="183"/>
      <c r="T18" s="183"/>
      <c r="U18" s="183"/>
      <c r="V18" s="183"/>
    </row>
    <row r="19" spans="1:22">
      <c r="A19" s="1">
        <f t="shared" si="3"/>
        <v>104</v>
      </c>
      <c r="B19" s="176" t="str">
        <f t="shared" si="0"/>
        <v>May</v>
      </c>
      <c r="C19" s="156">
        <f>'1-BaseTRR'!$F$2+1</f>
        <v>2023</v>
      </c>
      <c r="D19" s="198">
        <f t="shared" si="1"/>
        <v>122601960.12913752</v>
      </c>
      <c r="E19" s="198">
        <f t="shared" si="1"/>
        <v>527047523.00690508</v>
      </c>
      <c r="F19" s="198">
        <f t="shared" si="1"/>
        <v>1258152.816893077</v>
      </c>
      <c r="G19" s="198">
        <f t="shared" si="1"/>
        <v>6744703.7899779519</v>
      </c>
      <c r="H19" s="198">
        <f t="shared" si="1"/>
        <v>-26793259.274770983</v>
      </c>
      <c r="I19" s="198">
        <f t="shared" si="1"/>
        <v>553840782.28167605</v>
      </c>
      <c r="J19" s="1">
        <f t="shared" si="2"/>
        <v>104</v>
      </c>
      <c r="M19" s="28"/>
      <c r="N19" s="183"/>
      <c r="O19" s="183"/>
      <c r="P19" s="183"/>
      <c r="Q19" s="183"/>
      <c r="R19" s="183"/>
      <c r="S19" s="183"/>
      <c r="T19" s="183"/>
      <c r="U19" s="183"/>
      <c r="V19" s="183"/>
    </row>
    <row r="20" spans="1:22">
      <c r="A20" s="1">
        <f t="shared" si="3"/>
        <v>105</v>
      </c>
      <c r="B20" s="176" t="str">
        <f t="shared" si="0"/>
        <v xml:space="preserve">June </v>
      </c>
      <c r="C20" s="156">
        <f>'1-BaseTRR'!$F$2+1</f>
        <v>2023</v>
      </c>
      <c r="D20" s="198">
        <f t="shared" si="1"/>
        <v>246277910.87847403</v>
      </c>
      <c r="E20" s="198">
        <f t="shared" si="1"/>
        <v>773325433.88537908</v>
      </c>
      <c r="F20" s="198">
        <f t="shared" si="1"/>
        <v>1846060.4225346171</v>
      </c>
      <c r="G20" s="198">
        <f t="shared" si="1"/>
        <v>12014059.667358551</v>
      </c>
      <c r="H20" s="198">
        <f t="shared" si="1"/>
        <v>-36961258.519594923</v>
      </c>
      <c r="I20" s="198">
        <f t="shared" si="1"/>
        <v>810286692.40497398</v>
      </c>
      <c r="J20" s="1">
        <f t="shared" si="2"/>
        <v>105</v>
      </c>
      <c r="M20" s="28"/>
      <c r="N20" s="183"/>
      <c r="O20" s="183"/>
      <c r="P20" s="183"/>
      <c r="Q20" s="183"/>
      <c r="R20" s="183"/>
      <c r="S20" s="183"/>
      <c r="T20" s="183"/>
      <c r="U20" s="183"/>
      <c r="V20" s="183"/>
    </row>
    <row r="21" spans="1:22">
      <c r="A21" s="1">
        <f t="shared" si="3"/>
        <v>106</v>
      </c>
      <c r="B21" s="176" t="str">
        <f t="shared" si="0"/>
        <v>July</v>
      </c>
      <c r="C21" s="156">
        <f>'1-BaseTRR'!$F$2+1</f>
        <v>2023</v>
      </c>
      <c r="D21" s="198">
        <f t="shared" si="1"/>
        <v>41886224.018000633</v>
      </c>
      <c r="E21" s="198">
        <f t="shared" si="1"/>
        <v>815211657.90337968</v>
      </c>
      <c r="F21" s="198">
        <f t="shared" si="1"/>
        <v>1946050.0220238676</v>
      </c>
      <c r="G21" s="198">
        <f t="shared" si="1"/>
        <v>4083647.1338168988</v>
      </c>
      <c r="H21" s="198">
        <f t="shared" si="1"/>
        <v>-39098855.631387949</v>
      </c>
      <c r="I21" s="198">
        <f t="shared" si="1"/>
        <v>854310513.53476763</v>
      </c>
      <c r="J21" s="1">
        <f t="shared" si="2"/>
        <v>106</v>
      </c>
      <c r="M21" s="28"/>
      <c r="N21" s="183"/>
      <c r="O21" s="183"/>
      <c r="P21" s="183"/>
      <c r="Q21" s="183"/>
      <c r="R21" s="183"/>
      <c r="S21" s="183"/>
      <c r="T21" s="183"/>
      <c r="U21" s="183"/>
      <c r="V21" s="183"/>
    </row>
    <row r="22" spans="1:22">
      <c r="A22" s="1">
        <f t="shared" si="3"/>
        <v>107</v>
      </c>
      <c r="C22" s="156">
        <f>'1-BaseTRR'!$F$2+1</f>
        <v>2023</v>
      </c>
      <c r="D22" s="198">
        <f t="shared" si="1"/>
        <v>64514102.755534619</v>
      </c>
      <c r="E22" s="198">
        <f t="shared" si="1"/>
        <v>879725760.65891433</v>
      </c>
      <c r="F22" s="198">
        <f t="shared" si="1"/>
        <v>2100056.2483469197</v>
      </c>
      <c r="G22" s="198">
        <f t="shared" si="1"/>
        <v>6465088.5961552626</v>
      </c>
      <c r="H22" s="198">
        <f t="shared" si="1"/>
        <v>-43463887.979196295</v>
      </c>
      <c r="I22" s="198">
        <f t="shared" si="1"/>
        <v>923189648.63811064</v>
      </c>
      <c r="J22" s="1">
        <f t="shared" si="2"/>
        <v>107</v>
      </c>
      <c r="M22" s="28"/>
      <c r="N22" s="183"/>
      <c r="O22" s="183"/>
      <c r="P22" s="183"/>
      <c r="Q22" s="183"/>
      <c r="R22" s="183"/>
      <c r="S22" s="183"/>
      <c r="T22" s="183"/>
      <c r="U22" s="183"/>
      <c r="V22" s="183"/>
    </row>
    <row r="23" spans="1:22">
      <c r="A23" s="1">
        <f t="shared" si="3"/>
        <v>108</v>
      </c>
      <c r="B23" s="176" t="str">
        <f t="shared" si="0"/>
        <v>September</v>
      </c>
      <c r="C23" s="156">
        <f>'1-BaseTRR'!$F$2+1</f>
        <v>2023</v>
      </c>
      <c r="D23" s="198">
        <f t="shared" si="1"/>
        <v>102755732.31802866</v>
      </c>
      <c r="E23" s="198">
        <f t="shared" si="1"/>
        <v>982481492.97694302</v>
      </c>
      <c r="F23" s="198">
        <f t="shared" si="1"/>
        <v>2345351.802209422</v>
      </c>
      <c r="G23" s="198">
        <f t="shared" si="1"/>
        <v>5374716.6198882796</v>
      </c>
      <c r="H23" s="198">
        <f t="shared" si="1"/>
        <v>-46493252.796875156</v>
      </c>
      <c r="I23" s="198">
        <f t="shared" si="1"/>
        <v>1028974745.7738181</v>
      </c>
      <c r="J23" s="1">
        <f t="shared" si="2"/>
        <v>108</v>
      </c>
      <c r="M23" s="28"/>
      <c r="N23" s="183"/>
      <c r="O23" s="183"/>
      <c r="P23" s="183"/>
      <c r="Q23" s="183"/>
      <c r="R23" s="183"/>
      <c r="S23" s="183"/>
      <c r="T23" s="183"/>
      <c r="U23" s="183"/>
      <c r="V23" s="183"/>
    </row>
    <row r="24" spans="1:22">
      <c r="A24" s="1">
        <f t="shared" si="3"/>
        <v>109</v>
      </c>
      <c r="B24" s="176" t="str">
        <f t="shared" si="0"/>
        <v xml:space="preserve">October </v>
      </c>
      <c r="C24" s="156">
        <f>'1-BaseTRR'!$F$2+1</f>
        <v>2023</v>
      </c>
      <c r="D24" s="198">
        <f t="shared" si="1"/>
        <v>87574375.395581886</v>
      </c>
      <c r="E24" s="198">
        <f t="shared" si="1"/>
        <v>1070055868.372525</v>
      </c>
      <c r="F24" s="198">
        <f t="shared" si="1"/>
        <v>2554406.8537596017</v>
      </c>
      <c r="G24" s="198">
        <f t="shared" si="1"/>
        <v>5290107.3675843701</v>
      </c>
      <c r="H24" s="198">
        <f t="shared" si="1"/>
        <v>-49228953.310699925</v>
      </c>
      <c r="I24" s="198">
        <f t="shared" si="1"/>
        <v>1119284821.6832249</v>
      </c>
      <c r="J24" s="1">
        <f t="shared" si="2"/>
        <v>109</v>
      </c>
      <c r="M24" s="28"/>
      <c r="N24" s="183"/>
      <c r="O24" s="183"/>
      <c r="P24" s="183"/>
      <c r="Q24" s="183"/>
      <c r="R24" s="183"/>
      <c r="S24" s="183"/>
      <c r="T24" s="183"/>
      <c r="U24" s="183"/>
      <c r="V24" s="183"/>
    </row>
    <row r="25" spans="1:22">
      <c r="A25" s="1">
        <f t="shared" si="3"/>
        <v>110</v>
      </c>
      <c r="B25" s="176" t="str">
        <f t="shared" si="0"/>
        <v>November</v>
      </c>
      <c r="C25" s="156">
        <f>'1-BaseTRR'!$F$2+1</f>
        <v>2023</v>
      </c>
      <c r="D25" s="198">
        <f t="shared" si="1"/>
        <v>60098352.574760981</v>
      </c>
      <c r="E25" s="198">
        <f t="shared" si="1"/>
        <v>1130154220.9472859</v>
      </c>
      <c r="F25" s="198">
        <f t="shared" si="1"/>
        <v>2697871.9271768583</v>
      </c>
      <c r="G25" s="198">
        <f t="shared" si="1"/>
        <v>4788741.8438121136</v>
      </c>
      <c r="H25" s="198">
        <f t="shared" si="1"/>
        <v>-51319823.227335177</v>
      </c>
      <c r="I25" s="198">
        <f t="shared" si="1"/>
        <v>1181474044.1746211</v>
      </c>
      <c r="J25" s="1">
        <f t="shared" si="2"/>
        <v>110</v>
      </c>
      <c r="M25" s="28"/>
      <c r="N25" s="183"/>
      <c r="O25" s="183"/>
      <c r="P25" s="183"/>
      <c r="Q25" s="183"/>
      <c r="R25" s="183"/>
      <c r="S25" s="183"/>
      <c r="T25" s="183"/>
      <c r="U25" s="183"/>
      <c r="V25" s="183"/>
    </row>
    <row r="26" spans="1:22">
      <c r="A26" s="1">
        <f t="shared" si="3"/>
        <v>111</v>
      </c>
      <c r="B26" s="176" t="str">
        <f t="shared" si="0"/>
        <v>December</v>
      </c>
      <c r="C26" s="156">
        <f>'1-BaseTRR'!$F$2+1</f>
        <v>2023</v>
      </c>
      <c r="D26" s="198">
        <f t="shared" si="1"/>
        <v>130277673.49302877</v>
      </c>
      <c r="E26" s="198">
        <f t="shared" si="1"/>
        <v>1260431894.4403148</v>
      </c>
      <c r="F26" s="198">
        <f t="shared" si="1"/>
        <v>3008867.0741579076</v>
      </c>
      <c r="G26" s="198">
        <f t="shared" si="1"/>
        <v>4227877.7348411288</v>
      </c>
      <c r="H26" s="198">
        <f t="shared" si="1"/>
        <v>-52538833.888018399</v>
      </c>
      <c r="I26" s="198">
        <f t="shared" si="1"/>
        <v>1312970728.3283331</v>
      </c>
      <c r="J26" s="1">
        <f t="shared" si="2"/>
        <v>111</v>
      </c>
      <c r="M26" s="28"/>
      <c r="N26" s="183"/>
      <c r="O26" s="183"/>
      <c r="P26" s="183"/>
      <c r="Q26" s="183"/>
      <c r="R26" s="183"/>
      <c r="S26" s="183"/>
      <c r="T26" s="183"/>
      <c r="U26" s="183"/>
      <c r="V26" s="183"/>
    </row>
    <row r="27" spans="1:22">
      <c r="A27" s="1">
        <f t="shared" si="3"/>
        <v>112</v>
      </c>
      <c r="B27" s="176" t="str">
        <f t="shared" si="0"/>
        <v>January</v>
      </c>
      <c r="C27" s="156">
        <f>'1-BaseTRR'!$F$1</f>
        <v>2024</v>
      </c>
      <c r="D27" s="198">
        <f t="shared" si="1"/>
        <v>55109132.746046238</v>
      </c>
      <c r="E27" s="198">
        <f t="shared" si="1"/>
        <v>1315541027.1863608</v>
      </c>
      <c r="F27" s="198">
        <f t="shared" si="1"/>
        <v>3140422.0242796717</v>
      </c>
      <c r="G27" s="198">
        <f t="shared" si="1"/>
        <v>5346938.9695845712</v>
      </c>
      <c r="H27" s="198">
        <f t="shared" si="1"/>
        <v>-54745350.8333233</v>
      </c>
      <c r="I27" s="198">
        <f t="shared" si="1"/>
        <v>1370286378.0196843</v>
      </c>
      <c r="J27" s="1">
        <f t="shared" si="2"/>
        <v>112</v>
      </c>
      <c r="M27" s="28"/>
      <c r="N27" s="183"/>
      <c r="O27" s="183"/>
      <c r="P27" s="183"/>
      <c r="Q27" s="183"/>
      <c r="R27" s="183"/>
      <c r="S27" s="183"/>
      <c r="T27" s="183"/>
      <c r="U27" s="183"/>
      <c r="V27" s="183"/>
    </row>
    <row r="28" spans="1:22">
      <c r="A28" s="1">
        <f t="shared" si="3"/>
        <v>113</v>
      </c>
      <c r="B28" s="176" t="str">
        <f t="shared" si="0"/>
        <v>February</v>
      </c>
      <c r="C28" s="184">
        <f>'1-BaseTRR'!$F$1</f>
        <v>2024</v>
      </c>
      <c r="D28" s="198">
        <f t="shared" si="1"/>
        <v>106226944.35288081</v>
      </c>
      <c r="E28" s="198">
        <f t="shared" si="1"/>
        <v>1421767971.5392416</v>
      </c>
      <c r="F28" s="198">
        <f t="shared" si="1"/>
        <v>3394003.9565218044</v>
      </c>
      <c r="G28" s="198">
        <f t="shared" si="1"/>
        <v>5063498.3962393962</v>
      </c>
      <c r="H28" s="198">
        <f t="shared" si="1"/>
        <v>-56414845.273040891</v>
      </c>
      <c r="I28" s="198">
        <f t="shared" si="1"/>
        <v>1478182816.8122826</v>
      </c>
      <c r="J28" s="1">
        <f t="shared" si="2"/>
        <v>113</v>
      </c>
      <c r="M28" s="28"/>
      <c r="N28" s="183"/>
      <c r="O28" s="183"/>
      <c r="P28" s="183"/>
      <c r="Q28" s="183"/>
      <c r="R28" s="183"/>
      <c r="S28" s="183"/>
      <c r="T28" s="183"/>
      <c r="U28" s="183"/>
      <c r="V28" s="183"/>
    </row>
    <row r="29" spans="1:22">
      <c r="A29" s="1">
        <f t="shared" si="3"/>
        <v>114</v>
      </c>
      <c r="C29" s="184">
        <f>'1-BaseTRR'!$F$1</f>
        <v>2024</v>
      </c>
      <c r="D29" s="198">
        <f t="shared" si="1"/>
        <v>88345572.166623652</v>
      </c>
      <c r="E29" s="198">
        <f t="shared" si="1"/>
        <v>1510113543.7058654</v>
      </c>
      <c r="F29" s="198">
        <f t="shared" si="1"/>
        <v>3604899.9870112827</v>
      </c>
      <c r="G29" s="198">
        <f t="shared" si="1"/>
        <v>6233622.7975996993</v>
      </c>
      <c r="H29" s="198">
        <f t="shared" si="1"/>
        <v>-59043568.08362931</v>
      </c>
      <c r="I29" s="198">
        <f t="shared" si="1"/>
        <v>1569157111.7894945</v>
      </c>
      <c r="J29" s="1">
        <f t="shared" si="2"/>
        <v>114</v>
      </c>
      <c r="M29" s="28"/>
      <c r="N29" s="183"/>
      <c r="O29" s="183"/>
      <c r="P29" s="183"/>
      <c r="Q29" s="183"/>
      <c r="R29" s="183"/>
      <c r="S29" s="183"/>
      <c r="T29" s="183"/>
      <c r="U29" s="183"/>
      <c r="V29" s="183"/>
    </row>
    <row r="30" spans="1:22">
      <c r="A30" s="1">
        <f t="shared" si="3"/>
        <v>115</v>
      </c>
      <c r="B30" s="176" t="str">
        <f t="shared" si="0"/>
        <v>April</v>
      </c>
      <c r="C30" s="184">
        <f>'1-BaseTRR'!$F$1</f>
        <v>2024</v>
      </c>
      <c r="D30" s="198">
        <f t="shared" si="1"/>
        <v>119667139.64027068</v>
      </c>
      <c r="E30" s="198">
        <f t="shared" si="1"/>
        <v>1629780683.3461361</v>
      </c>
      <c r="F30" s="198">
        <f t="shared" si="1"/>
        <v>3890565.970163947</v>
      </c>
      <c r="G30" s="198">
        <f t="shared" si="1"/>
        <v>5175026.3731623041</v>
      </c>
      <c r="H30" s="198">
        <f t="shared" si="1"/>
        <v>-60328028.486627668</v>
      </c>
      <c r="I30" s="198">
        <f t="shared" si="1"/>
        <v>1690108711.8327637</v>
      </c>
      <c r="J30" s="1">
        <f t="shared" si="2"/>
        <v>115</v>
      </c>
      <c r="M30" s="28"/>
      <c r="N30" s="183"/>
      <c r="O30" s="183"/>
      <c r="P30" s="183"/>
      <c r="Q30" s="183"/>
      <c r="R30" s="183"/>
      <c r="S30" s="183"/>
      <c r="T30" s="183"/>
      <c r="U30" s="183"/>
      <c r="V30" s="183"/>
    </row>
    <row r="31" spans="1:22">
      <c r="A31" s="1">
        <f t="shared" si="3"/>
        <v>116</v>
      </c>
      <c r="B31" s="176" t="str">
        <f t="shared" si="0"/>
        <v>May</v>
      </c>
      <c r="C31" s="184">
        <f>'1-BaseTRR'!$F$1</f>
        <v>2024</v>
      </c>
      <c r="D31" s="198">
        <f t="shared" ref="D31:I38" si="4">D68+D104</f>
        <v>116543495.15783252</v>
      </c>
      <c r="E31" s="198">
        <f t="shared" si="4"/>
        <v>1746324178.5039685</v>
      </c>
      <c r="F31" s="198">
        <f t="shared" si="4"/>
        <v>4168775.278286377</v>
      </c>
      <c r="G31" s="198">
        <f t="shared" si="4"/>
        <v>5256951.5418913886</v>
      </c>
      <c r="H31" s="198">
        <f t="shared" si="4"/>
        <v>-61416204.750232674</v>
      </c>
      <c r="I31" s="198">
        <f t="shared" si="4"/>
        <v>1807740383.2542012</v>
      </c>
      <c r="J31" s="1">
        <f t="shared" si="2"/>
        <v>116</v>
      </c>
      <c r="M31" s="28"/>
      <c r="N31" s="183"/>
      <c r="O31" s="183"/>
      <c r="P31" s="183"/>
      <c r="Q31" s="183"/>
      <c r="R31" s="183"/>
      <c r="S31" s="183"/>
      <c r="T31" s="183"/>
      <c r="U31" s="183"/>
      <c r="V31" s="183"/>
    </row>
    <row r="32" spans="1:22">
      <c r="A32" s="1">
        <f t="shared" si="3"/>
        <v>117</v>
      </c>
      <c r="B32" s="176" t="str">
        <f t="shared" si="0"/>
        <v xml:space="preserve">June </v>
      </c>
      <c r="C32" s="184">
        <f>'1-BaseTRR'!$F$1</f>
        <v>2024</v>
      </c>
      <c r="D32" s="198">
        <f t="shared" si="4"/>
        <v>66454498.352867521</v>
      </c>
      <c r="E32" s="198">
        <f t="shared" si="4"/>
        <v>1812778676.8568358</v>
      </c>
      <c r="F32" s="198">
        <f t="shared" si="4"/>
        <v>4327413.5616443297</v>
      </c>
      <c r="G32" s="198">
        <f t="shared" si="4"/>
        <v>4914479.9507559743</v>
      </c>
      <c r="H32" s="198">
        <f t="shared" si="4"/>
        <v>-62003271.13934432</v>
      </c>
      <c r="I32" s="198">
        <f t="shared" si="4"/>
        <v>1874781947.9961803</v>
      </c>
      <c r="J32" s="1">
        <f t="shared" si="2"/>
        <v>117</v>
      </c>
      <c r="M32" s="28"/>
      <c r="N32" s="183"/>
      <c r="O32" s="183"/>
      <c r="P32" s="183"/>
      <c r="Q32" s="183"/>
      <c r="R32" s="183"/>
      <c r="S32" s="183"/>
      <c r="T32" s="183"/>
      <c r="U32" s="183"/>
      <c r="V32" s="183"/>
    </row>
    <row r="33" spans="1:22">
      <c r="A33" s="1">
        <f t="shared" si="3"/>
        <v>118</v>
      </c>
      <c r="B33" s="176" t="str">
        <f t="shared" si="0"/>
        <v>July</v>
      </c>
      <c r="C33" s="184">
        <f>'1-BaseTRR'!$F$1</f>
        <v>2024</v>
      </c>
      <c r="D33" s="198">
        <f t="shared" si="4"/>
        <v>98550311.261942178</v>
      </c>
      <c r="E33" s="198">
        <f t="shared" si="4"/>
        <v>1911328988.1187782</v>
      </c>
      <c r="F33" s="198">
        <f t="shared" si="4"/>
        <v>4562670.0542894481</v>
      </c>
      <c r="G33" s="198">
        <f t="shared" si="4"/>
        <v>4455474.6937215589</v>
      </c>
      <c r="H33" s="198">
        <f t="shared" si="4"/>
        <v>-61896075.77877643</v>
      </c>
      <c r="I33" s="198">
        <f t="shared" si="4"/>
        <v>1973225063.8975544</v>
      </c>
      <c r="J33" s="1">
        <f t="shared" si="2"/>
        <v>118</v>
      </c>
      <c r="M33" s="28"/>
      <c r="N33" s="183"/>
      <c r="O33" s="183"/>
      <c r="P33" s="183"/>
      <c r="Q33" s="183"/>
      <c r="R33" s="183"/>
      <c r="S33" s="183"/>
      <c r="T33" s="183"/>
      <c r="U33" s="183"/>
      <c r="V33" s="183"/>
    </row>
    <row r="34" spans="1:22">
      <c r="A34" s="1">
        <f t="shared" si="3"/>
        <v>119</v>
      </c>
      <c r="B34" s="176" t="str">
        <f t="shared" si="0"/>
        <v>August</v>
      </c>
      <c r="C34" s="184">
        <f>'1-BaseTRR'!$F$1</f>
        <v>2024</v>
      </c>
      <c r="D34" s="198">
        <f t="shared" si="4"/>
        <v>140050138.26468539</v>
      </c>
      <c r="E34" s="198">
        <f t="shared" si="4"/>
        <v>2051379126.3834634</v>
      </c>
      <c r="F34" s="198">
        <f t="shared" si="4"/>
        <v>4896993.7504880363</v>
      </c>
      <c r="G34" s="198">
        <f t="shared" si="4"/>
        <v>4580647.2848468143</v>
      </c>
      <c r="H34" s="198">
        <f t="shared" si="4"/>
        <v>-61579729.313135207</v>
      </c>
      <c r="I34" s="198">
        <f t="shared" si="4"/>
        <v>2112958855.6965985</v>
      </c>
      <c r="J34" s="1">
        <f t="shared" si="2"/>
        <v>119</v>
      </c>
      <c r="M34" s="28"/>
      <c r="N34" s="183"/>
      <c r="O34" s="183"/>
      <c r="P34" s="183"/>
      <c r="Q34" s="183"/>
      <c r="R34" s="183"/>
      <c r="S34" s="183"/>
      <c r="T34" s="183"/>
      <c r="U34" s="183"/>
      <c r="V34" s="183"/>
    </row>
    <row r="35" spans="1:22">
      <c r="A35" s="1">
        <f t="shared" si="3"/>
        <v>120</v>
      </c>
      <c r="B35" s="176" t="str">
        <f t="shared" si="0"/>
        <v>September</v>
      </c>
      <c r="C35" s="184">
        <f>'1-BaseTRR'!$F$1</f>
        <v>2024</v>
      </c>
      <c r="D35" s="198">
        <f t="shared" si="4"/>
        <v>98701983.515771031</v>
      </c>
      <c r="E35" s="198">
        <f t="shared" si="4"/>
        <v>2150081109.8992348</v>
      </c>
      <c r="F35" s="198">
        <f t="shared" si="4"/>
        <v>5132612.3108121958</v>
      </c>
      <c r="G35" s="198">
        <f t="shared" si="4"/>
        <v>4793983.6379899001</v>
      </c>
      <c r="H35" s="198">
        <f t="shared" si="4"/>
        <v>-61241100.64031291</v>
      </c>
      <c r="I35" s="198">
        <f t="shared" si="4"/>
        <v>2211322210.5395474</v>
      </c>
      <c r="J35" s="1">
        <f t="shared" si="2"/>
        <v>120</v>
      </c>
      <c r="M35" s="28"/>
      <c r="N35" s="183"/>
      <c r="O35" s="183"/>
      <c r="P35" s="183"/>
      <c r="Q35" s="183"/>
      <c r="R35" s="183"/>
      <c r="S35" s="183"/>
      <c r="T35" s="183"/>
      <c r="U35" s="183"/>
      <c r="V35" s="183"/>
    </row>
    <row r="36" spans="1:22">
      <c r="A36" s="1">
        <f t="shared" si="3"/>
        <v>121</v>
      </c>
      <c r="B36" s="176" t="str">
        <f t="shared" si="0"/>
        <v>October</v>
      </c>
      <c r="C36" s="184">
        <f>'1-BaseTRR'!$F$1</f>
        <v>2024</v>
      </c>
      <c r="D36" s="198">
        <f t="shared" si="4"/>
        <v>75330090.252181843</v>
      </c>
      <c r="E36" s="198">
        <f t="shared" si="4"/>
        <v>2225411200.1514163</v>
      </c>
      <c r="F36" s="198">
        <f t="shared" si="4"/>
        <v>5312438.1540433206</v>
      </c>
      <c r="G36" s="198">
        <f t="shared" si="4"/>
        <v>5050522.4507157803</v>
      </c>
      <c r="H36" s="198">
        <f t="shared" si="4"/>
        <v>-60979184.936985373</v>
      </c>
      <c r="I36" s="198">
        <f t="shared" si="4"/>
        <v>2286390385.0884018</v>
      </c>
      <c r="J36" s="1">
        <f t="shared" si="2"/>
        <v>121</v>
      </c>
      <c r="M36" s="28"/>
      <c r="N36" s="183"/>
      <c r="O36" s="183"/>
      <c r="P36" s="183"/>
      <c r="Q36" s="183"/>
      <c r="R36" s="183"/>
      <c r="S36" s="183"/>
      <c r="T36" s="183"/>
      <c r="U36" s="183"/>
      <c r="V36" s="183"/>
    </row>
    <row r="37" spans="1:22">
      <c r="A37" s="1">
        <f t="shared" si="3"/>
        <v>122</v>
      </c>
      <c r="B37" s="176" t="str">
        <f t="shared" si="0"/>
        <v>November</v>
      </c>
      <c r="C37" s="184">
        <f>'1-BaseTRR'!$F$1</f>
        <v>2024</v>
      </c>
      <c r="D37" s="198">
        <f t="shared" si="4"/>
        <v>125850537.83818357</v>
      </c>
      <c r="E37" s="198">
        <f t="shared" si="4"/>
        <v>2351261737.9896002</v>
      </c>
      <c r="F37" s="198">
        <f t="shared" si="4"/>
        <v>5612864.9690395556</v>
      </c>
      <c r="G37" s="198">
        <f t="shared" si="4"/>
        <v>4490682.7931886306</v>
      </c>
      <c r="H37" s="198">
        <f t="shared" si="4"/>
        <v>-59857002.761134446</v>
      </c>
      <c r="I37" s="198">
        <f t="shared" si="4"/>
        <v>2411118740.7507343</v>
      </c>
      <c r="J37" s="1">
        <f t="shared" si="2"/>
        <v>122</v>
      </c>
      <c r="M37" s="28"/>
      <c r="N37" s="183"/>
      <c r="O37" s="183"/>
      <c r="P37" s="183"/>
      <c r="Q37" s="183"/>
      <c r="R37" s="183"/>
      <c r="S37" s="183"/>
      <c r="T37" s="183"/>
      <c r="U37" s="183"/>
      <c r="V37" s="183"/>
    </row>
    <row r="38" spans="1:22">
      <c r="A38" s="1">
        <f t="shared" si="3"/>
        <v>123</v>
      </c>
      <c r="B38" s="185" t="str">
        <f t="shared" si="0"/>
        <v>December</v>
      </c>
      <c r="C38" s="186">
        <f>'1-BaseTRR'!$F$1</f>
        <v>2024</v>
      </c>
      <c r="D38" s="467">
        <f t="shared" si="4"/>
        <v>377359225.8425191</v>
      </c>
      <c r="E38" s="467">
        <f t="shared" si="4"/>
        <v>2728620963.832119</v>
      </c>
      <c r="F38" s="467">
        <f t="shared" si="4"/>
        <v>6513686.1516639842</v>
      </c>
      <c r="G38" s="467">
        <f t="shared" si="4"/>
        <v>4150690.5857558455</v>
      </c>
      <c r="H38" s="467">
        <f t="shared" si="4"/>
        <v>-57494007.195226304</v>
      </c>
      <c r="I38" s="467">
        <f t="shared" si="4"/>
        <v>2786114971.0273457</v>
      </c>
      <c r="J38" s="1">
        <f t="shared" si="2"/>
        <v>123</v>
      </c>
      <c r="M38" s="28"/>
      <c r="N38" s="183"/>
      <c r="O38" s="183"/>
      <c r="P38" s="183"/>
      <c r="Q38" s="183"/>
      <c r="R38" s="183"/>
      <c r="S38" s="183"/>
      <c r="T38" s="183"/>
      <c r="U38" s="183"/>
      <c r="V38" s="183"/>
    </row>
    <row r="39" spans="1:22" s="177" customFormat="1">
      <c r="A39" s="1">
        <f t="shared" si="3"/>
        <v>124</v>
      </c>
      <c r="C39" s="177" t="s">
        <v>1610</v>
      </c>
      <c r="D39" s="199"/>
      <c r="E39" s="199">
        <f>SUM(E26:E38)/13</f>
        <v>1854986238.6117949</v>
      </c>
      <c r="H39" s="198"/>
      <c r="I39" s="199">
        <f>SUM(I26:I38)/13</f>
        <v>1914181408.0794706</v>
      </c>
      <c r="J39" s="1">
        <f t="shared" si="2"/>
        <v>124</v>
      </c>
    </row>
    <row r="40" spans="1:22">
      <c r="A40" s="1">
        <v>125</v>
      </c>
      <c r="C40" s="544" t="s">
        <v>1372</v>
      </c>
      <c r="F40" s="199">
        <f>SUM(F27:F38)</f>
        <v>54557346.168243952</v>
      </c>
      <c r="J40" s="1">
        <v>125</v>
      </c>
      <c r="N40" s="183"/>
    </row>
    <row r="41" spans="1:22">
      <c r="A41" s="1"/>
      <c r="C41" s="544"/>
      <c r="F41" s="199"/>
      <c r="J41" s="1"/>
      <c r="N41" s="183"/>
    </row>
    <row r="42" spans="1:22">
      <c r="B42" s="179" t="s">
        <v>403</v>
      </c>
      <c r="C42" s="180"/>
      <c r="D42" s="180"/>
      <c r="E42" s="180"/>
      <c r="F42" s="187"/>
      <c r="G42" s="180"/>
      <c r="H42" s="180"/>
      <c r="I42" s="187"/>
    </row>
    <row r="43" spans="1:22">
      <c r="B43" s="176" t="s">
        <v>404</v>
      </c>
    </row>
    <row r="44" spans="1:22">
      <c r="B44" s="176" t="s">
        <v>1889</v>
      </c>
    </row>
    <row r="45" spans="1:22">
      <c r="B45" s="176" t="s">
        <v>1890</v>
      </c>
    </row>
    <row r="47" spans="1:22">
      <c r="A47" s="1"/>
      <c r="D47" s="174" t="s">
        <v>98</v>
      </c>
      <c r="E47" s="174" t="s">
        <v>99</v>
      </c>
      <c r="F47" s="174" t="s">
        <v>100</v>
      </c>
      <c r="G47" s="174" t="s">
        <v>101</v>
      </c>
      <c r="H47" s="174" t="s">
        <v>102</v>
      </c>
      <c r="I47" s="174" t="s">
        <v>103</v>
      </c>
      <c r="J47" s="1"/>
    </row>
    <row r="48" spans="1:22" ht="29">
      <c r="A48" s="1"/>
      <c r="D48" s="188" t="s">
        <v>123</v>
      </c>
      <c r="E48" s="188" t="s">
        <v>406</v>
      </c>
      <c r="F48" s="188" t="s">
        <v>1684</v>
      </c>
      <c r="G48" s="188" t="s">
        <v>124</v>
      </c>
      <c r="H48" s="188" t="s">
        <v>407</v>
      </c>
      <c r="I48" s="188" t="s">
        <v>408</v>
      </c>
      <c r="J48" s="1"/>
    </row>
    <row r="49" spans="1:13">
      <c r="A49" s="1"/>
      <c r="E49" s="1"/>
      <c r="F49" s="1"/>
      <c r="G49" s="1"/>
      <c r="H49" s="1"/>
      <c r="J49" s="1"/>
    </row>
    <row r="50" spans="1:13">
      <c r="A50" s="1"/>
      <c r="B50" s="820" t="str">
        <f>B13</f>
        <v>Forecast Period</v>
      </c>
      <c r="C50" s="820"/>
      <c r="D50" s="1" t="s">
        <v>391</v>
      </c>
      <c r="E50" s="1" t="s">
        <v>392</v>
      </c>
      <c r="F50" s="1" t="s">
        <v>393</v>
      </c>
      <c r="G50" s="1" t="s">
        <v>394</v>
      </c>
      <c r="H50" s="1" t="s">
        <v>392</v>
      </c>
      <c r="I50" s="1" t="s">
        <v>395</v>
      </c>
      <c r="J50" s="1"/>
    </row>
    <row r="51" spans="1:13">
      <c r="A51" s="182" t="s">
        <v>122</v>
      </c>
      <c r="B51" s="182" t="str">
        <f>B14</f>
        <v>Month</v>
      </c>
      <c r="C51" s="182" t="str">
        <f>C14</f>
        <v>Year</v>
      </c>
      <c r="D51" s="182" t="s">
        <v>401</v>
      </c>
      <c r="E51" s="182" t="s">
        <v>397</v>
      </c>
      <c r="F51" s="182" t="s">
        <v>398</v>
      </c>
      <c r="G51" s="182" t="s">
        <v>399</v>
      </c>
      <c r="H51" s="182" t="s">
        <v>400</v>
      </c>
      <c r="I51" s="182" t="s">
        <v>401</v>
      </c>
      <c r="J51" s="182" t="str">
        <f>A51</f>
        <v>Line</v>
      </c>
      <c r="M51" s="182"/>
    </row>
    <row r="52" spans="1:13">
      <c r="A52" s="1">
        <v>200</v>
      </c>
      <c r="B52" s="181" t="s">
        <v>112</v>
      </c>
      <c r="C52" s="156">
        <f>'1-BaseTRR'!$F$2+1</f>
        <v>2023</v>
      </c>
      <c r="D52" s="468">
        <v>16675589.980820369</v>
      </c>
      <c r="E52" s="198">
        <f>D52</f>
        <v>16675589.980820369</v>
      </c>
      <c r="F52" s="198">
        <f>E52*'12-DepRates'!$N$21/12</f>
        <v>39807.49285761892</v>
      </c>
      <c r="G52" s="468">
        <v>2304219.63894179</v>
      </c>
      <c r="H52" s="198">
        <f>F52-G52</f>
        <v>-2264412.1460841713</v>
      </c>
      <c r="I52" s="198">
        <f>E52-H52</f>
        <v>18940002.12690454</v>
      </c>
      <c r="J52" s="1">
        <f t="shared" ref="J52:J76" si="5">A52</f>
        <v>200</v>
      </c>
      <c r="L52" s="183"/>
    </row>
    <row r="53" spans="1:13">
      <c r="A53" s="1">
        <f t="shared" ref="A53:A112" si="6">A52+1</f>
        <v>201</v>
      </c>
      <c r="B53" s="181" t="s">
        <v>113</v>
      </c>
      <c r="C53" s="156">
        <f>'1-BaseTRR'!$F$2+1</f>
        <v>2023</v>
      </c>
      <c r="D53" s="468">
        <v>22357154.664427545</v>
      </c>
      <c r="E53" s="198">
        <f>E52+D53</f>
        <v>39032744.645247914</v>
      </c>
      <c r="F53" s="198">
        <f>E53*'12-DepRates'!$N$21/12</f>
        <v>93177.854904449327</v>
      </c>
      <c r="G53" s="468">
        <v>3073179.0535585629</v>
      </c>
      <c r="H53" s="198">
        <f>H52+F53-G53</f>
        <v>-5244413.3447382841</v>
      </c>
      <c r="I53" s="198">
        <f t="shared" ref="I53:I75" si="7">E53-H53</f>
        <v>44277157.989986196</v>
      </c>
      <c r="J53" s="1">
        <f t="shared" si="5"/>
        <v>201</v>
      </c>
      <c r="L53" s="183"/>
    </row>
    <row r="54" spans="1:13">
      <c r="A54" s="1">
        <f t="shared" si="6"/>
        <v>202</v>
      </c>
      <c r="B54" s="181" t="s">
        <v>114</v>
      </c>
      <c r="C54" s="156">
        <f>'1-BaseTRR'!$F$2+1</f>
        <v>2023</v>
      </c>
      <c r="D54" s="468">
        <v>43171312.76864779</v>
      </c>
      <c r="E54" s="198">
        <f t="shared" ref="E54:E75" si="8">E53+D54</f>
        <v>82204057.413895696</v>
      </c>
      <c r="F54" s="198">
        <f>E54*'12-DepRates'!$N$21/12</f>
        <v>196235.18161184504</v>
      </c>
      <c r="G54" s="468">
        <v>3018697.1278705485</v>
      </c>
      <c r="H54" s="198">
        <f t="shared" ref="H54:H75" si="9">H53+F54-G54</f>
        <v>-8066875.2909969874</v>
      </c>
      <c r="I54" s="198">
        <f>E54-H54</f>
        <v>90270932.70489268</v>
      </c>
      <c r="J54" s="1">
        <f t="shared" si="5"/>
        <v>202</v>
      </c>
      <c r="L54" s="183"/>
    </row>
    <row r="55" spans="1:13">
      <c r="A55" s="1">
        <f t="shared" si="6"/>
        <v>203</v>
      </c>
      <c r="B55" s="181" t="s">
        <v>115</v>
      </c>
      <c r="C55" s="156">
        <f>'1-BaseTRR'!$F$2+1</f>
        <v>2023</v>
      </c>
      <c r="D55" s="468">
        <v>147338174.37739632</v>
      </c>
      <c r="E55" s="198">
        <f t="shared" si="8"/>
        <v>229542231.79129201</v>
      </c>
      <c r="F55" s="198">
        <f>E55*'12-DepRates'!$N$21/12</f>
        <v>547956.66978280048</v>
      </c>
      <c r="G55" s="468">
        <v>3126368.8367966595</v>
      </c>
      <c r="H55" s="198">
        <f t="shared" si="9"/>
        <v>-10645287.458010847</v>
      </c>
      <c r="I55" s="198">
        <f t="shared" si="7"/>
        <v>240187519.24930286</v>
      </c>
      <c r="J55" s="1">
        <f t="shared" si="5"/>
        <v>203</v>
      </c>
      <c r="L55" s="183"/>
    </row>
    <row r="56" spans="1:13">
      <c r="A56" s="1">
        <f t="shared" si="6"/>
        <v>204</v>
      </c>
      <c r="B56" s="181" t="s">
        <v>89</v>
      </c>
      <c r="C56" s="156">
        <f>'1-BaseTRR'!$F$2+1</f>
        <v>2023</v>
      </c>
      <c r="D56" s="468">
        <v>69198072.648887321</v>
      </c>
      <c r="E56" s="198">
        <f t="shared" si="8"/>
        <v>298740304.44017935</v>
      </c>
      <c r="F56" s="198">
        <f>E56*'12-DepRates'!$N$21/12</f>
        <v>713144.33546058554</v>
      </c>
      <c r="G56" s="468">
        <v>3452426.3536368972</v>
      </c>
      <c r="H56" s="198">
        <f t="shared" si="9"/>
        <v>-13384569.476187158</v>
      </c>
      <c r="I56" s="198">
        <f t="shared" si="7"/>
        <v>312124873.91636652</v>
      </c>
      <c r="J56" s="1">
        <f t="shared" si="5"/>
        <v>204</v>
      </c>
      <c r="L56" s="183"/>
    </row>
    <row r="57" spans="1:13">
      <c r="A57" s="1">
        <f t="shared" si="6"/>
        <v>205</v>
      </c>
      <c r="B57" s="181" t="s">
        <v>116</v>
      </c>
      <c r="C57" s="156">
        <f>'1-BaseTRR'!$F$2+1</f>
        <v>2023</v>
      </c>
      <c r="D57" s="468">
        <v>130065168.31213123</v>
      </c>
      <c r="E57" s="198">
        <f t="shared" si="8"/>
        <v>428805472.75231057</v>
      </c>
      <c r="F57" s="198">
        <f>E57*'12-DepRates'!$N$21/12</f>
        <v>1023632.1961338936</v>
      </c>
      <c r="G57" s="468">
        <v>5401622.3564167954</v>
      </c>
      <c r="H57" s="198">
        <f t="shared" si="9"/>
        <v>-17762559.636470061</v>
      </c>
      <c r="I57" s="198">
        <f t="shared" si="7"/>
        <v>446568032.38878065</v>
      </c>
      <c r="J57" s="1">
        <f t="shared" si="5"/>
        <v>205</v>
      </c>
    </row>
    <row r="58" spans="1:13">
      <c r="A58" s="1">
        <f t="shared" si="6"/>
        <v>206</v>
      </c>
      <c r="B58" s="181" t="s">
        <v>117</v>
      </c>
      <c r="C58" s="156">
        <f>'1-BaseTRR'!$F$2+1</f>
        <v>2023</v>
      </c>
      <c r="D58" s="468">
        <v>18557803.667985521</v>
      </c>
      <c r="E58" s="198">
        <f t="shared" si="8"/>
        <v>447363276.42029607</v>
      </c>
      <c r="F58" s="198">
        <f>E58*'12-DepRates'!$N$21/12</f>
        <v>1067932.8558296582</v>
      </c>
      <c r="G58" s="468">
        <v>2356918.5090836701</v>
      </c>
      <c r="H58" s="198">
        <f t="shared" si="9"/>
        <v>-19051545.289724074</v>
      </c>
      <c r="I58" s="198">
        <f t="shared" si="7"/>
        <v>466414821.71002012</v>
      </c>
      <c r="J58" s="1">
        <f t="shared" si="5"/>
        <v>206</v>
      </c>
      <c r="L58" s="183"/>
    </row>
    <row r="59" spans="1:13">
      <c r="A59" s="1">
        <f t="shared" si="6"/>
        <v>207</v>
      </c>
      <c r="B59" s="181" t="s">
        <v>118</v>
      </c>
      <c r="C59" s="156">
        <f>'1-BaseTRR'!$F$2+1</f>
        <v>2023</v>
      </c>
      <c r="D59" s="468">
        <v>26968389.475252487</v>
      </c>
      <c r="E59" s="198">
        <f t="shared" si="8"/>
        <v>474331665.89554858</v>
      </c>
      <c r="F59" s="198">
        <f>E59*'12-DepRates'!$N$21/12</f>
        <v>1132311.0261164277</v>
      </c>
      <c r="G59" s="468">
        <v>3035800.9668500153</v>
      </c>
      <c r="H59" s="198">
        <f t="shared" si="9"/>
        <v>-20955035.230457664</v>
      </c>
      <c r="I59" s="198">
        <f t="shared" si="7"/>
        <v>495286701.12600625</v>
      </c>
      <c r="J59" s="1">
        <f t="shared" si="5"/>
        <v>207</v>
      </c>
      <c r="L59" s="183"/>
    </row>
    <row r="60" spans="1:13">
      <c r="A60" s="1">
        <f t="shared" si="6"/>
        <v>208</v>
      </c>
      <c r="B60" s="181" t="s">
        <v>119</v>
      </c>
      <c r="C60" s="156">
        <f>'1-BaseTRR'!$F$2+1</f>
        <v>2023</v>
      </c>
      <c r="D60" s="468">
        <v>22529352.072784312</v>
      </c>
      <c r="E60" s="198">
        <f t="shared" si="8"/>
        <v>496861017.96833289</v>
      </c>
      <c r="F60" s="198">
        <f>E60*'12-DepRates'!$N$21/12</f>
        <v>1186092.4529058638</v>
      </c>
      <c r="G60" s="468">
        <v>2283880.2709592436</v>
      </c>
      <c r="H60" s="198">
        <f t="shared" si="9"/>
        <v>-22052823.048511043</v>
      </c>
      <c r="I60" s="198">
        <f t="shared" si="7"/>
        <v>518913841.01684391</v>
      </c>
      <c r="J60" s="1">
        <f t="shared" si="5"/>
        <v>208</v>
      </c>
      <c r="L60" s="183"/>
    </row>
    <row r="61" spans="1:13">
      <c r="A61" s="1">
        <f t="shared" si="6"/>
        <v>209</v>
      </c>
      <c r="B61" s="181" t="s">
        <v>409</v>
      </c>
      <c r="C61" s="156">
        <f>'1-BaseTRR'!$F$2+1</f>
        <v>2023</v>
      </c>
      <c r="D61" s="468">
        <v>18776084.076793775</v>
      </c>
      <c r="E61" s="198">
        <f t="shared" si="8"/>
        <v>515637102.04512668</v>
      </c>
      <c r="F61" s="198">
        <f>E61*'12-DepRates'!$N$21/12</f>
        <v>1230914.1853687442</v>
      </c>
      <c r="G61" s="468">
        <v>2179956.5138005414</v>
      </c>
      <c r="H61" s="198">
        <f t="shared" si="9"/>
        <v>-23001865.376942843</v>
      </c>
      <c r="I61" s="198">
        <f t="shared" si="7"/>
        <v>538638967.42206955</v>
      </c>
      <c r="J61" s="1">
        <f t="shared" si="5"/>
        <v>209</v>
      </c>
      <c r="L61" s="183"/>
    </row>
    <row r="62" spans="1:13">
      <c r="A62" s="1">
        <f t="shared" si="6"/>
        <v>210</v>
      </c>
      <c r="B62" s="181" t="s">
        <v>121</v>
      </c>
      <c r="C62" s="156">
        <f>'1-BaseTRR'!$F$2+1</f>
        <v>2023</v>
      </c>
      <c r="D62" s="468">
        <v>28558892.857113134</v>
      </c>
      <c r="E62" s="198">
        <f t="shared" si="8"/>
        <v>544195994.9022398</v>
      </c>
      <c r="F62" s="198">
        <f>E62*'12-DepRates'!$N$21/12</f>
        <v>1299089.1599716581</v>
      </c>
      <c r="G62" s="468">
        <v>2053268.9057413344</v>
      </c>
      <c r="H62" s="198">
        <f t="shared" si="9"/>
        <v>-23756045.122712519</v>
      </c>
      <c r="I62" s="198">
        <f t="shared" si="7"/>
        <v>567952040.02495229</v>
      </c>
      <c r="J62" s="1">
        <f t="shared" si="5"/>
        <v>210</v>
      </c>
      <c r="L62" s="183"/>
    </row>
    <row r="63" spans="1:13">
      <c r="A63" s="1">
        <f t="shared" si="6"/>
        <v>211</v>
      </c>
      <c r="B63" s="181" t="s">
        <v>111</v>
      </c>
      <c r="C63" s="156">
        <f>'1-BaseTRR'!$F$2+1</f>
        <v>2023</v>
      </c>
      <c r="D63" s="468">
        <v>57723526.553956985</v>
      </c>
      <c r="E63" s="198">
        <f t="shared" si="8"/>
        <v>601919521.45619678</v>
      </c>
      <c r="F63" s="198">
        <f>E63*'12-DepRates'!$N$21/12</f>
        <v>1436885.1164359329</v>
      </c>
      <c r="G63" s="468">
        <v>1621408.2434501275</v>
      </c>
      <c r="H63" s="198">
        <f t="shared" si="9"/>
        <v>-23940568.249726713</v>
      </c>
      <c r="I63" s="198">
        <f t="shared" si="7"/>
        <v>625860089.70592356</v>
      </c>
      <c r="J63" s="1">
        <f t="shared" si="5"/>
        <v>211</v>
      </c>
      <c r="L63" s="183"/>
    </row>
    <row r="64" spans="1:13">
      <c r="A64" s="1">
        <f t="shared" si="6"/>
        <v>212</v>
      </c>
      <c r="B64" s="181" t="s">
        <v>112</v>
      </c>
      <c r="C64" s="156">
        <f>'1-BaseTRR'!$F$1</f>
        <v>2024</v>
      </c>
      <c r="D64" s="468">
        <v>18180688.187197454</v>
      </c>
      <c r="E64" s="198">
        <f t="shared" si="8"/>
        <v>620100209.64339423</v>
      </c>
      <c r="F64" s="198">
        <f>E64*'12-DepRates'!$N$21/12</f>
        <v>1480285.5368103161</v>
      </c>
      <c r="G64" s="468">
        <v>2485725.5948420009</v>
      </c>
      <c r="H64" s="198">
        <f t="shared" si="9"/>
        <v>-24946008.307758398</v>
      </c>
      <c r="I64" s="198">
        <f t="shared" si="7"/>
        <v>645046217.95115268</v>
      </c>
      <c r="J64" s="1">
        <f t="shared" si="5"/>
        <v>212</v>
      </c>
      <c r="L64" s="183"/>
    </row>
    <row r="65" spans="1:12">
      <c r="A65" s="1">
        <f t="shared" si="6"/>
        <v>213</v>
      </c>
      <c r="B65" s="181" t="s">
        <v>113</v>
      </c>
      <c r="C65" s="184">
        <f>'1-BaseTRR'!$F$1</f>
        <v>2024</v>
      </c>
      <c r="D65" s="468">
        <v>62198359.028782174</v>
      </c>
      <c r="E65" s="198">
        <f t="shared" si="8"/>
        <v>682298568.67217636</v>
      </c>
      <c r="F65" s="198">
        <f>E65*'12-DepRates'!$N$21/12</f>
        <v>1628763.6857478721</v>
      </c>
      <c r="G65" s="468">
        <v>2254404.9320763787</v>
      </c>
      <c r="H65" s="198">
        <f t="shared" si="9"/>
        <v>-25571649.554086905</v>
      </c>
      <c r="I65" s="198">
        <f t="shared" si="7"/>
        <v>707870218.22626328</v>
      </c>
      <c r="J65" s="1">
        <f t="shared" si="5"/>
        <v>213</v>
      </c>
      <c r="L65" s="183"/>
    </row>
    <row r="66" spans="1:12">
      <c r="A66" s="1">
        <f t="shared" si="6"/>
        <v>214</v>
      </c>
      <c r="B66" s="181" t="s">
        <v>114</v>
      </c>
      <c r="C66" s="184">
        <f>'1-BaseTRR'!$F$1</f>
        <v>2024</v>
      </c>
      <c r="D66" s="468">
        <v>40778200.891874164</v>
      </c>
      <c r="E66" s="198">
        <f t="shared" si="8"/>
        <v>723076769.56405056</v>
      </c>
      <c r="F66" s="198">
        <f>E66*'12-DepRates'!$N$21/12</f>
        <v>1726108.2440283804</v>
      </c>
      <c r="G66" s="468">
        <v>3463969.8173053642</v>
      </c>
      <c r="H66" s="198">
        <f t="shared" si="9"/>
        <v>-27309511.127363887</v>
      </c>
      <c r="I66" s="198">
        <f t="shared" si="7"/>
        <v>750386280.69141448</v>
      </c>
      <c r="J66" s="1">
        <f t="shared" si="5"/>
        <v>214</v>
      </c>
      <c r="L66" s="183"/>
    </row>
    <row r="67" spans="1:12">
      <c r="A67" s="1">
        <f t="shared" si="6"/>
        <v>215</v>
      </c>
      <c r="B67" s="181" t="s">
        <v>115</v>
      </c>
      <c r="C67" s="184">
        <f>'1-BaseTRR'!$F$1</f>
        <v>2024</v>
      </c>
      <c r="D67" s="468">
        <v>60641905.539679952</v>
      </c>
      <c r="E67" s="198">
        <f t="shared" si="8"/>
        <v>783718675.10373056</v>
      </c>
      <c r="F67" s="198">
        <f>E67*'12-DepRates'!$N$21/12</f>
        <v>1870870.8715827705</v>
      </c>
      <c r="G67" s="468">
        <v>2177706.2198300781</v>
      </c>
      <c r="H67" s="198">
        <f t="shared" si="9"/>
        <v>-27616346.475611195</v>
      </c>
      <c r="I67" s="198">
        <f t="shared" si="7"/>
        <v>811335021.57934177</v>
      </c>
      <c r="J67" s="1">
        <f t="shared" si="5"/>
        <v>215</v>
      </c>
      <c r="L67" s="183"/>
    </row>
    <row r="68" spans="1:12">
      <c r="A68" s="1">
        <f t="shared" si="6"/>
        <v>216</v>
      </c>
      <c r="B68" s="181" t="s">
        <v>89</v>
      </c>
      <c r="C68" s="184">
        <f>'1-BaseTRR'!$F$1</f>
        <v>2024</v>
      </c>
      <c r="D68" s="468">
        <v>51488456.570937864</v>
      </c>
      <c r="E68" s="198">
        <f t="shared" si="8"/>
        <v>835207131.67466843</v>
      </c>
      <c r="F68" s="198">
        <f>E68*'12-DepRates'!$N$21/12</f>
        <v>1993782.6467916137</v>
      </c>
      <c r="G68" s="468">
        <v>2177849.3499797792</v>
      </c>
      <c r="H68" s="198">
        <f t="shared" si="9"/>
        <v>-27800413.178799361</v>
      </c>
      <c r="I68" s="198">
        <f t="shared" si="7"/>
        <v>863007544.85346782</v>
      </c>
      <c r="J68" s="1">
        <f t="shared" si="5"/>
        <v>216</v>
      </c>
      <c r="L68" s="183"/>
    </row>
    <row r="69" spans="1:12">
      <c r="A69" s="1">
        <f t="shared" si="6"/>
        <v>217</v>
      </c>
      <c r="B69" s="181" t="s">
        <v>116</v>
      </c>
      <c r="C69" s="184">
        <f>'1-BaseTRR'!$F$1</f>
        <v>2024</v>
      </c>
      <c r="D69" s="468">
        <v>23172826.657267697</v>
      </c>
      <c r="E69" s="198">
        <f t="shared" si="8"/>
        <v>858379958.33193612</v>
      </c>
      <c r="F69" s="198">
        <f>E69*'12-DepRates'!$N$21/12</f>
        <v>2049100.1577589011</v>
      </c>
      <c r="G69" s="468">
        <v>1968312.8797495905</v>
      </c>
      <c r="H69" s="198">
        <f t="shared" si="9"/>
        <v>-27719625.900790051</v>
      </c>
      <c r="I69" s="198">
        <f t="shared" si="7"/>
        <v>886099584.23272622</v>
      </c>
      <c r="J69" s="1">
        <f t="shared" si="5"/>
        <v>217</v>
      </c>
      <c r="L69" s="183"/>
    </row>
    <row r="70" spans="1:12">
      <c r="A70" s="1">
        <f t="shared" si="6"/>
        <v>218</v>
      </c>
      <c r="B70" s="181" t="s">
        <v>117</v>
      </c>
      <c r="C70" s="184">
        <f>'1-BaseTRR'!$F$1</f>
        <v>2024</v>
      </c>
      <c r="D70" s="468">
        <v>36799582.855153695</v>
      </c>
      <c r="E70" s="198">
        <f t="shared" si="8"/>
        <v>895179541.1870898</v>
      </c>
      <c r="F70" s="198">
        <f>E70*'12-DepRates'!$N$21/12</f>
        <v>2136947.0725220223</v>
      </c>
      <c r="G70" s="468">
        <v>1716374.6628185962</v>
      </c>
      <c r="H70" s="198">
        <f t="shared" si="9"/>
        <v>-27299053.491086625</v>
      </c>
      <c r="I70" s="198">
        <f t="shared" si="7"/>
        <v>922478594.6781764</v>
      </c>
      <c r="J70" s="1">
        <f t="shared" si="5"/>
        <v>218</v>
      </c>
      <c r="L70" s="183"/>
    </row>
    <row r="71" spans="1:12">
      <c r="A71" s="1">
        <f t="shared" si="6"/>
        <v>219</v>
      </c>
      <c r="B71" s="181" t="s">
        <v>118</v>
      </c>
      <c r="C71" s="184">
        <f>'1-BaseTRR'!$F$1</f>
        <v>2024</v>
      </c>
      <c r="D71" s="468">
        <v>89420859.299033791</v>
      </c>
      <c r="E71" s="198">
        <f t="shared" si="8"/>
        <v>984600400.48612356</v>
      </c>
      <c r="F71" s="198">
        <f>E71*'12-DepRates'!$N$21/12</f>
        <v>2350409.9977895888</v>
      </c>
      <c r="G71" s="468">
        <v>1649895.0508095506</v>
      </c>
      <c r="H71" s="198">
        <f t="shared" si="9"/>
        <v>-26598538.544106588</v>
      </c>
      <c r="I71" s="198">
        <f t="shared" si="7"/>
        <v>1011198939.0302302</v>
      </c>
      <c r="J71" s="1">
        <f t="shared" si="5"/>
        <v>219</v>
      </c>
      <c r="L71" s="183"/>
    </row>
    <row r="72" spans="1:12">
      <c r="A72" s="1">
        <f t="shared" si="6"/>
        <v>220</v>
      </c>
      <c r="B72" s="181" t="s">
        <v>119</v>
      </c>
      <c r="C72" s="184">
        <f>'1-BaseTRR'!$F$1</f>
        <v>2024</v>
      </c>
      <c r="D72" s="468">
        <v>57027268.905176878</v>
      </c>
      <c r="E72" s="198">
        <f t="shared" si="8"/>
        <v>1041627669.3913004</v>
      </c>
      <c r="F72" s="198">
        <f>E72*'12-DepRates'!$N$21/12</f>
        <v>2486543.8678501588</v>
      </c>
      <c r="G72" s="468">
        <v>1572181.7433107255</v>
      </c>
      <c r="H72" s="198">
        <f t="shared" si="9"/>
        <v>-25684176.419567157</v>
      </c>
      <c r="I72" s="198">
        <f t="shared" si="7"/>
        <v>1067311845.8108675</v>
      </c>
      <c r="J72" s="1">
        <f t="shared" si="5"/>
        <v>220</v>
      </c>
      <c r="L72" s="183"/>
    </row>
    <row r="73" spans="1:12">
      <c r="A73" s="1">
        <f t="shared" si="6"/>
        <v>221</v>
      </c>
      <c r="B73" s="181" t="s">
        <v>120</v>
      </c>
      <c r="C73" s="184">
        <f>'1-BaseTRR'!$F$1</f>
        <v>2024</v>
      </c>
      <c r="D73" s="468">
        <v>17653430.230873507</v>
      </c>
      <c r="E73" s="198">
        <f t="shared" si="8"/>
        <v>1059281099.6221739</v>
      </c>
      <c r="F73" s="198">
        <f>E73*'12-DepRates'!$N$21/12</f>
        <v>2528685.6330672354</v>
      </c>
      <c r="G73" s="468">
        <v>1673938.0791716021</v>
      </c>
      <c r="H73" s="198">
        <f t="shared" si="9"/>
        <v>-24829428.865671523</v>
      </c>
      <c r="I73" s="198">
        <f t="shared" si="7"/>
        <v>1084110528.4878454</v>
      </c>
      <c r="J73" s="1">
        <f t="shared" si="5"/>
        <v>221</v>
      </c>
      <c r="L73" s="183"/>
    </row>
    <row r="74" spans="1:12">
      <c r="A74" s="1">
        <f t="shared" si="6"/>
        <v>222</v>
      </c>
      <c r="B74" s="181" t="s">
        <v>121</v>
      </c>
      <c r="C74" s="184">
        <f>'1-BaseTRR'!$F$1</f>
        <v>2024</v>
      </c>
      <c r="D74" s="468">
        <v>37141812.863691255</v>
      </c>
      <c r="E74" s="198">
        <f t="shared" si="8"/>
        <v>1096422912.4858651</v>
      </c>
      <c r="F74" s="198">
        <f>E74*'12-DepRates'!$N$21/12</f>
        <v>2617349.5095472247</v>
      </c>
      <c r="G74" s="468">
        <v>1455156.7779038781</v>
      </c>
      <c r="H74" s="198">
        <f t="shared" si="9"/>
        <v>-23667236.134028174</v>
      </c>
      <c r="I74" s="198">
        <f t="shared" si="7"/>
        <v>1120090148.6198933</v>
      </c>
      <c r="J74" s="1">
        <f t="shared" si="5"/>
        <v>222</v>
      </c>
      <c r="L74" s="183"/>
    </row>
    <row r="75" spans="1:12">
      <c r="A75" s="1">
        <f t="shared" si="6"/>
        <v>223</v>
      </c>
      <c r="B75" s="189" t="s">
        <v>111</v>
      </c>
      <c r="C75" s="186">
        <f>'1-BaseTRR'!$F$1</f>
        <v>2024</v>
      </c>
      <c r="D75" s="472">
        <v>198972197.9599542</v>
      </c>
      <c r="E75" s="467">
        <f t="shared" si="8"/>
        <v>1295395110.4458194</v>
      </c>
      <c r="F75" s="467">
        <f>E75*'12-DepRates'!$N$21/12</f>
        <v>3092330.2663459689</v>
      </c>
      <c r="G75" s="472">
        <v>1721566.0180773053</v>
      </c>
      <c r="H75" s="467">
        <f t="shared" si="9"/>
        <v>-22296471.88575951</v>
      </c>
      <c r="I75" s="467">
        <f t="shared" si="7"/>
        <v>1317691582.331579</v>
      </c>
      <c r="J75" s="1">
        <f t="shared" si="5"/>
        <v>223</v>
      </c>
      <c r="L75" s="183"/>
    </row>
    <row r="76" spans="1:12">
      <c r="A76" s="1">
        <f t="shared" si="6"/>
        <v>224</v>
      </c>
      <c r="B76" s="177"/>
      <c r="C76" s="1" t="s">
        <v>402</v>
      </c>
      <c r="D76" s="199"/>
      <c r="E76" s="199">
        <f>SUM(E63:E75)/13</f>
        <v>882862120.62034798</v>
      </c>
      <c r="F76" s="198"/>
      <c r="G76" s="198"/>
      <c r="H76" s="198"/>
      <c r="I76" s="199">
        <f>SUM(I63:I75)/13</f>
        <v>908652815.09222174</v>
      </c>
      <c r="J76" s="1">
        <f t="shared" si="5"/>
        <v>224</v>
      </c>
    </row>
    <row r="77" spans="1:12">
      <c r="A77" s="1"/>
      <c r="D77" s="190"/>
      <c r="J77" s="1"/>
    </row>
    <row r="78" spans="1:12">
      <c r="B78" s="179" t="s">
        <v>410</v>
      </c>
      <c r="C78" s="180"/>
      <c r="D78" s="191"/>
      <c r="E78" s="180"/>
      <c r="F78" s="180"/>
      <c r="G78" s="180"/>
      <c r="H78" s="180"/>
      <c r="I78" s="180"/>
    </row>
    <row r="79" spans="1:12">
      <c r="B79" s="176" t="s">
        <v>411</v>
      </c>
    </row>
    <row r="80" spans="1:12">
      <c r="B80" s="176" t="s">
        <v>405</v>
      </c>
    </row>
    <row r="81" spans="1:13">
      <c r="B81" s="176" t="s">
        <v>1291</v>
      </c>
    </row>
    <row r="83" spans="1:13">
      <c r="A83" s="1"/>
      <c r="D83" s="174" t="s">
        <v>98</v>
      </c>
      <c r="E83" s="174" t="s">
        <v>99</v>
      </c>
      <c r="F83" s="174" t="s">
        <v>100</v>
      </c>
      <c r="G83" s="174" t="s">
        <v>101</v>
      </c>
      <c r="H83" s="174" t="s">
        <v>102</v>
      </c>
      <c r="I83" s="174" t="s">
        <v>103</v>
      </c>
      <c r="J83" s="1"/>
    </row>
    <row r="84" spans="1:13" ht="29">
      <c r="A84" s="1"/>
      <c r="D84" s="188" t="s">
        <v>123</v>
      </c>
      <c r="E84" s="188" t="s">
        <v>406</v>
      </c>
      <c r="F84" s="188" t="s">
        <v>1684</v>
      </c>
      <c r="G84" s="188" t="s">
        <v>124</v>
      </c>
      <c r="H84" s="188" t="s">
        <v>407</v>
      </c>
      <c r="I84" s="188" t="s">
        <v>408</v>
      </c>
      <c r="J84" s="1"/>
    </row>
    <row r="85" spans="1:13">
      <c r="A85" s="1"/>
      <c r="E85" s="1"/>
      <c r="F85" s="1"/>
      <c r="G85" s="1"/>
      <c r="H85" s="1"/>
      <c r="I85" s="184"/>
      <c r="J85" s="1"/>
    </row>
    <row r="86" spans="1:13">
      <c r="A86" s="1"/>
      <c r="B86" s="820" t="str">
        <f>B13</f>
        <v>Forecast Period</v>
      </c>
      <c r="C86" s="820"/>
      <c r="D86" s="1" t="s">
        <v>391</v>
      </c>
      <c r="E86" s="1" t="s">
        <v>392</v>
      </c>
      <c r="F86" s="1" t="s">
        <v>393</v>
      </c>
      <c r="G86" s="1" t="s">
        <v>394</v>
      </c>
      <c r="H86" s="1" t="s">
        <v>392</v>
      </c>
      <c r="I86" s="1" t="s">
        <v>395</v>
      </c>
      <c r="J86" s="1"/>
    </row>
    <row r="87" spans="1:13">
      <c r="A87" s="182" t="s">
        <v>122</v>
      </c>
      <c r="B87" s="182" t="str">
        <f>B14</f>
        <v>Month</v>
      </c>
      <c r="C87" s="182" t="str">
        <f>C14</f>
        <v>Year</v>
      </c>
      <c r="D87" s="182" t="s">
        <v>401</v>
      </c>
      <c r="E87" s="182" t="s">
        <v>397</v>
      </c>
      <c r="F87" s="182" t="s">
        <v>398</v>
      </c>
      <c r="G87" s="182" t="s">
        <v>399</v>
      </c>
      <c r="H87" s="182" t="s">
        <v>400</v>
      </c>
      <c r="I87" s="182" t="s">
        <v>401</v>
      </c>
      <c r="J87" s="182" t="str">
        <f>A87</f>
        <v>Line</v>
      </c>
      <c r="L87" s="192"/>
      <c r="M87" s="182"/>
    </row>
    <row r="88" spans="1:13">
      <c r="A88" s="1">
        <v>300</v>
      </c>
      <c r="B88" s="181" t="str">
        <f t="shared" ref="B88:B111" si="10">B52</f>
        <v>January</v>
      </c>
      <c r="C88" s="156">
        <f>'1-BaseTRR'!$F$2+1</f>
        <v>2023</v>
      </c>
      <c r="D88" s="468">
        <v>38665154.121929929</v>
      </c>
      <c r="E88" s="198">
        <f>D88</f>
        <v>38665154.121929929</v>
      </c>
      <c r="F88" s="198">
        <f>E88*'12-DepRates'!$N$21/12</f>
        <v>92300.353289913401</v>
      </c>
      <c r="G88" s="468">
        <v>2762848.5730606033</v>
      </c>
      <c r="H88" s="198">
        <f>F88-G88</f>
        <v>-2670548.21977069</v>
      </c>
      <c r="I88" s="198">
        <f>E88-H88</f>
        <v>41335702.341700621</v>
      </c>
      <c r="J88" s="1">
        <f t="shared" ref="J88:J112" si="11">A88</f>
        <v>300</v>
      </c>
      <c r="K88" s="193"/>
      <c r="L88" s="194"/>
      <c r="M88" s="28"/>
    </row>
    <row r="89" spans="1:13">
      <c r="A89" s="1">
        <f t="shared" si="6"/>
        <v>301</v>
      </c>
      <c r="B89" s="181" t="str">
        <f t="shared" si="10"/>
        <v>February</v>
      </c>
      <c r="C89" s="156">
        <f>'1-BaseTRR'!$F$2+1</f>
        <v>2023</v>
      </c>
      <c r="D89" s="468">
        <v>46994964.559759714</v>
      </c>
      <c r="E89" s="198">
        <f>E88+D89</f>
        <v>85660118.68168965</v>
      </c>
      <c r="F89" s="198">
        <f>E89*'12-DepRates'!$N$21/12</f>
        <v>204485.3925124151</v>
      </c>
      <c r="G89" s="468">
        <v>3727301.4561146153</v>
      </c>
      <c r="H89" s="198">
        <f>H88+F89-G89</f>
        <v>-6193364.2833728902</v>
      </c>
      <c r="I89" s="198">
        <f t="shared" ref="I89:I110" si="12">E89-H89</f>
        <v>91853482.965062544</v>
      </c>
      <c r="J89" s="1">
        <f t="shared" si="11"/>
        <v>301</v>
      </c>
      <c r="K89" s="193"/>
      <c r="L89" s="194"/>
      <c r="M89" s="28"/>
    </row>
    <row r="90" spans="1:13">
      <c r="A90" s="1">
        <f t="shared" si="6"/>
        <v>302</v>
      </c>
      <c r="B90" s="181" t="str">
        <f t="shared" si="10"/>
        <v>March</v>
      </c>
      <c r="C90" s="156">
        <f>'1-BaseTRR'!$F$2+1</f>
        <v>2023</v>
      </c>
      <c r="D90" s="468">
        <v>40997195.88931448</v>
      </c>
      <c r="E90" s="198">
        <f t="shared" ref="E90:E111" si="13">E89+D90</f>
        <v>126657314.57100412</v>
      </c>
      <c r="F90" s="198">
        <f>E90*'12-DepRates'!$N$21/12</f>
        <v>302352.72940564336</v>
      </c>
      <c r="G90" s="468">
        <v>1960374.1649422711</v>
      </c>
      <c r="H90" s="198">
        <f t="shared" ref="H90:H111" si="14">H89+F90-G90</f>
        <v>-7851385.7189095179</v>
      </c>
      <c r="I90" s="198">
        <f t="shared" si="12"/>
        <v>134508700.28991365</v>
      </c>
      <c r="J90" s="1">
        <f t="shared" si="11"/>
        <v>302</v>
      </c>
      <c r="K90" s="193"/>
      <c r="L90" s="194"/>
      <c r="M90" s="28"/>
    </row>
    <row r="91" spans="1:13">
      <c r="A91" s="1">
        <f t="shared" si="6"/>
        <v>303</v>
      </c>
      <c r="B91" s="181" t="str">
        <f t="shared" si="10"/>
        <v>April</v>
      </c>
      <c r="C91" s="156">
        <f>'1-BaseTRR'!$F$2+1</f>
        <v>2023</v>
      </c>
      <c r="D91" s="468">
        <v>48246016.515471399</v>
      </c>
      <c r="E91" s="198">
        <f t="shared" si="13"/>
        <v>174903331.08647552</v>
      </c>
      <c r="F91" s="198">
        <f>E91*'12-DepRates'!$N$21/12</f>
        <v>417524.24418006156</v>
      </c>
      <c r="G91" s="468">
        <v>3227559.3689458072</v>
      </c>
      <c r="H91" s="198">
        <f>H90+F91-G91</f>
        <v>-10661420.843675263</v>
      </c>
      <c r="I91" s="198">
        <f t="shared" si="12"/>
        <v>185564751.93015078</v>
      </c>
      <c r="J91" s="1">
        <f t="shared" si="11"/>
        <v>303</v>
      </c>
      <c r="K91" s="193"/>
      <c r="L91" s="194"/>
      <c r="M91" s="28"/>
    </row>
    <row r="92" spans="1:13">
      <c r="A92" s="1">
        <f t="shared" si="6"/>
        <v>304</v>
      </c>
      <c r="B92" s="181" t="str">
        <f t="shared" si="10"/>
        <v>May</v>
      </c>
      <c r="C92" s="156">
        <f>'1-BaseTRR'!$F$2+1</f>
        <v>2023</v>
      </c>
      <c r="D92" s="468">
        <v>53403887.480250195</v>
      </c>
      <c r="E92" s="198">
        <f t="shared" si="13"/>
        <v>228307218.56672573</v>
      </c>
      <c r="F92" s="198">
        <f>E92*'12-DepRates'!$N$21/12</f>
        <v>545008.48143249133</v>
      </c>
      <c r="G92" s="468">
        <v>3292277.4363410547</v>
      </c>
      <c r="H92" s="198">
        <f t="shared" si="14"/>
        <v>-13408689.798583826</v>
      </c>
      <c r="I92" s="198">
        <f t="shared" si="12"/>
        <v>241715908.36530957</v>
      </c>
      <c r="J92" s="1">
        <f t="shared" si="11"/>
        <v>304</v>
      </c>
      <c r="K92" s="193"/>
      <c r="L92" s="194"/>
      <c r="M92" s="28"/>
    </row>
    <row r="93" spans="1:13">
      <c r="A93" s="1">
        <f t="shared" si="6"/>
        <v>305</v>
      </c>
      <c r="B93" s="181" t="str">
        <f t="shared" si="10"/>
        <v xml:space="preserve">June </v>
      </c>
      <c r="C93" s="156">
        <f>'1-BaseTRR'!$F$2+1</f>
        <v>2023</v>
      </c>
      <c r="D93" s="468">
        <v>116212742.5663428</v>
      </c>
      <c r="E93" s="198">
        <f t="shared" si="13"/>
        <v>344519961.13306856</v>
      </c>
      <c r="F93" s="198">
        <f>E93*'12-DepRates'!$N$21/12</f>
        <v>822428.22640072368</v>
      </c>
      <c r="G93" s="468">
        <v>6612437.3109417558</v>
      </c>
      <c r="H93" s="198">
        <f t="shared" si="14"/>
        <v>-19198698.883124858</v>
      </c>
      <c r="I93" s="198">
        <f>E93-H93</f>
        <v>363718660.01619339</v>
      </c>
      <c r="J93" s="1">
        <f t="shared" si="11"/>
        <v>305</v>
      </c>
      <c r="K93" s="193"/>
      <c r="L93" s="194"/>
      <c r="M93" s="28"/>
    </row>
    <row r="94" spans="1:13">
      <c r="A94" s="1">
        <f t="shared" si="6"/>
        <v>306</v>
      </c>
      <c r="B94" s="181" t="str">
        <f t="shared" si="10"/>
        <v>July</v>
      </c>
      <c r="C94" s="156">
        <f>'1-BaseTRR'!$F$2+1</f>
        <v>2023</v>
      </c>
      <c r="D94" s="468">
        <v>23328420.350015111</v>
      </c>
      <c r="E94" s="198">
        <f t="shared" si="13"/>
        <v>367848381.48308367</v>
      </c>
      <c r="F94" s="198">
        <f>E94*'12-DepRates'!$N$21/12</f>
        <v>878117.16619420936</v>
      </c>
      <c r="G94" s="468">
        <v>1726728.6247332285</v>
      </c>
      <c r="H94" s="198">
        <f t="shared" si="14"/>
        <v>-20047310.341663878</v>
      </c>
      <c r="I94" s="198">
        <f t="shared" si="12"/>
        <v>387895691.82474756</v>
      </c>
      <c r="J94" s="1">
        <f t="shared" si="11"/>
        <v>306</v>
      </c>
      <c r="K94" s="193"/>
      <c r="L94" s="194"/>
      <c r="M94" s="28"/>
    </row>
    <row r="95" spans="1:13">
      <c r="A95" s="1">
        <f t="shared" si="6"/>
        <v>307</v>
      </c>
      <c r="B95" s="181" t="str">
        <f t="shared" si="10"/>
        <v>August</v>
      </c>
      <c r="C95" s="156">
        <f>'1-BaseTRR'!$F$2+1</f>
        <v>2023</v>
      </c>
      <c r="D95" s="468">
        <v>37545713.280282132</v>
      </c>
      <c r="E95" s="198">
        <f t="shared" si="13"/>
        <v>405394094.76336581</v>
      </c>
      <c r="F95" s="198">
        <f>E95*'12-DepRates'!$N$21/12</f>
        <v>967745.22223049181</v>
      </c>
      <c r="G95" s="468">
        <v>3429287.6293052472</v>
      </c>
      <c r="H95" s="198">
        <f t="shared" si="14"/>
        <v>-22508852.748738635</v>
      </c>
      <c r="I95" s="198">
        <f t="shared" si="12"/>
        <v>427902947.51210445</v>
      </c>
      <c r="J95" s="1">
        <f t="shared" si="11"/>
        <v>307</v>
      </c>
      <c r="K95" s="193"/>
      <c r="L95" s="194"/>
      <c r="M95" s="28"/>
    </row>
    <row r="96" spans="1:13">
      <c r="A96" s="1">
        <f t="shared" si="6"/>
        <v>308</v>
      </c>
      <c r="B96" s="181" t="str">
        <f t="shared" si="10"/>
        <v>September</v>
      </c>
      <c r="C96" s="156">
        <f>'1-BaseTRR'!$F$2+1</f>
        <v>2023</v>
      </c>
      <c r="D96" s="468">
        <v>80226380.245244339</v>
      </c>
      <c r="E96" s="198">
        <f t="shared" si="13"/>
        <v>485620475.00861013</v>
      </c>
      <c r="F96" s="198">
        <f>E96*'12-DepRates'!$N$21/12</f>
        <v>1159259.3493035582</v>
      </c>
      <c r="G96" s="468">
        <v>3090836.3489290364</v>
      </c>
      <c r="H96" s="198">
        <f t="shared" si="14"/>
        <v>-24440429.748364113</v>
      </c>
      <c r="I96" s="198">
        <f t="shared" si="12"/>
        <v>510060904.75697422</v>
      </c>
      <c r="J96" s="1">
        <f t="shared" si="11"/>
        <v>308</v>
      </c>
      <c r="K96" s="193"/>
      <c r="L96" s="194"/>
      <c r="M96" s="28"/>
    </row>
    <row r="97" spans="1:13">
      <c r="A97" s="1">
        <f t="shared" si="6"/>
        <v>309</v>
      </c>
      <c r="B97" s="181" t="str">
        <f t="shared" si="10"/>
        <v xml:space="preserve">October </v>
      </c>
      <c r="C97" s="156">
        <f>'1-BaseTRR'!$F$2+1</f>
        <v>2023</v>
      </c>
      <c r="D97" s="468">
        <v>68798291.318788111</v>
      </c>
      <c r="E97" s="198">
        <f t="shared" si="13"/>
        <v>554418766.3273983</v>
      </c>
      <c r="F97" s="198">
        <f>E97*'12-DepRates'!$N$21/12</f>
        <v>1323492.6683908575</v>
      </c>
      <c r="G97" s="468">
        <v>3110150.8537838282</v>
      </c>
      <c r="H97" s="198">
        <f t="shared" si="14"/>
        <v>-26227087.933757082</v>
      </c>
      <c r="I97" s="198">
        <f t="shared" si="12"/>
        <v>580645854.26115537</v>
      </c>
      <c r="J97" s="1">
        <f t="shared" si="11"/>
        <v>309</v>
      </c>
      <c r="K97" s="193"/>
      <c r="L97" s="194"/>
      <c r="M97" s="28"/>
    </row>
    <row r="98" spans="1:13">
      <c r="A98" s="1">
        <f t="shared" si="6"/>
        <v>310</v>
      </c>
      <c r="B98" s="181" t="str">
        <f t="shared" si="10"/>
        <v>November</v>
      </c>
      <c r="C98" s="156">
        <f>'1-BaseTRR'!$F$2+1</f>
        <v>2023</v>
      </c>
      <c r="D98" s="468">
        <v>31539459.717647847</v>
      </c>
      <c r="E98" s="198">
        <f t="shared" si="13"/>
        <v>585958226.04504609</v>
      </c>
      <c r="F98" s="198">
        <f>E98*'12-DepRates'!$N$21/12</f>
        <v>1398782.7672052002</v>
      </c>
      <c r="G98" s="468">
        <v>2735472.9380707787</v>
      </c>
      <c r="H98" s="198">
        <f t="shared" si="14"/>
        <v>-27563778.104622658</v>
      </c>
      <c r="I98" s="198">
        <f t="shared" si="12"/>
        <v>613522004.14966869</v>
      </c>
      <c r="J98" s="1">
        <f t="shared" si="11"/>
        <v>310</v>
      </c>
      <c r="K98" s="193"/>
      <c r="L98" s="194"/>
      <c r="M98" s="28"/>
    </row>
    <row r="99" spans="1:13">
      <c r="A99" s="1">
        <f t="shared" si="6"/>
        <v>311</v>
      </c>
      <c r="B99" s="181" t="str">
        <f t="shared" si="10"/>
        <v>December</v>
      </c>
      <c r="C99" s="156">
        <f>'1-BaseTRR'!$F$2+1</f>
        <v>2023</v>
      </c>
      <c r="D99" s="468">
        <v>72554146.939071789</v>
      </c>
      <c r="E99" s="198">
        <f t="shared" si="13"/>
        <v>658512372.98411787</v>
      </c>
      <c r="F99" s="198">
        <f>E99*'12-DepRates'!$N$21/12</f>
        <v>1571981.9577219749</v>
      </c>
      <c r="G99" s="468">
        <v>2606469.4913910013</v>
      </c>
      <c r="H99" s="198">
        <f t="shared" si="14"/>
        <v>-28598265.638291687</v>
      </c>
      <c r="I99" s="198">
        <f t="shared" si="12"/>
        <v>687110638.62240958</v>
      </c>
      <c r="J99" s="1">
        <f t="shared" si="11"/>
        <v>311</v>
      </c>
      <c r="K99" s="193"/>
      <c r="L99" s="194"/>
      <c r="M99" s="28"/>
    </row>
    <row r="100" spans="1:13">
      <c r="A100" s="1">
        <f t="shared" si="6"/>
        <v>312</v>
      </c>
      <c r="B100" s="181" t="str">
        <f t="shared" si="10"/>
        <v>January</v>
      </c>
      <c r="C100" s="156">
        <f>'1-BaseTRR'!$F$1</f>
        <v>2024</v>
      </c>
      <c r="D100" s="468">
        <v>36928444.558848783</v>
      </c>
      <c r="E100" s="198">
        <f t="shared" si="13"/>
        <v>695440817.5429666</v>
      </c>
      <c r="F100" s="198">
        <f>E100*'12-DepRates'!$N$21/12</f>
        <v>1660136.4874693556</v>
      </c>
      <c r="G100" s="468">
        <v>2861213.3747425703</v>
      </c>
      <c r="H100" s="198">
        <f t="shared" si="14"/>
        <v>-29799342.525564902</v>
      </c>
      <c r="I100" s="198">
        <f t="shared" si="12"/>
        <v>725240160.06853151</v>
      </c>
      <c r="J100" s="1">
        <f t="shared" si="11"/>
        <v>312</v>
      </c>
      <c r="K100" s="193"/>
      <c r="L100" s="194"/>
      <c r="M100" s="28"/>
    </row>
    <row r="101" spans="1:13">
      <c r="A101" s="1">
        <f t="shared" si="6"/>
        <v>313</v>
      </c>
      <c r="B101" s="181" t="str">
        <f t="shared" si="10"/>
        <v>February</v>
      </c>
      <c r="C101" s="184">
        <f>'1-BaseTRR'!$F$1</f>
        <v>2024</v>
      </c>
      <c r="D101" s="468">
        <v>44028585.324098639</v>
      </c>
      <c r="E101" s="198">
        <f t="shared" si="13"/>
        <v>739469402.86706519</v>
      </c>
      <c r="F101" s="198">
        <f>E101*'12-DepRates'!$N$21/12</f>
        <v>1765240.2707739326</v>
      </c>
      <c r="G101" s="468">
        <v>2809093.4641630175</v>
      </c>
      <c r="H101" s="198">
        <f t="shared" si="14"/>
        <v>-30843195.718953986</v>
      </c>
      <c r="I101" s="198">
        <f t="shared" si="12"/>
        <v>770312598.58601916</v>
      </c>
      <c r="J101" s="1">
        <f t="shared" si="11"/>
        <v>313</v>
      </c>
      <c r="K101" s="193"/>
      <c r="L101" s="194"/>
      <c r="M101" s="28"/>
    </row>
    <row r="102" spans="1:13">
      <c r="A102" s="1">
        <f t="shared" si="6"/>
        <v>314</v>
      </c>
      <c r="B102" s="181" t="str">
        <f t="shared" si="10"/>
        <v>March</v>
      </c>
      <c r="C102" s="184">
        <f>'1-BaseTRR'!$F$1</f>
        <v>2024</v>
      </c>
      <c r="D102" s="468">
        <v>47567371.274749488</v>
      </c>
      <c r="E102" s="198">
        <f t="shared" si="13"/>
        <v>787036774.14181471</v>
      </c>
      <c r="F102" s="198">
        <f>E102*'12-DepRates'!$N$21/12</f>
        <v>1878791.7429829023</v>
      </c>
      <c r="G102" s="468">
        <v>2769652.9802943352</v>
      </c>
      <c r="H102" s="198">
        <f t="shared" si="14"/>
        <v>-31734056.95626542</v>
      </c>
      <c r="I102" s="198">
        <f t="shared" si="12"/>
        <v>818770831.09808016</v>
      </c>
      <c r="J102" s="1">
        <f t="shared" si="11"/>
        <v>314</v>
      </c>
      <c r="K102" s="193"/>
      <c r="L102" s="194"/>
      <c r="M102" s="28"/>
    </row>
    <row r="103" spans="1:13">
      <c r="A103" s="1">
        <f t="shared" si="6"/>
        <v>315</v>
      </c>
      <c r="B103" s="181" t="str">
        <f t="shared" si="10"/>
        <v>April</v>
      </c>
      <c r="C103" s="184">
        <f>'1-BaseTRR'!$F$1</f>
        <v>2024</v>
      </c>
      <c r="D103" s="468">
        <v>59025234.100590721</v>
      </c>
      <c r="E103" s="198">
        <f t="shared" si="13"/>
        <v>846062008.24240541</v>
      </c>
      <c r="F103" s="198">
        <f>E103*'12-DepRates'!$N$21/12</f>
        <v>2019695.0985811763</v>
      </c>
      <c r="G103" s="468">
        <v>2997320.153332226</v>
      </c>
      <c r="H103" s="198">
        <f t="shared" si="14"/>
        <v>-32711682.011016469</v>
      </c>
      <c r="I103" s="198">
        <f t="shared" si="12"/>
        <v>878773690.2534219</v>
      </c>
      <c r="J103" s="1">
        <f t="shared" si="11"/>
        <v>315</v>
      </c>
      <c r="K103" s="193"/>
      <c r="L103" s="194"/>
      <c r="M103" s="28"/>
    </row>
    <row r="104" spans="1:13">
      <c r="A104" s="1">
        <f t="shared" si="6"/>
        <v>316</v>
      </c>
      <c r="B104" s="181" t="str">
        <f t="shared" si="10"/>
        <v>May</v>
      </c>
      <c r="C104" s="184">
        <f>'1-BaseTRR'!$F$1</f>
        <v>2024</v>
      </c>
      <c r="D104" s="468">
        <v>65055038.586894654</v>
      </c>
      <c r="E104" s="198">
        <f t="shared" si="13"/>
        <v>911117046.82930005</v>
      </c>
      <c r="F104" s="198">
        <f>E104*'12-DepRates'!$N$21/12</f>
        <v>2174992.6314947633</v>
      </c>
      <c r="G104" s="468">
        <v>3079102.1919116098</v>
      </c>
      <c r="H104" s="198">
        <f t="shared" si="14"/>
        <v>-33615791.571433313</v>
      </c>
      <c r="I104" s="198">
        <f t="shared" si="12"/>
        <v>944732838.40073335</v>
      </c>
      <c r="J104" s="1">
        <f t="shared" si="11"/>
        <v>316</v>
      </c>
      <c r="K104" s="193"/>
      <c r="L104" s="194"/>
      <c r="M104" s="28"/>
    </row>
    <row r="105" spans="1:13">
      <c r="A105" s="1">
        <f t="shared" si="6"/>
        <v>317</v>
      </c>
      <c r="B105" s="181" t="str">
        <f t="shared" si="10"/>
        <v xml:space="preserve">June </v>
      </c>
      <c r="C105" s="184">
        <f>'1-BaseTRR'!$F$1</f>
        <v>2024</v>
      </c>
      <c r="D105" s="468">
        <v>43281671.695599824</v>
      </c>
      <c r="E105" s="198">
        <f t="shared" si="13"/>
        <v>954398718.52489984</v>
      </c>
      <c r="F105" s="198">
        <f>E105*'12-DepRates'!$N$21/12</f>
        <v>2278313.4038854283</v>
      </c>
      <c r="G105" s="468">
        <v>2946167.0710063837</v>
      </c>
      <c r="H105" s="198">
        <f t="shared" si="14"/>
        <v>-34283645.238554269</v>
      </c>
      <c r="I105" s="198">
        <f t="shared" si="12"/>
        <v>988682363.76345408</v>
      </c>
      <c r="J105" s="1">
        <f t="shared" si="11"/>
        <v>317</v>
      </c>
      <c r="K105" s="193"/>
      <c r="L105" s="194"/>
      <c r="M105" s="28"/>
    </row>
    <row r="106" spans="1:13">
      <c r="A106" s="1">
        <f t="shared" si="6"/>
        <v>318</v>
      </c>
      <c r="B106" s="181" t="str">
        <f t="shared" si="10"/>
        <v>July</v>
      </c>
      <c r="C106" s="184">
        <f>'1-BaseTRR'!$F$1</f>
        <v>2024</v>
      </c>
      <c r="D106" s="468">
        <v>61750728.406788483</v>
      </c>
      <c r="E106" s="198">
        <f t="shared" si="13"/>
        <v>1016149446.9316883</v>
      </c>
      <c r="F106" s="198">
        <f>E106*'12-DepRates'!$N$21/12</f>
        <v>2425722.9817674258</v>
      </c>
      <c r="G106" s="468">
        <v>2739100.0309029622</v>
      </c>
      <c r="H106" s="198">
        <f t="shared" si="14"/>
        <v>-34597022.287689805</v>
      </c>
      <c r="I106" s="198">
        <f t="shared" si="12"/>
        <v>1050746469.2193781</v>
      </c>
      <c r="J106" s="1">
        <f t="shared" si="11"/>
        <v>318</v>
      </c>
      <c r="K106" s="193"/>
      <c r="L106" s="194"/>
      <c r="M106" s="28"/>
    </row>
    <row r="107" spans="1:13">
      <c r="A107" s="1">
        <f t="shared" si="6"/>
        <v>319</v>
      </c>
      <c r="B107" s="181" t="str">
        <f t="shared" si="10"/>
        <v>August</v>
      </c>
      <c r="C107" s="184">
        <f>'1-BaseTRR'!$F$1</f>
        <v>2024</v>
      </c>
      <c r="D107" s="468">
        <v>50629278.965651616</v>
      </c>
      <c r="E107" s="198">
        <f t="shared" si="13"/>
        <v>1066778725.8973399</v>
      </c>
      <c r="F107" s="198">
        <f>E107*'12-DepRates'!$N$21/12</f>
        <v>2546583.7526984476</v>
      </c>
      <c r="G107" s="468">
        <v>2930752.2340372633</v>
      </c>
      <c r="H107" s="198">
        <f t="shared" si="14"/>
        <v>-34981190.769028619</v>
      </c>
      <c r="I107" s="198">
        <f t="shared" si="12"/>
        <v>1101759916.6663685</v>
      </c>
      <c r="J107" s="1">
        <f t="shared" si="11"/>
        <v>319</v>
      </c>
      <c r="K107" s="193"/>
      <c r="L107" s="194"/>
      <c r="M107" s="28"/>
    </row>
    <row r="108" spans="1:13">
      <c r="A108" s="1">
        <f t="shared" si="6"/>
        <v>320</v>
      </c>
      <c r="B108" s="181" t="str">
        <f t="shared" si="10"/>
        <v>September</v>
      </c>
      <c r="C108" s="184">
        <f>'1-BaseTRR'!$F$1</f>
        <v>2024</v>
      </c>
      <c r="D108" s="468">
        <v>41674714.610594146</v>
      </c>
      <c r="E108" s="198">
        <f t="shared" si="13"/>
        <v>1108453440.5079341</v>
      </c>
      <c r="F108" s="198">
        <f>E108*'12-DepRates'!$N$21/12</f>
        <v>2646068.4429620374</v>
      </c>
      <c r="G108" s="468">
        <v>3221801.8946791748</v>
      </c>
      <c r="H108" s="198">
        <f t="shared" si="14"/>
        <v>-35556924.220745757</v>
      </c>
      <c r="I108" s="198">
        <f t="shared" si="12"/>
        <v>1144010364.7286799</v>
      </c>
      <c r="J108" s="1">
        <f t="shared" si="11"/>
        <v>320</v>
      </c>
      <c r="K108" s="193"/>
      <c r="L108" s="194"/>
      <c r="M108" s="28"/>
    </row>
    <row r="109" spans="1:13">
      <c r="A109" s="1">
        <f t="shared" si="6"/>
        <v>321</v>
      </c>
      <c r="B109" s="181" t="str">
        <f t="shared" si="10"/>
        <v>October</v>
      </c>
      <c r="C109" s="184">
        <f>'1-BaseTRR'!$F$1</f>
        <v>2024</v>
      </c>
      <c r="D109" s="468">
        <v>57676660.021308333</v>
      </c>
      <c r="E109" s="198">
        <f t="shared" si="13"/>
        <v>1166130100.5292425</v>
      </c>
      <c r="F109" s="198">
        <f>E109*'12-DepRates'!$N$21/12</f>
        <v>2783752.5209760852</v>
      </c>
      <c r="G109" s="468">
        <v>3376584.3715441786</v>
      </c>
      <c r="H109" s="198">
        <f t="shared" si="14"/>
        <v>-36149756.071313851</v>
      </c>
      <c r="I109" s="198">
        <f t="shared" si="12"/>
        <v>1202279856.6005564</v>
      </c>
      <c r="J109" s="1">
        <f t="shared" si="11"/>
        <v>321</v>
      </c>
      <c r="K109" s="193"/>
      <c r="L109" s="194"/>
      <c r="M109" s="28"/>
    </row>
    <row r="110" spans="1:13">
      <c r="A110" s="1">
        <f t="shared" si="6"/>
        <v>322</v>
      </c>
      <c r="B110" s="181" t="str">
        <f t="shared" si="10"/>
        <v>November</v>
      </c>
      <c r="C110" s="184">
        <f>'1-BaseTRR'!$F$1</f>
        <v>2024</v>
      </c>
      <c r="D110" s="468">
        <v>88708724.974492311</v>
      </c>
      <c r="E110" s="198">
        <f t="shared" si="13"/>
        <v>1254838825.5037348</v>
      </c>
      <c r="F110" s="198">
        <f>E110*'12-DepRates'!$N$21/12</f>
        <v>2995515.4594923309</v>
      </c>
      <c r="G110" s="468">
        <v>3035526.0152847525</v>
      </c>
      <c r="H110" s="198">
        <f t="shared" si="14"/>
        <v>-36189766.627106272</v>
      </c>
      <c r="I110" s="198">
        <f t="shared" si="12"/>
        <v>1291028592.130841</v>
      </c>
      <c r="J110" s="1">
        <f t="shared" si="11"/>
        <v>322</v>
      </c>
      <c r="K110" s="193"/>
      <c r="L110" s="194"/>
      <c r="M110" s="28"/>
    </row>
    <row r="111" spans="1:13">
      <c r="A111" s="1">
        <f t="shared" si="6"/>
        <v>323</v>
      </c>
      <c r="B111" s="189" t="str">
        <f t="shared" si="10"/>
        <v>December</v>
      </c>
      <c r="C111" s="186">
        <f>'1-BaseTRR'!$F$1</f>
        <v>2024</v>
      </c>
      <c r="D111" s="472">
        <v>178387027.8825649</v>
      </c>
      <c r="E111" s="467">
        <f t="shared" si="13"/>
        <v>1433225853.3862996</v>
      </c>
      <c r="F111" s="467">
        <f>E111*'12-DepRates'!$N$21/12</f>
        <v>3421355.8853180152</v>
      </c>
      <c r="G111" s="472">
        <v>2429124.56767854</v>
      </c>
      <c r="H111" s="467">
        <f t="shared" si="14"/>
        <v>-35197535.309466794</v>
      </c>
      <c r="I111" s="467">
        <f>E111-H111</f>
        <v>1468423388.6957664</v>
      </c>
      <c r="J111" s="1">
        <f t="shared" si="11"/>
        <v>323</v>
      </c>
      <c r="K111" s="193"/>
      <c r="L111" s="194"/>
      <c r="M111" s="28"/>
    </row>
    <row r="112" spans="1:13">
      <c r="A112" s="1">
        <f t="shared" si="6"/>
        <v>324</v>
      </c>
      <c r="B112" s="177"/>
      <c r="C112" s="1" t="s">
        <v>402</v>
      </c>
      <c r="D112" s="198"/>
      <c r="E112" s="199">
        <f>SUM(E99:E111)/13</f>
        <v>972124117.99144685</v>
      </c>
      <c r="F112" s="198"/>
      <c r="G112" s="198"/>
      <c r="H112" s="198"/>
      <c r="I112" s="199">
        <f>SUM(I99:I111)/13</f>
        <v>1005528592.9872493</v>
      </c>
      <c r="J112" s="1">
        <f t="shared" si="11"/>
        <v>324</v>
      </c>
    </row>
    <row r="113" spans="1:10">
      <c r="A113" s="1"/>
      <c r="D113" s="195"/>
      <c r="F113" s="183"/>
      <c r="I113" s="183"/>
      <c r="J113" s="1"/>
    </row>
    <row r="114" spans="1:10">
      <c r="A114" s="1"/>
      <c r="J114" s="1"/>
    </row>
    <row r="115" spans="1:10">
      <c r="A115" s="1"/>
      <c r="B115" s="16" t="s">
        <v>125</v>
      </c>
      <c r="J115" s="1"/>
    </row>
    <row r="116" spans="1:10">
      <c r="A116" s="1"/>
      <c r="B116" s="2" t="s">
        <v>1862</v>
      </c>
      <c r="C116" s="2"/>
      <c r="D116" s="2"/>
      <c r="E116" s="2"/>
      <c r="F116" s="2"/>
      <c r="G116" s="2"/>
      <c r="H116" s="2"/>
      <c r="J116" s="1"/>
    </row>
    <row r="117" spans="1:10">
      <c r="A117" s="1"/>
      <c r="B117" s="2" t="s">
        <v>1891</v>
      </c>
      <c r="C117" s="2"/>
      <c r="D117" s="2"/>
      <c r="E117" s="2"/>
      <c r="F117" s="2"/>
      <c r="G117" s="2"/>
      <c r="H117" s="2"/>
      <c r="J117" s="1"/>
    </row>
    <row r="118" spans="1:10">
      <c r="A118" s="1"/>
      <c r="B118" s="2"/>
      <c r="C118" s="2"/>
      <c r="D118" s="2"/>
      <c r="E118" s="2"/>
      <c r="F118" s="2"/>
      <c r="G118" s="2"/>
      <c r="H118" s="2"/>
      <c r="J118" s="1"/>
    </row>
    <row r="119" spans="1:10">
      <c r="A119" s="1"/>
      <c r="C119" s="198"/>
      <c r="D119" s="198"/>
      <c r="E119" s="29"/>
      <c r="J119" s="1"/>
    </row>
    <row r="120" spans="1:10">
      <c r="A120" s="1"/>
      <c r="B120" s="198"/>
      <c r="C120" s="198"/>
      <c r="D120" s="198"/>
      <c r="E120" s="29"/>
      <c r="J120" s="1"/>
    </row>
    <row r="121" spans="1:10">
      <c r="A121" s="1"/>
      <c r="B121" s="198"/>
      <c r="C121" s="198"/>
      <c r="D121" s="198"/>
      <c r="E121" s="29"/>
      <c r="H121" s="198"/>
      <c r="J121" s="1"/>
    </row>
    <row r="122" spans="1:10">
      <c r="A122" s="1"/>
      <c r="B122" s="198"/>
      <c r="C122" s="198"/>
      <c r="D122" s="198"/>
      <c r="E122" s="29"/>
      <c r="J122" s="1"/>
    </row>
    <row r="123" spans="1:10">
      <c r="A123" s="1"/>
      <c r="B123" s="198"/>
      <c r="C123" s="198"/>
      <c r="D123" s="198"/>
      <c r="E123" s="29"/>
      <c r="J123" s="1"/>
    </row>
    <row r="124" spans="1:10">
      <c r="A124" s="1"/>
      <c r="B124" s="198"/>
      <c r="C124" s="198"/>
      <c r="D124" s="198"/>
      <c r="E124" s="29"/>
      <c r="J124" s="1"/>
    </row>
    <row r="125" spans="1:10">
      <c r="A125" s="1"/>
      <c r="B125" s="198"/>
      <c r="C125" s="198"/>
      <c r="D125" s="198"/>
      <c r="E125" s="29"/>
      <c r="J125" s="1"/>
    </row>
    <row r="126" spans="1:10">
      <c r="A126" s="1"/>
      <c r="B126" s="198"/>
      <c r="C126" s="198"/>
      <c r="D126" s="198"/>
      <c r="E126" s="29"/>
      <c r="J126" s="1"/>
    </row>
    <row r="127" spans="1:10">
      <c r="A127" s="1"/>
      <c r="B127" s="199"/>
      <c r="C127" s="199"/>
      <c r="D127" s="199"/>
      <c r="E127" s="200"/>
      <c r="J127" s="1"/>
    </row>
    <row r="128" spans="1:10">
      <c r="A128" s="1"/>
      <c r="B128" s="197"/>
      <c r="J128" s="1"/>
    </row>
  </sheetData>
  <mergeCells count="3">
    <mergeCell ref="B13:C13"/>
    <mergeCell ref="B50:C50"/>
    <mergeCell ref="B86:C86"/>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&amp;A&amp;R&amp;8Docket No. ER19-13-000, et al- Annual Update RY2024
&amp;F
</oddHeader>
  </headerFooter>
  <rowBreaks count="1" manualBreakCount="1">
    <brk id="76" max="16383" man="1"/>
  </rowBreaks>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S258"/>
  <sheetViews>
    <sheetView tabSelected="1" view="pageBreakPreview" topLeftCell="A112" zoomScale="90" zoomScaleNormal="75" zoomScaleSheetLayoutView="90" zoomScalePageLayoutView="55" workbookViewId="0">
      <selection activeCell="C59" activeCellId="1" sqref="L63 C59"/>
    </sheetView>
  </sheetViews>
  <sheetFormatPr defaultColWidth="8.81640625" defaultRowHeight="14.5"/>
  <cols>
    <col min="1" max="1" width="6.7265625" bestFit="1" customWidth="1"/>
    <col min="2" max="3" width="10.54296875" customWidth="1"/>
    <col min="4" max="4" width="18.81640625" customWidth="1"/>
    <col min="5" max="5" width="18" customWidth="1"/>
    <col min="6" max="6" width="18.26953125" customWidth="1"/>
    <col min="7" max="7" width="16.7265625" customWidth="1"/>
    <col min="8" max="8" width="19" customWidth="1"/>
    <col min="9" max="9" width="16.7265625" customWidth="1"/>
    <col min="10" max="11" width="18.1796875" customWidth="1"/>
    <col min="12" max="12" width="18" customWidth="1"/>
    <col min="13" max="15" width="16.7265625" customWidth="1"/>
    <col min="16" max="16" width="21.54296875" bestFit="1" customWidth="1"/>
    <col min="17" max="17" width="18.81640625" customWidth="1"/>
    <col min="18" max="18" width="6.7265625" bestFit="1" customWidth="1"/>
    <col min="19" max="19" width="8.81640625" customWidth="1"/>
  </cols>
  <sheetData>
    <row r="1" spans="1:18">
      <c r="B1" s="12" t="s">
        <v>415</v>
      </c>
      <c r="H1" s="143"/>
      <c r="J1" s="17"/>
      <c r="O1" s="8"/>
      <c r="P1" s="15" t="str">
        <f>CONCATENATE("Prior Year: ",'1-BaseTRR'!$F$2)</f>
        <v>Prior Year: 2022</v>
      </c>
    </row>
    <row r="2" spans="1:18">
      <c r="B2" s="117" t="s">
        <v>193</v>
      </c>
      <c r="C2" s="49"/>
      <c r="D2" s="117"/>
      <c r="J2" s="17"/>
      <c r="O2" s="15"/>
      <c r="P2" s="15"/>
      <c r="Q2" s="15"/>
    </row>
    <row r="3" spans="1:18">
      <c r="B3" s="142"/>
    </row>
    <row r="4" spans="1:18">
      <c r="B4" s="142"/>
    </row>
    <row r="5" spans="1:18">
      <c r="B5" s="57" t="s">
        <v>416</v>
      </c>
      <c r="C5" s="57"/>
      <c r="D5" s="54"/>
      <c r="E5" s="54"/>
      <c r="F5" s="54"/>
      <c r="G5" s="54"/>
      <c r="H5" s="54"/>
      <c r="I5" s="54"/>
      <c r="J5" s="54"/>
      <c r="K5" s="54"/>
      <c r="L5" s="54"/>
      <c r="M5" s="54"/>
      <c r="N5" s="54"/>
      <c r="O5" s="54"/>
      <c r="P5" s="54"/>
      <c r="Q5" s="54"/>
    </row>
    <row r="6" spans="1:18">
      <c r="B6" s="150" t="s">
        <v>417</v>
      </c>
    </row>
    <row r="7" spans="1:18">
      <c r="B7" s="150" t="s">
        <v>1051</v>
      </c>
    </row>
    <row r="9" spans="1:18">
      <c r="A9" s="12"/>
      <c r="D9" s="122" t="s">
        <v>98</v>
      </c>
      <c r="E9" s="122" t="s">
        <v>99</v>
      </c>
      <c r="F9" s="122" t="s">
        <v>100</v>
      </c>
      <c r="G9" s="122" t="s">
        <v>101</v>
      </c>
      <c r="H9" s="122" t="s">
        <v>102</v>
      </c>
      <c r="I9" s="122" t="s">
        <v>103</v>
      </c>
      <c r="J9" s="122" t="s">
        <v>104</v>
      </c>
      <c r="K9" s="122" t="s">
        <v>105</v>
      </c>
      <c r="L9" s="122" t="s">
        <v>106</v>
      </c>
      <c r="M9" s="122" t="s">
        <v>266</v>
      </c>
      <c r="N9" s="122" t="s">
        <v>267</v>
      </c>
      <c r="O9" s="122" t="s">
        <v>268</v>
      </c>
      <c r="P9" s="122" t="s">
        <v>269</v>
      </c>
      <c r="Q9" s="122"/>
      <c r="R9" s="131"/>
    </row>
    <row r="10" spans="1:18" ht="29">
      <c r="A10" s="12"/>
      <c r="D10" s="152" t="s">
        <v>340</v>
      </c>
      <c r="E10" s="152" t="s">
        <v>340</v>
      </c>
      <c r="F10" s="152" t="s">
        <v>340</v>
      </c>
      <c r="G10" s="152" t="s">
        <v>340</v>
      </c>
      <c r="H10" s="152" t="s">
        <v>340</v>
      </c>
      <c r="I10" s="152" t="s">
        <v>340</v>
      </c>
      <c r="J10" s="152" t="s">
        <v>340</v>
      </c>
      <c r="K10" s="152" t="s">
        <v>340</v>
      </c>
      <c r="L10" s="152" t="s">
        <v>340</v>
      </c>
      <c r="M10" s="152" t="s">
        <v>340</v>
      </c>
      <c r="N10" s="152" t="s">
        <v>340</v>
      </c>
      <c r="O10" s="152" t="s">
        <v>340</v>
      </c>
      <c r="P10" s="153" t="s">
        <v>1158</v>
      </c>
      <c r="Q10" s="153"/>
      <c r="R10" s="131"/>
    </row>
    <row r="11" spans="1:18">
      <c r="B11" s="8"/>
      <c r="C11" s="8"/>
      <c r="N11" s="30"/>
      <c r="P11" s="30"/>
      <c r="Q11" s="30"/>
      <c r="R11" s="131"/>
    </row>
    <row r="12" spans="1:18">
      <c r="A12" s="201"/>
      <c r="B12" s="131"/>
      <c r="C12" s="130" t="s">
        <v>341</v>
      </c>
      <c r="D12" s="123">
        <v>350.01</v>
      </c>
      <c r="E12" s="123">
        <v>350.02</v>
      </c>
      <c r="F12" s="123">
        <v>352.01</v>
      </c>
      <c r="G12" s="123">
        <v>352.02</v>
      </c>
      <c r="H12" s="123">
        <v>353.01</v>
      </c>
      <c r="I12" s="123">
        <v>353.02</v>
      </c>
      <c r="J12" s="123">
        <v>354</v>
      </c>
      <c r="K12" s="123">
        <v>355</v>
      </c>
      <c r="L12" s="123">
        <v>356</v>
      </c>
      <c r="M12" s="123">
        <v>357</v>
      </c>
      <c r="N12" s="123">
        <v>358</v>
      </c>
      <c r="O12" s="123">
        <v>359</v>
      </c>
      <c r="R12" s="131"/>
    </row>
    <row r="13" spans="1:18">
      <c r="A13" s="119" t="s">
        <v>122</v>
      </c>
      <c r="B13" s="119" t="s">
        <v>81</v>
      </c>
      <c r="C13" s="119" t="s">
        <v>109</v>
      </c>
      <c r="D13" s="122" t="s">
        <v>342</v>
      </c>
      <c r="E13" s="122" t="s">
        <v>343</v>
      </c>
      <c r="F13" s="122" t="s">
        <v>344</v>
      </c>
      <c r="G13" s="122" t="s">
        <v>345</v>
      </c>
      <c r="H13" s="122" t="s">
        <v>346</v>
      </c>
      <c r="I13" s="122" t="s">
        <v>347</v>
      </c>
      <c r="J13" s="122" t="s">
        <v>348</v>
      </c>
      <c r="K13" s="122" t="s">
        <v>349</v>
      </c>
      <c r="L13" s="122" t="s">
        <v>350</v>
      </c>
      <c r="M13" s="122" t="s">
        <v>351</v>
      </c>
      <c r="N13" s="122" t="s">
        <v>352</v>
      </c>
      <c r="O13" s="122" t="s">
        <v>353</v>
      </c>
      <c r="P13" s="119" t="s">
        <v>354</v>
      </c>
      <c r="Q13" s="119" t="s">
        <v>54</v>
      </c>
      <c r="R13" s="119" t="str">
        <f>A13</f>
        <v>Line</v>
      </c>
    </row>
    <row r="14" spans="1:18">
      <c r="A14" s="131">
        <v>100</v>
      </c>
      <c r="B14" s="150" t="s">
        <v>111</v>
      </c>
      <c r="C14" s="156">
        <f>'1-BaseTRR'!$F$2-1</f>
        <v>2021</v>
      </c>
      <c r="D14" s="474">
        <f t="shared" ref="D14:O26" si="0">+D39+D64</f>
        <v>205288</v>
      </c>
      <c r="E14" s="474">
        <f t="shared" si="0"/>
        <v>76296408</v>
      </c>
      <c r="F14" s="474">
        <f t="shared" si="0"/>
        <v>116187686</v>
      </c>
      <c r="G14" s="474">
        <f t="shared" si="0"/>
        <v>19478026</v>
      </c>
      <c r="H14" s="474">
        <f t="shared" si="0"/>
        <v>1740070041</v>
      </c>
      <c r="I14" s="474">
        <f t="shared" si="0"/>
        <v>16600888</v>
      </c>
      <c r="J14" s="474">
        <f t="shared" si="0"/>
        <v>365099162</v>
      </c>
      <c r="K14" s="474">
        <f t="shared" si="0"/>
        <v>408078566</v>
      </c>
      <c r="L14" s="474">
        <f t="shared" si="0"/>
        <v>520519966</v>
      </c>
      <c r="M14" s="474">
        <f t="shared" si="0"/>
        <v>110427376</v>
      </c>
      <c r="N14" s="474">
        <f t="shared" si="0"/>
        <v>80894385</v>
      </c>
      <c r="O14" s="474">
        <f t="shared" si="0"/>
        <v>10635394</v>
      </c>
      <c r="P14" s="33">
        <f>SUM(D14:O14)</f>
        <v>3464493186</v>
      </c>
      <c r="Q14" s="158" t="str">
        <f>"Line "&amp;A39&amp;" + Line "&amp;A64&amp;""</f>
        <v>Line 200 + Line 300</v>
      </c>
      <c r="R14" s="131">
        <f>A14</f>
        <v>100</v>
      </c>
    </row>
    <row r="15" spans="1:18">
      <c r="A15" s="131">
        <f>A14+1</f>
        <v>101</v>
      </c>
      <c r="B15" s="150" t="s">
        <v>112</v>
      </c>
      <c r="C15" s="156">
        <f>'1-BaseTRR'!$F$2</f>
        <v>2022</v>
      </c>
      <c r="D15" s="474">
        <f t="shared" si="0"/>
        <v>212550.76252211281</v>
      </c>
      <c r="E15" s="474">
        <f t="shared" si="0"/>
        <v>76989471.360293508</v>
      </c>
      <c r="F15" s="474">
        <f t="shared" si="0"/>
        <v>117026328.8686388</v>
      </c>
      <c r="G15" s="474">
        <f t="shared" si="0"/>
        <v>19688396.934919797</v>
      </c>
      <c r="H15" s="474">
        <f t="shared" si="0"/>
        <v>1747225255.959208</v>
      </c>
      <c r="I15" s="474">
        <f t="shared" si="0"/>
        <v>16649264.646742459</v>
      </c>
      <c r="J15" s="474">
        <f t="shared" si="0"/>
        <v>367345385.66621625</v>
      </c>
      <c r="K15" s="474">
        <f t="shared" si="0"/>
        <v>413873365.95358694</v>
      </c>
      <c r="L15" s="474">
        <f t="shared" si="0"/>
        <v>533042882.22941923</v>
      </c>
      <c r="M15" s="474">
        <f t="shared" si="0"/>
        <v>111306271.52282634</v>
      </c>
      <c r="N15" s="474">
        <f t="shared" si="0"/>
        <v>81640669.10363844</v>
      </c>
      <c r="O15" s="474">
        <f t="shared" si="0"/>
        <v>11115299.696738085</v>
      </c>
      <c r="P15" s="33">
        <f t="shared" ref="P15:P26" si="1">SUM(D15:O15)</f>
        <v>3496115142.7047501</v>
      </c>
      <c r="Q15" s="158" t="str">
        <f t="shared" ref="Q15:Q26" si="2">"Line "&amp;A40&amp;" + Line "&amp;A65&amp;""</f>
        <v>Line 201 + Line 301</v>
      </c>
      <c r="R15" s="131">
        <f t="shared" ref="R15:R27" si="3">A15</f>
        <v>101</v>
      </c>
    </row>
    <row r="16" spans="1:18">
      <c r="A16" s="131">
        <f t="shared" ref="A16:A27" si="4">A15+1</f>
        <v>102</v>
      </c>
      <c r="B16" s="150" t="s">
        <v>113</v>
      </c>
      <c r="C16" s="156">
        <f>'1-BaseTRR'!$F$2</f>
        <v>2022</v>
      </c>
      <c r="D16" s="474">
        <f t="shared" si="0"/>
        <v>224963.6689621777</v>
      </c>
      <c r="E16" s="474">
        <f t="shared" si="0"/>
        <v>77308151.878547132</v>
      </c>
      <c r="F16" s="474">
        <f t="shared" si="0"/>
        <v>117572443.9503471</v>
      </c>
      <c r="G16" s="474">
        <f t="shared" si="0"/>
        <v>19843309.415578671</v>
      </c>
      <c r="H16" s="474">
        <f t="shared" si="0"/>
        <v>1777188547.405901</v>
      </c>
      <c r="I16" s="474">
        <f t="shared" si="0"/>
        <v>16697173.899842102</v>
      </c>
      <c r="J16" s="474">
        <f t="shared" si="0"/>
        <v>365434809.833552</v>
      </c>
      <c r="K16" s="474">
        <f t="shared" si="0"/>
        <v>407148957.63587874</v>
      </c>
      <c r="L16" s="474">
        <f t="shared" si="0"/>
        <v>512387502.25364864</v>
      </c>
      <c r="M16" s="474">
        <f t="shared" si="0"/>
        <v>111969053.69261909</v>
      </c>
      <c r="N16" s="474">
        <f t="shared" si="0"/>
        <v>82124935.112470239</v>
      </c>
      <c r="O16" s="474">
        <f t="shared" si="0"/>
        <v>11374237.042596474</v>
      </c>
      <c r="P16" s="33">
        <f t="shared" si="1"/>
        <v>3499274085.7899427</v>
      </c>
      <c r="Q16" s="158" t="str">
        <f t="shared" si="2"/>
        <v>Line 202 + Line 302</v>
      </c>
      <c r="R16" s="131">
        <f t="shared" si="3"/>
        <v>102</v>
      </c>
    </row>
    <row r="17" spans="1:18">
      <c r="A17" s="131">
        <f t="shared" si="4"/>
        <v>103</v>
      </c>
      <c r="B17" s="150" t="s">
        <v>114</v>
      </c>
      <c r="C17" s="156">
        <f>'1-BaseTRR'!$F$2</f>
        <v>2022</v>
      </c>
      <c r="D17" s="474">
        <f t="shared" si="0"/>
        <v>223632.4772040541</v>
      </c>
      <c r="E17" s="474">
        <f t="shared" si="0"/>
        <v>77627243.453952074</v>
      </c>
      <c r="F17" s="474">
        <f t="shared" si="0"/>
        <v>118119427.88809384</v>
      </c>
      <c r="G17" s="474">
        <f t="shared" si="0"/>
        <v>19998066.308641009</v>
      </c>
      <c r="H17" s="474">
        <f t="shared" si="0"/>
        <v>1790390337.1134112</v>
      </c>
      <c r="I17" s="474">
        <f t="shared" si="0"/>
        <v>16744524.253826188</v>
      </c>
      <c r="J17" s="474">
        <f t="shared" si="0"/>
        <v>370299552.23243296</v>
      </c>
      <c r="K17" s="474">
        <f t="shared" si="0"/>
        <v>433236478.45524985</v>
      </c>
      <c r="L17" s="474">
        <f t="shared" si="0"/>
        <v>464413851.20763105</v>
      </c>
      <c r="M17" s="474">
        <f t="shared" si="0"/>
        <v>112631552.88693604</v>
      </c>
      <c r="N17" s="474">
        <f t="shared" si="0"/>
        <v>82608380.469875216</v>
      </c>
      <c r="O17" s="474">
        <f t="shared" si="0"/>
        <v>11608443.753944267</v>
      </c>
      <c r="P17" s="33">
        <f t="shared" si="1"/>
        <v>3497901490.5011983</v>
      </c>
      <c r="Q17" s="158" t="str">
        <f t="shared" si="2"/>
        <v>Line 203 + Line 303</v>
      </c>
      <c r="R17" s="131">
        <f t="shared" si="3"/>
        <v>103</v>
      </c>
    </row>
    <row r="18" spans="1:18">
      <c r="A18" s="131">
        <f t="shared" si="4"/>
        <v>104</v>
      </c>
      <c r="B18" s="150" t="s">
        <v>115</v>
      </c>
      <c r="C18" s="156">
        <f>'1-BaseTRR'!$F$2</f>
        <v>2022</v>
      </c>
      <c r="D18" s="474">
        <f t="shared" si="0"/>
        <v>223633.11392761092</v>
      </c>
      <c r="E18" s="474">
        <f t="shared" si="0"/>
        <v>77947337.850284159</v>
      </c>
      <c r="F18" s="474">
        <f t="shared" si="0"/>
        <v>118673269.35224235</v>
      </c>
      <c r="G18" s="474">
        <f t="shared" si="0"/>
        <v>20139467.664919809</v>
      </c>
      <c r="H18" s="474">
        <f t="shared" si="0"/>
        <v>1809249025.6045859</v>
      </c>
      <c r="I18" s="474">
        <f t="shared" si="0"/>
        <v>16791409.842072979</v>
      </c>
      <c r="J18" s="474">
        <f t="shared" si="0"/>
        <v>368553122.89387572</v>
      </c>
      <c r="K18" s="474">
        <f t="shared" si="0"/>
        <v>440961356.03856051</v>
      </c>
      <c r="L18" s="474">
        <f t="shared" si="0"/>
        <v>470723745.23686451</v>
      </c>
      <c r="M18" s="474">
        <f t="shared" si="0"/>
        <v>113297072.9549512</v>
      </c>
      <c r="N18" s="474">
        <f t="shared" si="0"/>
        <v>83094355.014503226</v>
      </c>
      <c r="O18" s="474">
        <f t="shared" si="0"/>
        <v>11871366.877713457</v>
      </c>
      <c r="P18" s="33">
        <f t="shared" si="1"/>
        <v>3531525162.4445014</v>
      </c>
      <c r="Q18" s="158" t="str">
        <f t="shared" si="2"/>
        <v>Line 204 + Line 304</v>
      </c>
      <c r="R18" s="131">
        <f t="shared" si="3"/>
        <v>104</v>
      </c>
    </row>
    <row r="19" spans="1:18">
      <c r="A19" s="131">
        <f t="shared" si="4"/>
        <v>105</v>
      </c>
      <c r="B19" s="150" t="s">
        <v>89</v>
      </c>
      <c r="C19" s="156">
        <f>'1-BaseTRR'!$F$2</f>
        <v>2022</v>
      </c>
      <c r="D19" s="474">
        <f t="shared" si="0"/>
        <v>223631.94880373159</v>
      </c>
      <c r="E19" s="474">
        <f t="shared" si="0"/>
        <v>78267626.835875675</v>
      </c>
      <c r="F19" s="474">
        <f t="shared" si="0"/>
        <v>119212794.34168443</v>
      </c>
      <c r="G19" s="474">
        <f t="shared" si="0"/>
        <v>20292712.531534869</v>
      </c>
      <c r="H19" s="474">
        <f t="shared" si="0"/>
        <v>1825795122.4308932</v>
      </c>
      <c r="I19" s="474">
        <f t="shared" si="0"/>
        <v>16838109.500984162</v>
      </c>
      <c r="J19" s="474">
        <f t="shared" si="0"/>
        <v>355176342.90913194</v>
      </c>
      <c r="K19" s="474">
        <f t="shared" si="0"/>
        <v>434665750.24476004</v>
      </c>
      <c r="L19" s="474">
        <f t="shared" si="0"/>
        <v>499952338.55267859</v>
      </c>
      <c r="M19" s="474">
        <f t="shared" si="0"/>
        <v>113723357.06778404</v>
      </c>
      <c r="N19" s="474">
        <f t="shared" si="0"/>
        <v>83393406.275983438</v>
      </c>
      <c r="O19" s="474">
        <f t="shared" si="0"/>
        <v>12137182.695237081</v>
      </c>
      <c r="P19" s="33">
        <f t="shared" si="1"/>
        <v>3559678375.335351</v>
      </c>
      <c r="Q19" s="158" t="str">
        <f t="shared" si="2"/>
        <v>Line 205 + Line 305</v>
      </c>
      <c r="R19" s="131">
        <f t="shared" si="3"/>
        <v>105</v>
      </c>
    </row>
    <row r="20" spans="1:18">
      <c r="A20" s="131">
        <f t="shared" si="4"/>
        <v>106</v>
      </c>
      <c r="B20" s="150" t="s">
        <v>272</v>
      </c>
      <c r="C20" s="156">
        <f>'1-BaseTRR'!$F$2</f>
        <v>2022</v>
      </c>
      <c r="D20" s="474">
        <f t="shared" si="0"/>
        <v>221032.79861823918</v>
      </c>
      <c r="E20" s="474">
        <f t="shared" si="0"/>
        <v>78587969.784289241</v>
      </c>
      <c r="F20" s="474">
        <f t="shared" si="0"/>
        <v>119767278.48424526</v>
      </c>
      <c r="G20" s="474">
        <f t="shared" si="0"/>
        <v>20450495.95235515</v>
      </c>
      <c r="H20" s="474">
        <f t="shared" si="0"/>
        <v>1828717803.9960401</v>
      </c>
      <c r="I20" s="474">
        <f t="shared" si="0"/>
        <v>16884417.83464738</v>
      </c>
      <c r="J20" s="474">
        <f t="shared" si="0"/>
        <v>356000911.78371477</v>
      </c>
      <c r="K20" s="474">
        <f t="shared" si="0"/>
        <v>438759441.83169872</v>
      </c>
      <c r="L20" s="474">
        <f t="shared" si="0"/>
        <v>501598686.04118097</v>
      </c>
      <c r="M20" s="474">
        <f t="shared" si="0"/>
        <v>114392207.07176206</v>
      </c>
      <c r="N20" s="474">
        <f t="shared" si="0"/>
        <v>83878234.623892844</v>
      </c>
      <c r="O20" s="474">
        <f t="shared" si="0"/>
        <v>12402531.485763988</v>
      </c>
      <c r="P20" s="33">
        <f t="shared" si="1"/>
        <v>3571661011.6882091</v>
      </c>
      <c r="Q20" s="158" t="str">
        <f t="shared" si="2"/>
        <v>Line 206 + Line 306</v>
      </c>
      <c r="R20" s="131">
        <f t="shared" si="3"/>
        <v>106</v>
      </c>
    </row>
    <row r="21" spans="1:18">
      <c r="A21" s="131">
        <f t="shared" si="4"/>
        <v>107</v>
      </c>
      <c r="B21" s="150" t="s">
        <v>117</v>
      </c>
      <c r="C21" s="156">
        <f>'1-BaseTRR'!$F$2</f>
        <v>2022</v>
      </c>
      <c r="D21" s="474">
        <f t="shared" si="0"/>
        <v>205417.61675477261</v>
      </c>
      <c r="E21" s="474">
        <f t="shared" si="0"/>
        <v>78908486.821007669</v>
      </c>
      <c r="F21" s="474">
        <f t="shared" si="0"/>
        <v>120318348.80348298</v>
      </c>
      <c r="G21" s="474">
        <f t="shared" si="0"/>
        <v>20612617.617973819</v>
      </c>
      <c r="H21" s="474">
        <f t="shared" si="0"/>
        <v>1844417125.153136</v>
      </c>
      <c r="I21" s="474">
        <f t="shared" si="0"/>
        <v>16926047.62848784</v>
      </c>
      <c r="J21" s="474">
        <f t="shared" si="0"/>
        <v>357159741.18416089</v>
      </c>
      <c r="K21" s="474">
        <f t="shared" si="0"/>
        <v>443409626.8943094</v>
      </c>
      <c r="L21" s="474">
        <f t="shared" si="0"/>
        <v>503937069.64031434</v>
      </c>
      <c r="M21" s="474">
        <f t="shared" si="0"/>
        <v>115060910.91255711</v>
      </c>
      <c r="N21" s="474">
        <f t="shared" si="0"/>
        <v>84359433.931243911</v>
      </c>
      <c r="O21" s="474">
        <f t="shared" si="0"/>
        <v>12669337.746946409</v>
      </c>
      <c r="P21" s="33">
        <f t="shared" si="1"/>
        <v>3597984163.9503751</v>
      </c>
      <c r="Q21" s="158" t="str">
        <f t="shared" si="2"/>
        <v>Line 207 + Line 307</v>
      </c>
      <c r="R21" s="131">
        <f t="shared" si="3"/>
        <v>107</v>
      </c>
    </row>
    <row r="22" spans="1:18">
      <c r="A22" s="131">
        <f t="shared" si="4"/>
        <v>108</v>
      </c>
      <c r="B22" s="150"/>
      <c r="C22" s="156">
        <f>'1-BaseTRR'!$F$2</f>
        <v>2022</v>
      </c>
      <c r="D22" s="474">
        <f t="shared" si="0"/>
        <v>-17656.223151833601</v>
      </c>
      <c r="E22" s="474">
        <f t="shared" si="0"/>
        <v>79230623.062655494</v>
      </c>
      <c r="F22" s="474">
        <f t="shared" si="0"/>
        <v>120871853.12120858</v>
      </c>
      <c r="G22" s="474">
        <f t="shared" si="0"/>
        <v>20775883.41783778</v>
      </c>
      <c r="H22" s="474">
        <f t="shared" si="0"/>
        <v>1856281148.6982281</v>
      </c>
      <c r="I22" s="474">
        <f t="shared" si="0"/>
        <v>16848250.754790369</v>
      </c>
      <c r="J22" s="474">
        <f t="shared" si="0"/>
        <v>358291103.3959372</v>
      </c>
      <c r="K22" s="474">
        <f t="shared" si="0"/>
        <v>446408825.5540117</v>
      </c>
      <c r="L22" s="474">
        <f t="shared" si="0"/>
        <v>503516262.66879421</v>
      </c>
      <c r="M22" s="474">
        <f t="shared" si="0"/>
        <v>115727760.36542352</v>
      </c>
      <c r="N22" s="474">
        <f t="shared" si="0"/>
        <v>84843263.939156622</v>
      </c>
      <c r="O22" s="474">
        <f t="shared" si="0"/>
        <v>12976526.704542872</v>
      </c>
      <c r="P22" s="33">
        <f t="shared" si="1"/>
        <v>3615753845.4594345</v>
      </c>
      <c r="Q22" s="158" t="str">
        <f t="shared" si="2"/>
        <v>Line 208 + Line 308</v>
      </c>
      <c r="R22" s="131">
        <f t="shared" si="3"/>
        <v>108</v>
      </c>
    </row>
    <row r="23" spans="1:18">
      <c r="A23" s="131">
        <f t="shared" si="4"/>
        <v>109</v>
      </c>
      <c r="B23" s="150" t="s">
        <v>119</v>
      </c>
      <c r="C23" s="156">
        <f>'1-BaseTRR'!$F$2</f>
        <v>2022</v>
      </c>
      <c r="D23" s="474">
        <f t="shared" si="0"/>
        <v>-21148.4725594716</v>
      </c>
      <c r="E23" s="474">
        <f t="shared" si="0"/>
        <v>79551539.772454828</v>
      </c>
      <c r="F23" s="474">
        <f t="shared" si="0"/>
        <v>121426048.79231659</v>
      </c>
      <c r="G23" s="474">
        <f t="shared" si="0"/>
        <v>20946257.673669349</v>
      </c>
      <c r="H23" s="474">
        <f t="shared" si="0"/>
        <v>1873013912.197582</v>
      </c>
      <c r="I23" s="474">
        <f t="shared" si="0"/>
        <v>16894470.79940905</v>
      </c>
      <c r="J23" s="474">
        <f t="shared" si="0"/>
        <v>357402471.32727468</v>
      </c>
      <c r="K23" s="474">
        <f t="shared" si="0"/>
        <v>448560851.26992917</v>
      </c>
      <c r="L23" s="474">
        <f t="shared" si="0"/>
        <v>502034947.99330056</v>
      </c>
      <c r="M23" s="474">
        <f t="shared" si="0"/>
        <v>116396596.59017462</v>
      </c>
      <c r="N23" s="474">
        <f t="shared" si="0"/>
        <v>85321607.330746412</v>
      </c>
      <c r="O23" s="474">
        <f t="shared" si="0"/>
        <v>13235250.202883748</v>
      </c>
      <c r="P23" s="33">
        <f t="shared" si="1"/>
        <v>3634762805.4771814</v>
      </c>
      <c r="Q23" s="158" t="str">
        <f t="shared" si="2"/>
        <v>Line 209 + Line 309</v>
      </c>
      <c r="R23" s="131">
        <f t="shared" si="3"/>
        <v>109</v>
      </c>
    </row>
    <row r="24" spans="1:18">
      <c r="A24" s="131">
        <f t="shared" si="4"/>
        <v>110</v>
      </c>
      <c r="B24" s="150" t="s">
        <v>120</v>
      </c>
      <c r="C24" s="156">
        <f>'1-BaseTRR'!$F$2</f>
        <v>2022</v>
      </c>
      <c r="D24" s="474">
        <f t="shared" si="0"/>
        <v>-21884.469074806999</v>
      </c>
      <c r="E24" s="474">
        <f t="shared" si="0"/>
        <v>79872614.498701409</v>
      </c>
      <c r="F24" s="474">
        <f t="shared" si="0"/>
        <v>121980640.24496169</v>
      </c>
      <c r="G24" s="474">
        <f t="shared" si="0"/>
        <v>21115185.610443853</v>
      </c>
      <c r="H24" s="474">
        <f t="shared" si="0"/>
        <v>1886464977.0858002</v>
      </c>
      <c r="I24" s="474">
        <f t="shared" si="0"/>
        <v>16930464.591407351</v>
      </c>
      <c r="J24" s="474">
        <f t="shared" si="0"/>
        <v>356135111.44746506</v>
      </c>
      <c r="K24" s="474">
        <f t="shared" si="0"/>
        <v>453740672.00923294</v>
      </c>
      <c r="L24" s="474">
        <f t="shared" si="0"/>
        <v>496564535.78104568</v>
      </c>
      <c r="M24" s="474">
        <f t="shared" si="0"/>
        <v>117065369.02338007</v>
      </c>
      <c r="N24" s="474">
        <f t="shared" si="0"/>
        <v>85802242.942474842</v>
      </c>
      <c r="O24" s="474">
        <f t="shared" si="0"/>
        <v>13069495.264230844</v>
      </c>
      <c r="P24" s="33">
        <f t="shared" si="1"/>
        <v>3648719424.0300689</v>
      </c>
      <c r="Q24" s="158" t="str">
        <f t="shared" si="2"/>
        <v>Line 210 + Line 310</v>
      </c>
      <c r="R24" s="131">
        <f t="shared" si="3"/>
        <v>110</v>
      </c>
    </row>
    <row r="25" spans="1:18">
      <c r="A25" s="131">
        <f t="shared" si="4"/>
        <v>111</v>
      </c>
      <c r="B25" s="150" t="s">
        <v>121</v>
      </c>
      <c r="C25" s="156">
        <f>'1-BaseTRR'!$F$2</f>
        <v>2022</v>
      </c>
      <c r="D25" s="474">
        <f t="shared" si="0"/>
        <v>-22029.155539998697</v>
      </c>
      <c r="E25" s="474">
        <f t="shared" si="0"/>
        <v>80193685.767227262</v>
      </c>
      <c r="F25" s="474">
        <f t="shared" si="0"/>
        <v>122532335.71339241</v>
      </c>
      <c r="G25" s="474">
        <f t="shared" si="0"/>
        <v>21287398.973674599</v>
      </c>
      <c r="H25" s="474">
        <f t="shared" si="0"/>
        <v>1894563426.0612161</v>
      </c>
      <c r="I25" s="474">
        <f t="shared" si="0"/>
        <v>17018995.14550386</v>
      </c>
      <c r="J25" s="474">
        <f t="shared" si="0"/>
        <v>354347505.11465728</v>
      </c>
      <c r="K25" s="474">
        <f t="shared" si="0"/>
        <v>455068445.88595343</v>
      </c>
      <c r="L25" s="474">
        <f t="shared" si="0"/>
        <v>497034907.97283244</v>
      </c>
      <c r="M25" s="474">
        <f t="shared" si="0"/>
        <v>117734301.02364475</v>
      </c>
      <c r="N25" s="474">
        <f t="shared" si="0"/>
        <v>86282610.882598966</v>
      </c>
      <c r="O25" s="474">
        <f t="shared" si="0"/>
        <v>13366252.065832712</v>
      </c>
      <c r="P25" s="33">
        <f t="shared" si="1"/>
        <v>3659407835.4509935</v>
      </c>
      <c r="Q25" s="158" t="str">
        <f t="shared" si="2"/>
        <v>Line 211 + Line 311</v>
      </c>
      <c r="R25" s="131">
        <f t="shared" si="3"/>
        <v>111</v>
      </c>
    </row>
    <row r="26" spans="1:18">
      <c r="A26" s="131">
        <f t="shared" si="4"/>
        <v>112</v>
      </c>
      <c r="B26" s="159" t="s">
        <v>111</v>
      </c>
      <c r="C26" s="160">
        <f>'1-BaseTRR'!$F$2</f>
        <v>2022</v>
      </c>
      <c r="D26" s="475">
        <f t="shared" si="0"/>
        <v>-21395.290627845425</v>
      </c>
      <c r="E26" s="475">
        <f t="shared" si="0"/>
        <v>80111169.94158861</v>
      </c>
      <c r="F26" s="475">
        <f t="shared" si="0"/>
        <v>117568898.20387341</v>
      </c>
      <c r="G26" s="475">
        <f t="shared" si="0"/>
        <v>21404561.380631234</v>
      </c>
      <c r="H26" s="475">
        <f t="shared" si="0"/>
        <v>1911313358.9848199</v>
      </c>
      <c r="I26" s="475">
        <f t="shared" si="0"/>
        <v>17062249.820212372</v>
      </c>
      <c r="J26" s="475">
        <f t="shared" si="0"/>
        <v>355281587.71733022</v>
      </c>
      <c r="K26" s="475">
        <f t="shared" si="0"/>
        <v>461317046.56149071</v>
      </c>
      <c r="L26" s="475">
        <f t="shared" si="0"/>
        <v>492520870.19000018</v>
      </c>
      <c r="M26" s="475">
        <f t="shared" si="0"/>
        <v>118165189.37856817</v>
      </c>
      <c r="N26" s="475">
        <f t="shared" si="0"/>
        <v>86487992.5917968</v>
      </c>
      <c r="O26" s="475">
        <f t="shared" si="0"/>
        <v>13340697.811998196</v>
      </c>
      <c r="P26" s="475">
        <f t="shared" si="1"/>
        <v>3674552227.2916818</v>
      </c>
      <c r="Q26" s="158" t="str">
        <f t="shared" si="2"/>
        <v>Line 212 + Line 312</v>
      </c>
      <c r="R26" s="131">
        <f t="shared" si="3"/>
        <v>112</v>
      </c>
    </row>
    <row r="27" spans="1:18">
      <c r="A27" s="131">
        <f t="shared" si="4"/>
        <v>113</v>
      </c>
      <c r="B27" s="544" t="s">
        <v>355</v>
      </c>
      <c r="C27" s="169"/>
      <c r="D27" s="545">
        <f>SUM(D14:D26)/13</f>
        <v>125848.98275682639</v>
      </c>
      <c r="E27" s="545">
        <f>SUM(E14:E26)/13</f>
        <v>78530179.155913636</v>
      </c>
      <c r="F27" s="545">
        <f>SUM(F14:F26)/13</f>
        <v>119327488.75111444</v>
      </c>
      <c r="G27" s="545">
        <f>SUM(G14:G26)/13</f>
        <v>20464029.190936916</v>
      </c>
      <c r="H27" s="545">
        <f t="shared" ref="H27:P27" si="5">SUM(H14:H26)/13</f>
        <v>1829591544.7454476</v>
      </c>
      <c r="I27" s="545">
        <f t="shared" si="5"/>
        <v>16837405.132148162</v>
      </c>
      <c r="J27" s="545">
        <f t="shared" si="5"/>
        <v>360502062.11582673</v>
      </c>
      <c r="K27" s="545">
        <f t="shared" si="5"/>
        <v>437325337.2565124</v>
      </c>
      <c r="L27" s="545">
        <f t="shared" si="5"/>
        <v>499865197.36674702</v>
      </c>
      <c r="M27" s="545">
        <f t="shared" si="5"/>
        <v>114453616.80697131</v>
      </c>
      <c r="N27" s="545">
        <f t="shared" si="5"/>
        <v>83902424.401413932</v>
      </c>
      <c r="O27" s="545">
        <f t="shared" si="5"/>
        <v>12292462.719109856</v>
      </c>
      <c r="P27" s="353">
        <f t="shared" si="5"/>
        <v>3573217596.6248989</v>
      </c>
      <c r="Q27" s="158"/>
      <c r="R27" s="131">
        <f t="shared" si="3"/>
        <v>113</v>
      </c>
    </row>
    <row r="28" spans="1:18">
      <c r="A28" s="17"/>
      <c r="B28" s="17"/>
      <c r="C28" s="17"/>
      <c r="D28" s="17"/>
      <c r="E28" s="17"/>
      <c r="F28" s="17"/>
      <c r="G28" s="17"/>
      <c r="H28" s="17"/>
      <c r="I28" s="17"/>
      <c r="J28" s="17"/>
      <c r="K28" s="17"/>
      <c r="L28" s="17"/>
      <c r="M28" s="17"/>
      <c r="R28" s="131"/>
    </row>
    <row r="29" spans="1:18">
      <c r="A29" s="17"/>
      <c r="B29" s="17"/>
      <c r="C29" s="17"/>
      <c r="D29" s="17"/>
      <c r="E29" s="17"/>
      <c r="F29" s="17"/>
      <c r="G29" s="17"/>
      <c r="H29" s="17"/>
      <c r="I29" s="17"/>
      <c r="J29" s="17"/>
      <c r="K29" s="17"/>
      <c r="L29" s="17"/>
      <c r="M29" s="17"/>
      <c r="R29" s="131"/>
    </row>
    <row r="30" spans="1:18">
      <c r="B30" s="57" t="s">
        <v>418</v>
      </c>
      <c r="C30" s="57"/>
      <c r="D30" s="144"/>
      <c r="E30" s="144"/>
      <c r="F30" s="144"/>
      <c r="G30" s="144"/>
      <c r="H30" s="144"/>
      <c r="I30" s="144"/>
      <c r="J30" s="144"/>
      <c r="K30" s="144"/>
      <c r="L30" s="144"/>
      <c r="M30" s="144"/>
      <c r="N30" s="54"/>
      <c r="O30" s="54"/>
      <c r="P30" s="54"/>
      <c r="Q30" s="54"/>
      <c r="R30" s="131"/>
    </row>
    <row r="31" spans="1:18">
      <c r="B31" s="150" t="s">
        <v>1874</v>
      </c>
    </row>
    <row r="32" spans="1:18">
      <c r="B32" t="s">
        <v>1152</v>
      </c>
    </row>
    <row r="34" spans="1:18" ht="13.5" customHeight="1">
      <c r="A34" s="12"/>
      <c r="D34" s="122" t="s">
        <v>98</v>
      </c>
      <c r="E34" s="122" t="s">
        <v>99</v>
      </c>
      <c r="F34" s="122" t="s">
        <v>100</v>
      </c>
      <c r="G34" s="122" t="s">
        <v>101</v>
      </c>
      <c r="H34" s="122" t="s">
        <v>102</v>
      </c>
      <c r="I34" s="122" t="s">
        <v>103</v>
      </c>
      <c r="J34" s="122" t="s">
        <v>104</v>
      </c>
      <c r="K34" s="122" t="s">
        <v>105</v>
      </c>
      <c r="L34" s="122" t="s">
        <v>106</v>
      </c>
      <c r="M34" s="122" t="s">
        <v>266</v>
      </c>
      <c r="N34" s="122" t="s">
        <v>267</v>
      </c>
      <c r="O34" s="122" t="s">
        <v>268</v>
      </c>
      <c r="P34" s="122" t="s">
        <v>269</v>
      </c>
      <c r="Q34" s="122"/>
      <c r="R34" s="131"/>
    </row>
    <row r="35" spans="1:18" ht="13.5" customHeight="1">
      <c r="A35" s="12"/>
      <c r="D35" s="122"/>
      <c r="E35" s="122"/>
      <c r="F35" s="122"/>
      <c r="G35" s="122"/>
      <c r="H35" s="122"/>
      <c r="I35" s="122"/>
      <c r="J35" s="122"/>
      <c r="K35" s="122"/>
      <c r="L35" s="122"/>
      <c r="M35" s="122"/>
      <c r="N35" s="122"/>
      <c r="O35" s="122"/>
      <c r="P35" s="153" t="s">
        <v>1158</v>
      </c>
      <c r="Q35" s="153"/>
      <c r="R35" s="131"/>
    </row>
    <row r="36" spans="1:18">
      <c r="B36" s="8"/>
      <c r="C36" s="8"/>
      <c r="R36" s="131"/>
    </row>
    <row r="37" spans="1:18">
      <c r="A37" s="201"/>
      <c r="B37" s="131"/>
      <c r="C37" s="130" t="s">
        <v>341</v>
      </c>
      <c r="D37" s="123">
        <v>350.01</v>
      </c>
      <c r="E37" s="123">
        <v>350.02</v>
      </c>
      <c r="F37" s="123">
        <v>352.01</v>
      </c>
      <c r="G37" s="123">
        <v>352.02</v>
      </c>
      <c r="H37" s="123">
        <v>353.01</v>
      </c>
      <c r="I37" s="123">
        <v>353.02</v>
      </c>
      <c r="J37" s="123">
        <v>354</v>
      </c>
      <c r="K37" s="123">
        <v>355</v>
      </c>
      <c r="L37" s="123">
        <v>356</v>
      </c>
      <c r="M37" s="123">
        <v>357</v>
      </c>
      <c r="N37" s="123">
        <v>358</v>
      </c>
      <c r="O37" s="123">
        <v>359</v>
      </c>
      <c r="R37" s="131"/>
    </row>
    <row r="38" spans="1:18">
      <c r="A38" s="119" t="s">
        <v>122</v>
      </c>
      <c r="B38" s="119" t="s">
        <v>81</v>
      </c>
      <c r="C38" s="119" t="s">
        <v>109</v>
      </c>
      <c r="D38" s="122" t="s">
        <v>342</v>
      </c>
      <c r="E38" s="122" t="s">
        <v>343</v>
      </c>
      <c r="F38" s="122" t="s">
        <v>344</v>
      </c>
      <c r="G38" s="122" t="s">
        <v>345</v>
      </c>
      <c r="H38" s="122" t="s">
        <v>346</v>
      </c>
      <c r="I38" s="122" t="s">
        <v>347</v>
      </c>
      <c r="J38" s="122" t="s">
        <v>348</v>
      </c>
      <c r="K38" s="122" t="s">
        <v>349</v>
      </c>
      <c r="L38" s="122" t="s">
        <v>350</v>
      </c>
      <c r="M38" s="122" t="s">
        <v>351</v>
      </c>
      <c r="N38" s="122" t="s">
        <v>352</v>
      </c>
      <c r="O38" s="122" t="s">
        <v>353</v>
      </c>
      <c r="P38" s="119" t="s">
        <v>354</v>
      </c>
      <c r="Q38" s="119"/>
      <c r="R38" s="119" t="str">
        <f>A38</f>
        <v>Line</v>
      </c>
    </row>
    <row r="39" spans="1:18">
      <c r="A39" s="131">
        <v>200</v>
      </c>
      <c r="B39" s="150" t="s">
        <v>111</v>
      </c>
      <c r="C39" s="156">
        <f>'1-BaseTRR'!$F$2-1</f>
        <v>2021</v>
      </c>
      <c r="D39" s="476">
        <v>117087</v>
      </c>
      <c r="E39" s="476">
        <v>36299687</v>
      </c>
      <c r="F39" s="476">
        <v>62311187</v>
      </c>
      <c r="G39" s="476">
        <v>6830513</v>
      </c>
      <c r="H39" s="476">
        <v>584897560</v>
      </c>
      <c r="I39" s="476">
        <v>2367287</v>
      </c>
      <c r="J39" s="476">
        <v>244020243</v>
      </c>
      <c r="K39" s="476">
        <v>24685326</v>
      </c>
      <c r="L39" s="476">
        <v>220693126</v>
      </c>
      <c r="M39" s="476">
        <v>66329558</v>
      </c>
      <c r="N39" s="476">
        <v>36199236</v>
      </c>
      <c r="O39" s="476">
        <v>4630645</v>
      </c>
      <c r="P39" s="157">
        <f>SUM(D39:O39)</f>
        <v>1289381455</v>
      </c>
      <c r="Q39" s="158"/>
      <c r="R39" s="131">
        <f t="shared" ref="R39:R52" si="6">A39</f>
        <v>200</v>
      </c>
    </row>
    <row r="40" spans="1:18">
      <c r="A40" s="131">
        <f>A39+1</f>
        <v>201</v>
      </c>
      <c r="B40" s="150" t="s">
        <v>112</v>
      </c>
      <c r="C40" s="156">
        <f>'1-BaseTRR'!$F$2</f>
        <v>2022</v>
      </c>
      <c r="D40" s="476">
        <v>122772.58431005667</v>
      </c>
      <c r="E40" s="476">
        <v>36625700.227241345</v>
      </c>
      <c r="F40" s="476">
        <v>61137015.480414636</v>
      </c>
      <c r="G40" s="476">
        <v>6490210.7439740766</v>
      </c>
      <c r="H40" s="476">
        <v>578352470.383973</v>
      </c>
      <c r="I40" s="476">
        <v>2351701.1879671477</v>
      </c>
      <c r="J40" s="476">
        <v>245157290.48917985</v>
      </c>
      <c r="K40" s="476">
        <v>25916776.214175645</v>
      </c>
      <c r="L40" s="476">
        <v>225528640.69694197</v>
      </c>
      <c r="M40" s="476">
        <v>66918293.658288389</v>
      </c>
      <c r="N40" s="476">
        <v>36560062.045440651</v>
      </c>
      <c r="O40" s="476">
        <v>4803133.3821489848</v>
      </c>
      <c r="P40" s="157">
        <f t="shared" ref="P40:P51" si="7">SUM(D40:O40)</f>
        <v>1289964067.0940559</v>
      </c>
      <c r="Q40" s="158"/>
      <c r="R40" s="131">
        <f t="shared" si="6"/>
        <v>201</v>
      </c>
    </row>
    <row r="41" spans="1:18">
      <c r="A41" s="131">
        <f t="shared" ref="A41:A52" si="8">A40+1</f>
        <v>202</v>
      </c>
      <c r="B41" s="150" t="s">
        <v>113</v>
      </c>
      <c r="C41" s="156">
        <f>'1-BaseTRR'!$F$2</f>
        <v>2022</v>
      </c>
      <c r="D41" s="476">
        <v>129999.86765573225</v>
      </c>
      <c r="E41" s="476">
        <v>36777919.175369494</v>
      </c>
      <c r="F41" s="476">
        <v>61351910.295903295</v>
      </c>
      <c r="G41" s="476">
        <v>6533720.8439311506</v>
      </c>
      <c r="H41" s="476">
        <v>588602524.39341164</v>
      </c>
      <c r="I41" s="476">
        <v>2357156.7500633011</v>
      </c>
      <c r="J41" s="476">
        <v>243844468.14540935</v>
      </c>
      <c r="K41" s="476">
        <v>25403504.572916076</v>
      </c>
      <c r="L41" s="476">
        <v>217370914.71560523</v>
      </c>
      <c r="M41" s="476">
        <v>67371496.321372256</v>
      </c>
      <c r="N41" s="476">
        <v>36760235.881546594</v>
      </c>
      <c r="O41" s="476">
        <v>4908518.9463196257</v>
      </c>
      <c r="P41" s="157">
        <f t="shared" si="7"/>
        <v>1291412369.9095035</v>
      </c>
      <c r="Q41" s="158"/>
      <c r="R41" s="131">
        <f t="shared" si="6"/>
        <v>202</v>
      </c>
    </row>
    <row r="42" spans="1:18">
      <c r="A42" s="131">
        <f t="shared" si="8"/>
        <v>203</v>
      </c>
      <c r="B42" s="150" t="s">
        <v>114</v>
      </c>
      <c r="C42" s="156">
        <f>'1-BaseTRR'!$F$2</f>
        <v>2022</v>
      </c>
      <c r="D42" s="476">
        <v>129381.10661677519</v>
      </c>
      <c r="E42" s="476">
        <v>36931204.928332373</v>
      </c>
      <c r="F42" s="476">
        <v>61542684.261541486</v>
      </c>
      <c r="G42" s="476">
        <v>6576509.0077622011</v>
      </c>
      <c r="H42" s="476">
        <v>593527842.97496223</v>
      </c>
      <c r="I42" s="476">
        <v>2362591.9866596204</v>
      </c>
      <c r="J42" s="476">
        <v>246461729.27596101</v>
      </c>
      <c r="K42" s="476">
        <v>27257836.172527455</v>
      </c>
      <c r="L42" s="476">
        <v>201165825.36180633</v>
      </c>
      <c r="M42" s="476">
        <v>67824639.015632853</v>
      </c>
      <c r="N42" s="476">
        <v>36959833.418715209</v>
      </c>
      <c r="O42" s="476">
        <v>5004512.4357747808</v>
      </c>
      <c r="P42" s="157">
        <f t="shared" si="7"/>
        <v>1285744589.9462924</v>
      </c>
      <c r="Q42" s="158"/>
      <c r="R42" s="131">
        <f t="shared" si="6"/>
        <v>203</v>
      </c>
    </row>
    <row r="43" spans="1:18">
      <c r="A43" s="131">
        <f t="shared" si="8"/>
        <v>204</v>
      </c>
      <c r="B43" s="150" t="s">
        <v>115</v>
      </c>
      <c r="C43" s="156">
        <f>'1-BaseTRR'!$F$2</f>
        <v>2022</v>
      </c>
      <c r="D43" s="476">
        <v>129828.22671935383</v>
      </c>
      <c r="E43" s="476">
        <v>37083107.451288722</v>
      </c>
      <c r="F43" s="476">
        <v>61735620.239238195</v>
      </c>
      <c r="G43" s="476">
        <v>6618059.1575238938</v>
      </c>
      <c r="H43" s="476">
        <v>599932691.9122746</v>
      </c>
      <c r="I43" s="476">
        <v>2368039.9145863717</v>
      </c>
      <c r="J43" s="476">
        <v>245246387.04243988</v>
      </c>
      <c r="K43" s="476">
        <v>28064249.599649936</v>
      </c>
      <c r="L43" s="476">
        <v>203609206.18112656</v>
      </c>
      <c r="M43" s="476">
        <v>68282771.014037684</v>
      </c>
      <c r="N43" s="476">
        <v>37161581.039917774</v>
      </c>
      <c r="O43" s="476">
        <v>5110627.4255561959</v>
      </c>
      <c r="P43" s="157">
        <f t="shared" si="7"/>
        <v>1295342169.2043591</v>
      </c>
      <c r="Q43" s="158"/>
      <c r="R43" s="131">
        <f t="shared" si="6"/>
        <v>204</v>
      </c>
    </row>
    <row r="44" spans="1:18">
      <c r="A44" s="131">
        <f t="shared" si="8"/>
        <v>205</v>
      </c>
      <c r="B44" s="150" t="s">
        <v>89</v>
      </c>
      <c r="C44" s="156">
        <f>'1-BaseTRR'!$F$2</f>
        <v>2022</v>
      </c>
      <c r="D44" s="476">
        <v>129709.67379954491</v>
      </c>
      <c r="E44" s="476">
        <v>37234379.018445618</v>
      </c>
      <c r="F44" s="476">
        <v>61929976.613567173</v>
      </c>
      <c r="G44" s="476">
        <v>6661118.0371331014</v>
      </c>
      <c r="H44" s="476">
        <v>605975777.55969691</v>
      </c>
      <c r="I44" s="476">
        <v>2373481.6230975711</v>
      </c>
      <c r="J44" s="476">
        <v>238144763.75424525</v>
      </c>
      <c r="K44" s="476">
        <v>27837958.69916169</v>
      </c>
      <c r="L44" s="476">
        <v>213232803.98245445</v>
      </c>
      <c r="M44" s="476">
        <v>68695074.186526462</v>
      </c>
      <c r="N44" s="476">
        <v>37348020.544103667</v>
      </c>
      <c r="O44" s="476">
        <v>5218632.0999842612</v>
      </c>
      <c r="P44" s="157">
        <f t="shared" si="7"/>
        <v>1304781695.7922156</v>
      </c>
      <c r="Q44" s="158"/>
      <c r="R44" s="131">
        <f t="shared" si="6"/>
        <v>205</v>
      </c>
    </row>
    <row r="45" spans="1:18">
      <c r="A45" s="131">
        <f t="shared" si="8"/>
        <v>206</v>
      </c>
      <c r="B45" s="150" t="s">
        <v>272</v>
      </c>
      <c r="C45" s="156">
        <f>'1-BaseTRR'!$F$2</f>
        <v>2022</v>
      </c>
      <c r="D45" s="476">
        <v>128172.17972119738</v>
      </c>
      <c r="E45" s="476">
        <v>37386720.771004163</v>
      </c>
      <c r="F45" s="476">
        <v>62131719.315295234</v>
      </c>
      <c r="G45" s="476">
        <v>6705748.4995924467</v>
      </c>
      <c r="H45" s="476">
        <v>608057388.25198412</v>
      </c>
      <c r="I45" s="476">
        <v>2378917.1141841053</v>
      </c>
      <c r="J45" s="476">
        <v>238422955.38700721</v>
      </c>
      <c r="K45" s="476">
        <v>28326370.456787214</v>
      </c>
      <c r="L45" s="476">
        <v>213756796.39982548</v>
      </c>
      <c r="M45" s="476">
        <v>69156262.506813571</v>
      </c>
      <c r="N45" s="476">
        <v>37548115.27494406</v>
      </c>
      <c r="O45" s="476">
        <v>5333978.2665300462</v>
      </c>
      <c r="P45" s="157">
        <f t="shared" si="7"/>
        <v>1309333144.4236889</v>
      </c>
      <c r="Q45" s="158"/>
      <c r="R45" s="131">
        <f t="shared" si="6"/>
        <v>206</v>
      </c>
    </row>
    <row r="46" spans="1:18">
      <c r="A46" s="131">
        <f t="shared" si="8"/>
        <v>207</v>
      </c>
      <c r="B46" s="150" t="s">
        <v>117</v>
      </c>
      <c r="C46" s="156">
        <f>'1-BaseTRR'!$F$2</f>
        <v>2022</v>
      </c>
      <c r="D46" s="476">
        <v>119159.49732885271</v>
      </c>
      <c r="E46" s="476">
        <v>37539633.21420373</v>
      </c>
      <c r="F46" s="476">
        <v>62326199.913419038</v>
      </c>
      <c r="G46" s="476">
        <v>6751067.9273373215</v>
      </c>
      <c r="H46" s="476">
        <v>613768893.06145334</v>
      </c>
      <c r="I46" s="476">
        <v>2383705.6869904664</v>
      </c>
      <c r="J46" s="476">
        <v>238890085.57391077</v>
      </c>
      <c r="K46" s="476">
        <v>28505108.618496336</v>
      </c>
      <c r="L46" s="476">
        <v>214641711.45608741</v>
      </c>
      <c r="M46" s="476">
        <v>69614373.523524508</v>
      </c>
      <c r="N46" s="476">
        <v>37745881.457868323</v>
      </c>
      <c r="O46" s="476">
        <v>5451994.6446769293</v>
      </c>
      <c r="P46" s="157">
        <f t="shared" si="7"/>
        <v>1317737814.5752971</v>
      </c>
      <c r="Q46" s="158"/>
      <c r="R46" s="131">
        <f t="shared" si="6"/>
        <v>207</v>
      </c>
    </row>
    <row r="47" spans="1:18">
      <c r="A47" s="131">
        <f t="shared" si="8"/>
        <v>208</v>
      </c>
      <c r="B47" s="150" t="s">
        <v>118</v>
      </c>
      <c r="C47" s="156">
        <f>'1-BaseTRR'!$F$2</f>
        <v>2022</v>
      </c>
      <c r="D47" s="476">
        <v>-10366.994463994297</v>
      </c>
      <c r="E47" s="476">
        <v>37693087.35198874</v>
      </c>
      <c r="F47" s="476">
        <v>62523947.258759938</v>
      </c>
      <c r="G47" s="476">
        <v>6798369.9738540705</v>
      </c>
      <c r="H47" s="476">
        <v>618430253.38255191</v>
      </c>
      <c r="I47" s="476">
        <v>2372309.197622213</v>
      </c>
      <c r="J47" s="476">
        <v>239342166.65671316</v>
      </c>
      <c r="K47" s="476">
        <v>28673730.939187609</v>
      </c>
      <c r="L47" s="476">
        <v>214344615.09464198</v>
      </c>
      <c r="M47" s="476">
        <v>70071489.046660542</v>
      </c>
      <c r="N47" s="476">
        <v>37944137.733954139</v>
      </c>
      <c r="O47" s="476">
        <v>5588415.1740865754</v>
      </c>
      <c r="P47" s="157">
        <f t="shared" si="7"/>
        <v>1323772154.8155568</v>
      </c>
      <c r="Q47" s="158"/>
      <c r="R47" s="131">
        <f t="shared" si="6"/>
        <v>208</v>
      </c>
    </row>
    <row r="48" spans="1:18">
      <c r="A48" s="131">
        <f t="shared" si="8"/>
        <v>209</v>
      </c>
      <c r="B48" s="150" t="s">
        <v>119</v>
      </c>
      <c r="C48" s="156">
        <f>'1-BaseTRR'!$F$2</f>
        <v>2022</v>
      </c>
      <c r="D48" s="476">
        <v>-12416.709277780901</v>
      </c>
      <c r="E48" s="476">
        <v>37845287.172451191</v>
      </c>
      <c r="F48" s="476">
        <v>62717054.409771286</v>
      </c>
      <c r="G48" s="476">
        <v>6850342.6210056096</v>
      </c>
      <c r="H48" s="476">
        <v>624489202.23670888</v>
      </c>
      <c r="I48" s="476">
        <v>2377859.6179696987</v>
      </c>
      <c r="J48" s="476">
        <v>238565841.16892281</v>
      </c>
      <c r="K48" s="476">
        <v>29291275.503817249</v>
      </c>
      <c r="L48" s="476">
        <v>213820224.05870098</v>
      </c>
      <c r="M48" s="476">
        <v>70529772.114354342</v>
      </c>
      <c r="N48" s="476">
        <v>38146380.360459827</v>
      </c>
      <c r="O48" s="476">
        <v>5708065.7693290478</v>
      </c>
      <c r="P48" s="157">
        <f t="shared" si="7"/>
        <v>1330328888.3242133</v>
      </c>
      <c r="Q48" s="158"/>
      <c r="R48" s="131">
        <f t="shared" si="6"/>
        <v>209</v>
      </c>
    </row>
    <row r="49" spans="1:19">
      <c r="A49" s="131">
        <f t="shared" si="8"/>
        <v>210</v>
      </c>
      <c r="B49" s="150" t="s">
        <v>120</v>
      </c>
      <c r="C49" s="156">
        <f>'1-BaseTRR'!$F$2</f>
        <v>2022</v>
      </c>
      <c r="D49" s="476">
        <v>-12847.940471951108</v>
      </c>
      <c r="E49" s="476">
        <v>37997422.807034433</v>
      </c>
      <c r="F49" s="476">
        <v>62914443.219391637</v>
      </c>
      <c r="G49" s="476">
        <v>6869997.6258111503</v>
      </c>
      <c r="H49" s="476">
        <v>629694402.86596739</v>
      </c>
      <c r="I49" s="476">
        <v>2382111.8454174092</v>
      </c>
      <c r="J49" s="476">
        <v>237485782.42794424</v>
      </c>
      <c r="K49" s="476">
        <v>29953160.361743078</v>
      </c>
      <c r="L49" s="476">
        <v>211811872.23593095</v>
      </c>
      <c r="M49" s="476">
        <v>70988090.741255015</v>
      </c>
      <c r="N49" s="476">
        <v>38344973.391620651</v>
      </c>
      <c r="O49" s="476">
        <v>5656989.9631309528</v>
      </c>
      <c r="P49" s="157">
        <f t="shared" si="7"/>
        <v>1334086399.544775</v>
      </c>
      <c r="Q49" s="158"/>
      <c r="R49" s="131">
        <f t="shared" si="6"/>
        <v>210</v>
      </c>
    </row>
    <row r="50" spans="1:19">
      <c r="A50" s="131">
        <f t="shared" si="8"/>
        <v>211</v>
      </c>
      <c r="B50" s="150" t="s">
        <v>121</v>
      </c>
      <c r="C50" s="156">
        <f>'1-BaseTRR'!$F$2</f>
        <v>2022</v>
      </c>
      <c r="D50" s="476">
        <v>-12935.049272181512</v>
      </c>
      <c r="E50" s="476">
        <v>38150412.944122784</v>
      </c>
      <c r="F50" s="476">
        <v>63110007.192747854</v>
      </c>
      <c r="G50" s="476">
        <v>6914971.1959128017</v>
      </c>
      <c r="H50" s="476">
        <v>632848293.83122468</v>
      </c>
      <c r="I50" s="476">
        <v>2390573.7393651363</v>
      </c>
      <c r="J50" s="476">
        <v>235798442.30855325</v>
      </c>
      <c r="K50" s="476">
        <v>30112494.368066266</v>
      </c>
      <c r="L50" s="476">
        <v>212006053.58593267</v>
      </c>
      <c r="M50" s="476">
        <v>71446355.378584296</v>
      </c>
      <c r="N50" s="476">
        <v>38543757.845635474</v>
      </c>
      <c r="O50" s="476">
        <v>5780499.9636163032</v>
      </c>
      <c r="P50" s="157">
        <f t="shared" si="7"/>
        <v>1337088927.3044894</v>
      </c>
      <c r="Q50" s="158"/>
      <c r="R50" s="131">
        <f t="shared" si="6"/>
        <v>211</v>
      </c>
    </row>
    <row r="51" spans="1:19">
      <c r="A51" s="131">
        <f t="shared" si="8"/>
        <v>212</v>
      </c>
      <c r="B51" s="159" t="s">
        <v>111</v>
      </c>
      <c r="C51" s="160">
        <f>'1-BaseTRR'!$F$2</f>
        <v>2022</v>
      </c>
      <c r="D51" s="477">
        <v>-12377.45593025678</v>
      </c>
      <c r="E51" s="477">
        <v>38120938.661849603</v>
      </c>
      <c r="F51" s="477">
        <v>63096141.952455379</v>
      </c>
      <c r="G51" s="477">
        <v>6967112.1724282084</v>
      </c>
      <c r="H51" s="477">
        <v>634894252.10597956</v>
      </c>
      <c r="I51" s="477">
        <v>2395835.7671737466</v>
      </c>
      <c r="J51" s="477">
        <v>235618019.43160644</v>
      </c>
      <c r="K51" s="477">
        <v>27970276.483369496</v>
      </c>
      <c r="L51" s="477">
        <v>209856534.34100905</v>
      </c>
      <c r="M51" s="477">
        <v>71775151.802649513</v>
      </c>
      <c r="N51" s="477">
        <v>38595443.925778918</v>
      </c>
      <c r="O51" s="477">
        <v>5831518.814367556</v>
      </c>
      <c r="P51" s="202">
        <f t="shared" si="7"/>
        <v>1335108848.002737</v>
      </c>
      <c r="Q51" s="203"/>
      <c r="R51" s="131">
        <f t="shared" si="6"/>
        <v>212</v>
      </c>
    </row>
    <row r="52" spans="1:19">
      <c r="A52" s="131">
        <f t="shared" si="8"/>
        <v>213</v>
      </c>
      <c r="B52" s="544" t="s">
        <v>355</v>
      </c>
      <c r="C52" s="169"/>
      <c r="D52" s="545">
        <f>SUM(D39:D51)/13</f>
        <v>72705.075902719109</v>
      </c>
      <c r="E52" s="545">
        <f>SUM(E39:E51)/13</f>
        <v>37360423.132564016</v>
      </c>
      <c r="F52" s="545">
        <f>SUM(F39:F51)/13</f>
        <v>62217531.319423474</v>
      </c>
      <c r="G52" s="545">
        <f>SUM(G39:G51)/13</f>
        <v>6735980.0620204639</v>
      </c>
      <c r="H52" s="545">
        <f t="shared" ref="H52:P52" si="9">SUM(H39:H51)/13</f>
        <v>608728580.99693763</v>
      </c>
      <c r="I52" s="545">
        <f t="shared" si="9"/>
        <v>2373967.0331612909</v>
      </c>
      <c r="J52" s="545">
        <f t="shared" si="9"/>
        <v>240538321.12783793</v>
      </c>
      <c r="K52" s="545">
        <f t="shared" si="9"/>
        <v>27846005.229992155</v>
      </c>
      <c r="L52" s="545">
        <f t="shared" si="9"/>
        <v>213218332.62385103</v>
      </c>
      <c r="M52" s="545">
        <f t="shared" si="9"/>
        <v>69154102.10074611</v>
      </c>
      <c r="N52" s="545">
        <f t="shared" si="9"/>
        <v>37527512.224614248</v>
      </c>
      <c r="O52" s="545">
        <f t="shared" si="9"/>
        <v>5309810.1450400967</v>
      </c>
      <c r="P52" s="546">
        <f t="shared" si="9"/>
        <v>1311083271.0720911</v>
      </c>
      <c r="Q52" s="158"/>
      <c r="R52" s="131">
        <f t="shared" si="6"/>
        <v>213</v>
      </c>
    </row>
    <row r="53" spans="1:19">
      <c r="A53" s="17"/>
      <c r="B53" s="17"/>
      <c r="C53" s="17"/>
      <c r="D53" s="17"/>
      <c r="E53" s="17"/>
      <c r="F53" s="17"/>
      <c r="G53" s="17"/>
      <c r="H53" s="17"/>
      <c r="I53" s="17"/>
      <c r="J53" s="17"/>
      <c r="K53" s="17"/>
      <c r="L53" s="17"/>
      <c r="M53" s="17"/>
      <c r="R53" s="131"/>
    </row>
    <row r="54" spans="1:19">
      <c r="A54" s="17"/>
      <c r="B54" s="17"/>
      <c r="C54" s="17"/>
      <c r="D54" s="17"/>
      <c r="E54" s="17"/>
      <c r="F54" s="17"/>
      <c r="G54" s="17"/>
      <c r="H54" s="17"/>
      <c r="I54" s="17"/>
      <c r="J54" s="17"/>
      <c r="K54" s="17"/>
      <c r="L54" s="17"/>
      <c r="M54" s="17"/>
      <c r="R54" s="131"/>
    </row>
    <row r="55" spans="1:19">
      <c r="A55" s="17"/>
      <c r="B55" s="57" t="s">
        <v>419</v>
      </c>
      <c r="C55" s="57"/>
      <c r="D55" s="144"/>
      <c r="E55" s="144"/>
      <c r="F55" s="144"/>
      <c r="G55" s="144"/>
      <c r="H55" s="144"/>
      <c r="I55" s="144"/>
      <c r="J55" s="144"/>
      <c r="K55" s="144"/>
      <c r="L55" s="144"/>
      <c r="M55" s="144"/>
      <c r="N55" s="54"/>
      <c r="O55" s="54"/>
      <c r="P55" s="54"/>
      <c r="Q55" s="54"/>
      <c r="R55" s="131"/>
    </row>
    <row r="56" spans="1:19">
      <c r="A56" s="17"/>
      <c r="B56" s="150" t="s">
        <v>1875</v>
      </c>
      <c r="C56" s="17"/>
      <c r="D56" s="17"/>
      <c r="E56" s="17"/>
      <c r="F56" s="17"/>
      <c r="G56" s="17"/>
      <c r="H56" s="17"/>
      <c r="I56" s="17"/>
      <c r="J56" s="17"/>
      <c r="K56" s="17"/>
      <c r="L56" s="17"/>
      <c r="M56" s="17"/>
      <c r="N56" s="17"/>
      <c r="O56" s="17"/>
      <c r="P56" s="17"/>
      <c r="Q56" s="17"/>
      <c r="R56" s="17"/>
      <c r="S56" s="17"/>
    </row>
    <row r="57" spans="1:19">
      <c r="A57" s="17"/>
      <c r="B57" t="s">
        <v>1153</v>
      </c>
      <c r="C57" s="17"/>
      <c r="D57" s="17"/>
      <c r="E57" s="17"/>
      <c r="F57" s="17"/>
      <c r="G57" s="17"/>
      <c r="H57" s="17"/>
      <c r="I57" s="17"/>
      <c r="J57" s="17"/>
      <c r="K57" s="17"/>
      <c r="L57" s="17"/>
      <c r="M57" s="17"/>
      <c r="N57" s="17"/>
      <c r="O57" s="17"/>
      <c r="P57" s="17"/>
      <c r="Q57" s="17"/>
      <c r="R57" s="17"/>
      <c r="S57" s="17"/>
    </row>
    <row r="58" spans="1:19">
      <c r="A58" s="17"/>
      <c r="C58" s="17"/>
      <c r="D58" s="17"/>
      <c r="E58" s="17"/>
      <c r="F58" s="17"/>
      <c r="G58" s="17"/>
      <c r="H58" s="17"/>
      <c r="I58" s="17"/>
      <c r="J58" s="17"/>
      <c r="K58" s="17"/>
      <c r="L58" s="17"/>
      <c r="M58" s="17"/>
      <c r="N58" s="17"/>
      <c r="O58" s="17"/>
      <c r="P58" s="17"/>
      <c r="Q58" s="17"/>
      <c r="R58" s="17"/>
      <c r="S58" s="17"/>
    </row>
    <row r="59" spans="1:19">
      <c r="A59" s="12"/>
      <c r="D59" s="122" t="s">
        <v>98</v>
      </c>
      <c r="E59" s="122" t="s">
        <v>99</v>
      </c>
      <c r="F59" s="122" t="s">
        <v>100</v>
      </c>
      <c r="G59" s="122" t="s">
        <v>101</v>
      </c>
      <c r="H59" s="122" t="s">
        <v>102</v>
      </c>
      <c r="I59" s="122" t="s">
        <v>103</v>
      </c>
      <c r="J59" s="122" t="s">
        <v>104</v>
      </c>
      <c r="K59" s="122" t="s">
        <v>105</v>
      </c>
      <c r="L59" s="122" t="s">
        <v>106</v>
      </c>
      <c r="M59" s="122" t="s">
        <v>266</v>
      </c>
      <c r="N59" s="122" t="s">
        <v>267</v>
      </c>
      <c r="O59" s="122" t="s">
        <v>268</v>
      </c>
      <c r="P59" s="122" t="s">
        <v>269</v>
      </c>
      <c r="Q59" s="122"/>
      <c r="R59" s="131"/>
    </row>
    <row r="60" spans="1:19">
      <c r="A60" s="12"/>
      <c r="D60" s="122"/>
      <c r="E60" s="122"/>
      <c r="F60" s="122"/>
      <c r="G60" s="122"/>
      <c r="H60" s="122"/>
      <c r="I60" s="122"/>
      <c r="J60" s="122"/>
      <c r="K60" s="122"/>
      <c r="L60" s="122"/>
      <c r="M60" s="122"/>
      <c r="N60" s="122"/>
      <c r="O60" s="122"/>
      <c r="P60" s="153" t="s">
        <v>1158</v>
      </c>
      <c r="Q60" s="153"/>
      <c r="R60" s="131"/>
    </row>
    <row r="61" spans="1:19">
      <c r="B61" s="8"/>
      <c r="C61" s="8"/>
      <c r="N61" s="30"/>
      <c r="P61" s="30"/>
      <c r="Q61" s="30"/>
      <c r="R61" s="131"/>
    </row>
    <row r="62" spans="1:19">
      <c r="A62" s="201"/>
      <c r="B62" s="131"/>
      <c r="C62" s="130" t="s">
        <v>341</v>
      </c>
      <c r="D62" s="123">
        <v>350.01</v>
      </c>
      <c r="E62" s="123">
        <v>350.02</v>
      </c>
      <c r="F62" s="123">
        <v>352.01</v>
      </c>
      <c r="G62" s="123">
        <v>352.02</v>
      </c>
      <c r="H62" s="123">
        <v>353.01</v>
      </c>
      <c r="I62" s="123">
        <v>353.02</v>
      </c>
      <c r="J62" s="123">
        <v>354</v>
      </c>
      <c r="K62" s="123">
        <v>355</v>
      </c>
      <c r="L62" s="123">
        <v>356</v>
      </c>
      <c r="M62" s="123">
        <v>357</v>
      </c>
      <c r="N62" s="123">
        <v>358</v>
      </c>
      <c r="O62" s="123">
        <v>359</v>
      </c>
      <c r="R62" s="131"/>
    </row>
    <row r="63" spans="1:19">
      <c r="A63" s="119" t="s">
        <v>122</v>
      </c>
      <c r="B63" s="119" t="s">
        <v>81</v>
      </c>
      <c r="C63" s="119" t="s">
        <v>109</v>
      </c>
      <c r="D63" s="122" t="s">
        <v>342</v>
      </c>
      <c r="E63" s="122" t="s">
        <v>343</v>
      </c>
      <c r="F63" s="122" t="s">
        <v>344</v>
      </c>
      <c r="G63" s="122" t="s">
        <v>345</v>
      </c>
      <c r="H63" s="122" t="s">
        <v>346</v>
      </c>
      <c r="I63" s="122" t="s">
        <v>347</v>
      </c>
      <c r="J63" s="122" t="s">
        <v>348</v>
      </c>
      <c r="K63" s="122" t="s">
        <v>349</v>
      </c>
      <c r="L63" s="122" t="s">
        <v>350</v>
      </c>
      <c r="M63" s="122" t="s">
        <v>351</v>
      </c>
      <c r="N63" s="122" t="s">
        <v>352</v>
      </c>
      <c r="O63" s="122" t="s">
        <v>353</v>
      </c>
      <c r="P63" s="119" t="s">
        <v>354</v>
      </c>
      <c r="Q63" s="119"/>
      <c r="R63" s="119" t="str">
        <f>A63</f>
        <v>Line</v>
      </c>
    </row>
    <row r="64" spans="1:19">
      <c r="A64" s="131">
        <v>300</v>
      </c>
      <c r="B64" s="150" t="s">
        <v>111</v>
      </c>
      <c r="C64" s="156">
        <f>'1-BaseTRR'!$F$2-1</f>
        <v>2021</v>
      </c>
      <c r="D64" s="476">
        <v>88201</v>
      </c>
      <c r="E64" s="476">
        <v>39996721</v>
      </c>
      <c r="F64" s="476">
        <v>53876499</v>
      </c>
      <c r="G64" s="476">
        <v>12647513</v>
      </c>
      <c r="H64" s="476">
        <v>1155172481</v>
      </c>
      <c r="I64" s="476">
        <v>14233601</v>
      </c>
      <c r="J64" s="476">
        <v>121078919</v>
      </c>
      <c r="K64" s="476">
        <v>383393240</v>
      </c>
      <c r="L64" s="476">
        <v>299826840</v>
      </c>
      <c r="M64" s="476">
        <v>44097818</v>
      </c>
      <c r="N64" s="476">
        <v>44695149</v>
      </c>
      <c r="O64" s="476">
        <v>6004749</v>
      </c>
      <c r="P64" s="33">
        <f>SUM(D64:O64)</f>
        <v>2175111731</v>
      </c>
      <c r="Q64" s="158"/>
      <c r="R64" s="131">
        <f t="shared" ref="R64:R77" si="10">A64</f>
        <v>300</v>
      </c>
    </row>
    <row r="65" spans="1:18">
      <c r="A65" s="131">
        <f>A64+1</f>
        <v>301</v>
      </c>
      <c r="B65" s="150" t="s">
        <v>112</v>
      </c>
      <c r="C65" s="156">
        <f>'1-BaseTRR'!$F$2</f>
        <v>2022</v>
      </c>
      <c r="D65" s="476">
        <v>89778.17821205614</v>
      </c>
      <c r="E65" s="476">
        <v>40363771.133052163</v>
      </c>
      <c r="F65" s="476">
        <v>55889313.388224162</v>
      </c>
      <c r="G65" s="476">
        <v>13198186.190945722</v>
      </c>
      <c r="H65" s="476">
        <v>1168872785.5752351</v>
      </c>
      <c r="I65" s="476">
        <v>14297563.458775312</v>
      </c>
      <c r="J65" s="476">
        <v>122188095.17703642</v>
      </c>
      <c r="K65" s="476">
        <v>387956589.73941129</v>
      </c>
      <c r="L65" s="476">
        <v>307514241.53247726</v>
      </c>
      <c r="M65" s="476">
        <v>44387977.864537947</v>
      </c>
      <c r="N65" s="476">
        <v>45080607.058197781</v>
      </c>
      <c r="O65" s="476">
        <v>6312166.3145891</v>
      </c>
      <c r="P65" s="33">
        <f t="shared" ref="P65:P76" si="11">SUM(D65:O65)</f>
        <v>2206151075.6106944</v>
      </c>
      <c r="Q65" s="158"/>
      <c r="R65" s="131">
        <f t="shared" si="10"/>
        <v>301</v>
      </c>
    </row>
    <row r="66" spans="1:18">
      <c r="A66" s="131">
        <f t="shared" ref="A66:A77" si="12">A65+1</f>
        <v>302</v>
      </c>
      <c r="B66" s="150" t="s">
        <v>113</v>
      </c>
      <c r="C66" s="156">
        <f>'1-BaseTRR'!$F$2</f>
        <v>2022</v>
      </c>
      <c r="D66" s="476">
        <v>94963.801306445457</v>
      </c>
      <c r="E66" s="476">
        <v>40530232.703177638</v>
      </c>
      <c r="F66" s="476">
        <v>56220533.654443808</v>
      </c>
      <c r="G66" s="476">
        <v>13309588.571647519</v>
      </c>
      <c r="H66" s="476">
        <v>1188586023.0124893</v>
      </c>
      <c r="I66" s="476">
        <v>14340017.1497788</v>
      </c>
      <c r="J66" s="476">
        <v>121590341.68814267</v>
      </c>
      <c r="K66" s="476">
        <v>381745453.06296265</v>
      </c>
      <c r="L66" s="476">
        <v>295016587.53804344</v>
      </c>
      <c r="M66" s="476">
        <v>44597557.37124683</v>
      </c>
      <c r="N66" s="476">
        <v>45364699.230923645</v>
      </c>
      <c r="O66" s="476">
        <v>6465718.0962768486</v>
      </c>
      <c r="P66" s="33">
        <f t="shared" si="11"/>
        <v>2207861715.8804398</v>
      </c>
      <c r="Q66" s="158"/>
      <c r="R66" s="131">
        <f t="shared" si="10"/>
        <v>302</v>
      </c>
    </row>
    <row r="67" spans="1:18">
      <c r="A67" s="131">
        <f t="shared" si="12"/>
        <v>303</v>
      </c>
      <c r="B67" s="150" t="s">
        <v>114</v>
      </c>
      <c r="C67" s="156">
        <f>'1-BaseTRR'!$F$2</f>
        <v>2022</v>
      </c>
      <c r="D67" s="476">
        <v>94251.370587278914</v>
      </c>
      <c r="E67" s="476">
        <v>40696038.525619693</v>
      </c>
      <c r="F67" s="476">
        <v>56576743.626552358</v>
      </c>
      <c r="G67" s="476">
        <v>13421557.30087881</v>
      </c>
      <c r="H67" s="476">
        <v>1196862494.138449</v>
      </c>
      <c r="I67" s="476">
        <v>14381932.267166568</v>
      </c>
      <c r="J67" s="476">
        <v>123837822.95647198</v>
      </c>
      <c r="K67" s="476">
        <v>405978642.28272241</v>
      </c>
      <c r="L67" s="476">
        <v>263248025.84582472</v>
      </c>
      <c r="M67" s="476">
        <v>44806913.871303193</v>
      </c>
      <c r="N67" s="476">
        <v>45648547.05116</v>
      </c>
      <c r="O67" s="476">
        <v>6603931.3181694867</v>
      </c>
      <c r="P67" s="33">
        <f t="shared" si="11"/>
        <v>2212156900.5549054</v>
      </c>
      <c r="Q67" s="158"/>
      <c r="R67" s="131">
        <f t="shared" si="10"/>
        <v>303</v>
      </c>
    </row>
    <row r="68" spans="1:18">
      <c r="A68" s="131">
        <f t="shared" si="12"/>
        <v>304</v>
      </c>
      <c r="B68" s="150" t="s">
        <v>115</v>
      </c>
      <c r="C68" s="156">
        <f>'1-BaseTRR'!$F$2</f>
        <v>2022</v>
      </c>
      <c r="D68" s="476">
        <v>93804.887208257074</v>
      </c>
      <c r="E68" s="476">
        <v>40864230.398995429</v>
      </c>
      <c r="F68" s="476">
        <v>56937649.113004155</v>
      </c>
      <c r="G68" s="476">
        <v>13521408.507395916</v>
      </c>
      <c r="H68" s="476">
        <v>1209316333.6923113</v>
      </c>
      <c r="I68" s="476">
        <v>14423369.927486608</v>
      </c>
      <c r="J68" s="476">
        <v>123306735.85143581</v>
      </c>
      <c r="K68" s="476">
        <v>412897106.4389106</v>
      </c>
      <c r="L68" s="476">
        <v>267114539.05573794</v>
      </c>
      <c r="M68" s="476">
        <v>45014301.940913513</v>
      </c>
      <c r="N68" s="476">
        <v>45932773.974585451</v>
      </c>
      <c r="O68" s="476">
        <v>6760739.4521572609</v>
      </c>
      <c r="P68" s="33">
        <f t="shared" si="11"/>
        <v>2236182993.2401428</v>
      </c>
      <c r="Q68" s="158"/>
      <c r="R68" s="131">
        <f t="shared" si="10"/>
        <v>304</v>
      </c>
    </row>
    <row r="69" spans="1:18">
      <c r="A69" s="131">
        <f t="shared" si="12"/>
        <v>305</v>
      </c>
      <c r="B69" s="150" t="s">
        <v>89</v>
      </c>
      <c r="C69" s="156">
        <f>'1-BaseTRR'!$F$2</f>
        <v>2022</v>
      </c>
      <c r="D69" s="476">
        <v>93922.275004186682</v>
      </c>
      <c r="E69" s="476">
        <v>41033247.817430057</v>
      </c>
      <c r="F69" s="476">
        <v>57282817.728117257</v>
      </c>
      <c r="G69" s="476">
        <v>13631594.494401768</v>
      </c>
      <c r="H69" s="476">
        <v>1219819344.8711963</v>
      </c>
      <c r="I69" s="476">
        <v>14464627.87788659</v>
      </c>
      <c r="J69" s="476">
        <v>117031579.15488671</v>
      </c>
      <c r="K69" s="476">
        <v>406827791.54559833</v>
      </c>
      <c r="L69" s="476">
        <v>286719534.57022411</v>
      </c>
      <c r="M69" s="476">
        <v>45028282.881257586</v>
      </c>
      <c r="N69" s="476">
        <v>46045385.731879771</v>
      </c>
      <c r="O69" s="476">
        <v>6918550.5952528203</v>
      </c>
      <c r="P69" s="33">
        <f t="shared" si="11"/>
        <v>2254896679.5431356</v>
      </c>
      <c r="Q69" s="158"/>
      <c r="R69" s="131">
        <f t="shared" si="10"/>
        <v>305</v>
      </c>
    </row>
    <row r="70" spans="1:18">
      <c r="A70" s="131">
        <f t="shared" si="12"/>
        <v>306</v>
      </c>
      <c r="B70" s="150" t="s">
        <v>272</v>
      </c>
      <c r="C70" s="156">
        <f>'1-BaseTRR'!$F$2</f>
        <v>2022</v>
      </c>
      <c r="D70" s="476">
        <v>92860.618897041815</v>
      </c>
      <c r="E70" s="476">
        <v>41201249.013285071</v>
      </c>
      <c r="F70" s="476">
        <v>57635559.168950021</v>
      </c>
      <c r="G70" s="476">
        <v>13744747.452762704</v>
      </c>
      <c r="H70" s="476">
        <v>1220660415.744056</v>
      </c>
      <c r="I70" s="476">
        <v>14505500.720463274</v>
      </c>
      <c r="J70" s="476">
        <v>117577956.39670758</v>
      </c>
      <c r="K70" s="476">
        <v>410433071.37491149</v>
      </c>
      <c r="L70" s="476">
        <v>287841889.64135551</v>
      </c>
      <c r="M70" s="476">
        <v>45235944.564948484</v>
      </c>
      <c r="N70" s="476">
        <v>46330119.348948792</v>
      </c>
      <c r="O70" s="476">
        <v>7068553.2192339413</v>
      </c>
      <c r="P70" s="33">
        <f t="shared" si="11"/>
        <v>2262327867.2645202</v>
      </c>
      <c r="Q70" s="158"/>
      <c r="R70" s="131">
        <f t="shared" si="10"/>
        <v>306</v>
      </c>
    </row>
    <row r="71" spans="1:18">
      <c r="A71" s="131">
        <f t="shared" si="12"/>
        <v>307</v>
      </c>
      <c r="B71" s="150" t="s">
        <v>117</v>
      </c>
      <c r="C71" s="156">
        <f>'1-BaseTRR'!$F$2</f>
        <v>2022</v>
      </c>
      <c r="D71" s="476">
        <v>86258.119425919882</v>
      </c>
      <c r="E71" s="476">
        <v>41368853.606803931</v>
      </c>
      <c r="F71" s="476">
        <v>57992148.890063949</v>
      </c>
      <c r="G71" s="476">
        <v>13861549.690636499</v>
      </c>
      <c r="H71" s="476">
        <v>1230648232.0916827</v>
      </c>
      <c r="I71" s="476">
        <v>14542341.941497372</v>
      </c>
      <c r="J71" s="476">
        <v>118269655.61025013</v>
      </c>
      <c r="K71" s="476">
        <v>414904518.27581304</v>
      </c>
      <c r="L71" s="476">
        <v>289295358.18422693</v>
      </c>
      <c r="M71" s="476">
        <v>45446537.389032602</v>
      </c>
      <c r="N71" s="476">
        <v>46613552.473375589</v>
      </c>
      <c r="O71" s="476">
        <v>7217343.1022694809</v>
      </c>
      <c r="P71" s="33">
        <f t="shared" si="11"/>
        <v>2280246349.3750782</v>
      </c>
      <c r="Q71" s="158"/>
      <c r="R71" s="131">
        <f t="shared" si="10"/>
        <v>307</v>
      </c>
    </row>
    <row r="72" spans="1:18">
      <c r="A72" s="131">
        <f t="shared" si="12"/>
        <v>308</v>
      </c>
      <c r="B72" s="150" t="s">
        <v>118</v>
      </c>
      <c r="C72" s="156">
        <f>'1-BaseTRR'!$F$2</f>
        <v>2022</v>
      </c>
      <c r="D72" s="476">
        <v>-7289.2286878393043</v>
      </c>
      <c r="E72" s="476">
        <v>41537535.710666753</v>
      </c>
      <c r="F72" s="476">
        <v>58347905.862448648</v>
      </c>
      <c r="G72" s="476">
        <v>13977513.443983709</v>
      </c>
      <c r="H72" s="476">
        <v>1237850895.3156762</v>
      </c>
      <c r="I72" s="476">
        <v>14475941.557168156</v>
      </c>
      <c r="J72" s="476">
        <v>118948936.73922408</v>
      </c>
      <c r="K72" s="476">
        <v>417735094.61482412</v>
      </c>
      <c r="L72" s="476">
        <v>289171647.57415223</v>
      </c>
      <c r="M72" s="476">
        <v>45656271.318762973</v>
      </c>
      <c r="N72" s="476">
        <v>46899126.205202475</v>
      </c>
      <c r="O72" s="476">
        <v>7388111.5304562971</v>
      </c>
      <c r="P72" s="33">
        <f t="shared" si="11"/>
        <v>2291981690.6438775</v>
      </c>
      <c r="Q72" s="158"/>
      <c r="R72" s="131">
        <f t="shared" si="10"/>
        <v>308</v>
      </c>
    </row>
    <row r="73" spans="1:18">
      <c r="A73" s="131">
        <f t="shared" si="12"/>
        <v>309</v>
      </c>
      <c r="B73" s="150" t="s">
        <v>119</v>
      </c>
      <c r="C73" s="156">
        <f>'1-BaseTRR'!$F$2</f>
        <v>2022</v>
      </c>
      <c r="D73" s="476">
        <v>-8731.7632816906989</v>
      </c>
      <c r="E73" s="476">
        <v>41706252.600003637</v>
      </c>
      <c r="F73" s="476">
        <v>58708994.382545292</v>
      </c>
      <c r="G73" s="476">
        <v>14095915.05266374</v>
      </c>
      <c r="H73" s="476">
        <v>1248524709.9608731</v>
      </c>
      <c r="I73" s="476">
        <v>14516611.181439351</v>
      </c>
      <c r="J73" s="476">
        <v>118836630.15835187</v>
      </c>
      <c r="K73" s="476">
        <v>419269575.76611191</v>
      </c>
      <c r="L73" s="476">
        <v>288214723.93459958</v>
      </c>
      <c r="M73" s="476">
        <v>45866824.475820273</v>
      </c>
      <c r="N73" s="476">
        <v>47175226.970286578</v>
      </c>
      <c r="O73" s="476">
        <v>7527184.4335547006</v>
      </c>
      <c r="P73" s="33">
        <f t="shared" si="11"/>
        <v>2304433917.1529679</v>
      </c>
      <c r="Q73" s="158"/>
      <c r="R73" s="131">
        <f t="shared" si="10"/>
        <v>309</v>
      </c>
    </row>
    <row r="74" spans="1:18">
      <c r="A74" s="131">
        <f t="shared" si="12"/>
        <v>310</v>
      </c>
      <c r="B74" s="150" t="s">
        <v>120</v>
      </c>
      <c r="C74" s="156">
        <f>'1-BaseTRR'!$F$2</f>
        <v>2022</v>
      </c>
      <c r="D74" s="476">
        <v>-9036.5286028558912</v>
      </c>
      <c r="E74" s="476">
        <v>41875191.691666976</v>
      </c>
      <c r="F74" s="476">
        <v>59066197.025570057</v>
      </c>
      <c r="G74" s="476">
        <v>14245187.984632701</v>
      </c>
      <c r="H74" s="476">
        <v>1256770574.2198327</v>
      </c>
      <c r="I74" s="476">
        <v>14548352.745989941</v>
      </c>
      <c r="J74" s="476">
        <v>118649329.01952085</v>
      </c>
      <c r="K74" s="476">
        <v>423787511.64748985</v>
      </c>
      <c r="L74" s="476">
        <v>284752663.5451147</v>
      </c>
      <c r="M74" s="476">
        <v>46077278.282125048</v>
      </c>
      <c r="N74" s="476">
        <v>47457269.550854191</v>
      </c>
      <c r="O74" s="476">
        <v>7412505.3010998908</v>
      </c>
      <c r="P74" s="33">
        <f t="shared" si="11"/>
        <v>2314633024.4852939</v>
      </c>
      <c r="Q74" s="158"/>
      <c r="R74" s="131">
        <f t="shared" si="10"/>
        <v>310</v>
      </c>
    </row>
    <row r="75" spans="1:18">
      <c r="A75" s="131">
        <f t="shared" si="12"/>
        <v>311</v>
      </c>
      <c r="B75" s="150" t="s">
        <v>121</v>
      </c>
      <c r="C75" s="156">
        <f>'1-BaseTRR'!$F$2</f>
        <v>2022</v>
      </c>
      <c r="D75" s="476">
        <v>-9094.1062678171875</v>
      </c>
      <c r="E75" s="476">
        <v>42043272.823104486</v>
      </c>
      <c r="F75" s="476">
        <v>59422328.520644546</v>
      </c>
      <c r="G75" s="476">
        <v>14372427.777761798</v>
      </c>
      <c r="H75" s="476">
        <v>1261715132.2299914</v>
      </c>
      <c r="I75" s="476">
        <v>14628421.406138724</v>
      </c>
      <c r="J75" s="476">
        <v>118549062.80610403</v>
      </c>
      <c r="K75" s="476">
        <v>424955951.51788718</v>
      </c>
      <c r="L75" s="476">
        <v>285028854.38689977</v>
      </c>
      <c r="M75" s="476">
        <v>46287945.64506045</v>
      </c>
      <c r="N75" s="476">
        <v>47738853.0369635</v>
      </c>
      <c r="O75" s="476">
        <v>7585752.1022164077</v>
      </c>
      <c r="P75" s="33">
        <f t="shared" si="11"/>
        <v>2322318908.1465044</v>
      </c>
      <c r="Q75" s="158"/>
      <c r="R75" s="131">
        <f t="shared" si="10"/>
        <v>311</v>
      </c>
    </row>
    <row r="76" spans="1:18">
      <c r="A76" s="131">
        <f t="shared" si="12"/>
        <v>312</v>
      </c>
      <c r="B76" s="150" t="s">
        <v>111</v>
      </c>
      <c r="C76" s="156">
        <f>'1-BaseTRR'!$F$2</f>
        <v>2022</v>
      </c>
      <c r="D76" s="432">
        <v>-9017.8346975886452</v>
      </c>
      <c r="E76" s="432">
        <v>41990231.279739</v>
      </c>
      <c r="F76" s="432">
        <v>54472756.251418032</v>
      </c>
      <c r="G76" s="432">
        <v>14437449.208203025</v>
      </c>
      <c r="H76" s="432">
        <v>1276419106.8788404</v>
      </c>
      <c r="I76" s="432">
        <v>14666414.053038627</v>
      </c>
      <c r="J76" s="432">
        <v>119663568.28572381</v>
      </c>
      <c r="K76" s="432">
        <v>433346770.07812124</v>
      </c>
      <c r="L76" s="432">
        <v>282664335.8489911</v>
      </c>
      <c r="M76" s="432">
        <v>46390037.575918667</v>
      </c>
      <c r="N76" s="432">
        <v>47892548.666017883</v>
      </c>
      <c r="O76" s="432">
        <v>7509178.9976306409</v>
      </c>
      <c r="P76" s="504">
        <f t="shared" si="11"/>
        <v>2339443379.2889447</v>
      </c>
      <c r="Q76" s="203"/>
      <c r="R76" s="131">
        <f t="shared" si="10"/>
        <v>312</v>
      </c>
    </row>
    <row r="77" spans="1:18">
      <c r="A77" s="131">
        <f t="shared" si="12"/>
        <v>313</v>
      </c>
      <c r="B77" s="630" t="s">
        <v>355</v>
      </c>
      <c r="C77" s="631"/>
      <c r="D77" s="632">
        <f>SUM(D64:D76)/13</f>
        <v>53143.906854107241</v>
      </c>
      <c r="E77" s="632">
        <f>SUM(E64:E76)/13</f>
        <v>41169756.023349606</v>
      </c>
      <c r="F77" s="632">
        <f>SUM(F64:F76)/13</f>
        <v>57109957.431690939</v>
      </c>
      <c r="G77" s="632">
        <f>SUM(G64:G76)/13</f>
        <v>13728049.128916454</v>
      </c>
      <c r="H77" s="632">
        <f t="shared" ref="H77:P77" si="13">SUM(H64:H76)/13</f>
        <v>1220862963.7485101</v>
      </c>
      <c r="I77" s="632">
        <f t="shared" si="13"/>
        <v>14463438.098986872</v>
      </c>
      <c r="J77" s="632">
        <f t="shared" si="13"/>
        <v>119963740.98798892</v>
      </c>
      <c r="K77" s="632">
        <f t="shared" si="13"/>
        <v>409479332.02652031</v>
      </c>
      <c r="L77" s="632">
        <f t="shared" si="13"/>
        <v>286646864.74289596</v>
      </c>
      <c r="M77" s="632">
        <f t="shared" si="13"/>
        <v>45299514.706225201</v>
      </c>
      <c r="N77" s="632">
        <f t="shared" si="13"/>
        <v>46374912.176799662</v>
      </c>
      <c r="O77" s="632">
        <f t="shared" si="13"/>
        <v>6982652.5740697589</v>
      </c>
      <c r="P77" s="633">
        <f t="shared" si="13"/>
        <v>2262134325.5528083</v>
      </c>
      <c r="Q77" s="158"/>
      <c r="R77" s="131">
        <f t="shared" si="10"/>
        <v>313</v>
      </c>
    </row>
    <row r="78" spans="1:18">
      <c r="A78" s="131"/>
      <c r="B78" s="161"/>
      <c r="C78" s="161"/>
      <c r="D78" s="20"/>
      <c r="E78" s="20"/>
      <c r="F78" s="20"/>
      <c r="G78" s="20"/>
      <c r="H78" s="20"/>
      <c r="I78" s="20"/>
      <c r="J78" s="20"/>
      <c r="K78" s="20"/>
      <c r="L78" s="20"/>
      <c r="M78" s="20"/>
      <c r="N78" s="20"/>
      <c r="R78" s="131"/>
    </row>
    <row r="79" spans="1:18">
      <c r="A79" s="131"/>
      <c r="B79" s="161"/>
      <c r="C79" s="161"/>
      <c r="D79" s="20"/>
      <c r="E79" s="20"/>
      <c r="F79" s="20"/>
      <c r="G79" s="20"/>
      <c r="H79" s="20"/>
      <c r="I79" s="20"/>
      <c r="J79" s="20"/>
      <c r="K79" s="20"/>
      <c r="L79" s="20"/>
      <c r="M79" s="20"/>
      <c r="N79" s="20"/>
      <c r="R79" s="131"/>
    </row>
    <row r="80" spans="1:18">
      <c r="B80" s="57" t="s">
        <v>420</v>
      </c>
      <c r="C80" s="57"/>
      <c r="D80" s="144"/>
      <c r="E80" s="144"/>
      <c r="F80" s="144"/>
      <c r="G80" s="144"/>
      <c r="H80" s="144"/>
      <c r="I80" s="144"/>
      <c r="J80" s="144"/>
      <c r="K80" s="144"/>
      <c r="L80" s="144"/>
      <c r="M80" s="144"/>
      <c r="N80" s="54"/>
      <c r="O80" s="54"/>
      <c r="P80" s="54"/>
      <c r="Q80" s="54"/>
      <c r="R80" s="131"/>
    </row>
    <row r="81" spans="1:18">
      <c r="B81" s="150" t="s">
        <v>1876</v>
      </c>
      <c r="R81" s="131"/>
    </row>
    <row r="82" spans="1:18">
      <c r="R82" s="131"/>
    </row>
    <row r="83" spans="1:18">
      <c r="A83" s="12"/>
      <c r="D83" s="122" t="s">
        <v>98</v>
      </c>
      <c r="E83" s="122" t="s">
        <v>99</v>
      </c>
      <c r="F83" s="122" t="s">
        <v>100</v>
      </c>
      <c r="G83" s="122"/>
      <c r="H83" s="122"/>
      <c r="I83" s="122"/>
      <c r="J83" s="122"/>
      <c r="K83" s="122"/>
      <c r="L83" s="122"/>
      <c r="M83" s="122"/>
      <c r="N83" s="122"/>
      <c r="R83" s="131"/>
    </row>
    <row r="84" spans="1:18">
      <c r="A84" s="12"/>
      <c r="D84" s="140" t="s">
        <v>359</v>
      </c>
      <c r="E84" s="153" t="s">
        <v>123</v>
      </c>
      <c r="F84" s="153" t="s">
        <v>123</v>
      </c>
      <c r="G84" s="122"/>
      <c r="H84" s="122"/>
      <c r="I84" s="122"/>
      <c r="J84" s="122"/>
      <c r="K84" s="122"/>
      <c r="L84" s="122"/>
      <c r="M84" s="122"/>
      <c r="N84" s="122"/>
      <c r="R84" s="131"/>
    </row>
    <row r="85" spans="1:18">
      <c r="B85" s="8"/>
      <c r="C85" s="8"/>
      <c r="N85" s="30"/>
      <c r="R85" s="131"/>
    </row>
    <row r="86" spans="1:18">
      <c r="A86" s="119" t="s">
        <v>122</v>
      </c>
      <c r="B86" s="119" t="s">
        <v>81</v>
      </c>
      <c r="C86" s="119" t="s">
        <v>109</v>
      </c>
      <c r="D86" s="122" t="s">
        <v>421</v>
      </c>
      <c r="E86" s="122" t="s">
        <v>363</v>
      </c>
      <c r="F86" s="122" t="s">
        <v>364</v>
      </c>
      <c r="G86" s="122"/>
      <c r="H86" s="122"/>
      <c r="I86" s="122"/>
      <c r="J86" s="122"/>
      <c r="K86" s="122"/>
      <c r="L86" s="122"/>
      <c r="M86" s="122"/>
      <c r="N86" s="119"/>
      <c r="R86" s="119" t="str">
        <f>A86</f>
        <v>Line</v>
      </c>
    </row>
    <row r="87" spans="1:18">
      <c r="A87" s="131">
        <v>400</v>
      </c>
      <c r="B87" s="150" t="s">
        <v>111</v>
      </c>
      <c r="C87" s="156">
        <f>'1-BaseTRR'!$F$2-1</f>
        <v>2021</v>
      </c>
      <c r="D87" s="474">
        <f>+E87+F87</f>
        <v>334009022.54999995</v>
      </c>
      <c r="E87" s="476">
        <v>121844420.64098677</v>
      </c>
      <c r="F87" s="476">
        <v>212164601.90901318</v>
      </c>
      <c r="G87" s="164" t="s">
        <v>1379</v>
      </c>
      <c r="H87" s="164"/>
      <c r="I87" s="164"/>
      <c r="J87" s="164"/>
      <c r="K87" s="164"/>
      <c r="L87" s="164"/>
      <c r="M87" s="164"/>
      <c r="N87" s="20"/>
      <c r="R87" s="131">
        <f t="shared" ref="R87:R89" si="14">A87</f>
        <v>400</v>
      </c>
    </row>
    <row r="88" spans="1:18">
      <c r="A88" s="131">
        <f>+A87+1</f>
        <v>401</v>
      </c>
      <c r="B88" s="159" t="s">
        <v>111</v>
      </c>
      <c r="C88" s="160">
        <f>'1-BaseTRR'!$F$2</f>
        <v>2022</v>
      </c>
      <c r="D88" s="475">
        <f>+E88+F88</f>
        <v>404647886.74576372</v>
      </c>
      <c r="E88" s="477">
        <v>141543432.51310569</v>
      </c>
      <c r="F88" s="477">
        <v>263104454.23265803</v>
      </c>
      <c r="G88" s="164" t="s">
        <v>1374</v>
      </c>
      <c r="H88" s="165"/>
      <c r="I88" s="165"/>
      <c r="J88" s="165"/>
      <c r="K88" s="165"/>
      <c r="L88" s="165"/>
      <c r="M88" s="165"/>
      <c r="N88" s="165"/>
      <c r="R88" s="131">
        <f t="shared" si="14"/>
        <v>401</v>
      </c>
    </row>
    <row r="89" spans="1:18">
      <c r="A89" s="131">
        <f t="shared" ref="A89" si="15">A88+1</f>
        <v>402</v>
      </c>
      <c r="B89" s="169" t="s">
        <v>365</v>
      </c>
      <c r="C89" s="169"/>
      <c r="D89" s="547">
        <f t="shared" ref="D89:F89" si="16">AVERAGE(D87:D88)</f>
        <v>369328454.64788187</v>
      </c>
      <c r="E89" s="547">
        <f t="shared" si="16"/>
        <v>131693926.57704623</v>
      </c>
      <c r="F89" s="547">
        <f t="shared" si="16"/>
        <v>237634528.07083559</v>
      </c>
      <c r="G89" s="20" t="s">
        <v>1149</v>
      </c>
      <c r="H89" s="20"/>
      <c r="I89" s="20"/>
      <c r="J89" s="20"/>
      <c r="K89" s="20"/>
      <c r="L89" s="20"/>
      <c r="M89" s="20"/>
      <c r="N89" s="20"/>
      <c r="R89" s="131">
        <f t="shared" si="14"/>
        <v>402</v>
      </c>
    </row>
    <row r="90" spans="1:18">
      <c r="A90" s="131"/>
      <c r="B90" s="161"/>
      <c r="C90" s="161"/>
      <c r="D90" s="20"/>
      <c r="E90" s="20"/>
      <c r="F90" s="20"/>
      <c r="G90" s="20"/>
      <c r="H90" s="20"/>
      <c r="I90" s="20"/>
      <c r="J90" s="20"/>
      <c r="K90" s="20"/>
      <c r="L90" s="20"/>
      <c r="M90" s="20"/>
      <c r="N90" s="20"/>
      <c r="R90" s="131"/>
    </row>
    <row r="91" spans="1:18">
      <c r="A91" s="131"/>
      <c r="B91" s="161"/>
      <c r="C91" s="161"/>
      <c r="D91" s="20"/>
      <c r="E91" s="20"/>
      <c r="F91" s="20"/>
      <c r="G91" s="20"/>
      <c r="H91" s="20"/>
      <c r="I91" s="20"/>
      <c r="J91" s="20"/>
      <c r="K91" s="20"/>
      <c r="L91" s="20"/>
      <c r="M91" s="20"/>
      <c r="N91" s="20"/>
      <c r="R91" s="131"/>
    </row>
    <row r="92" spans="1:18">
      <c r="B92" s="57" t="s">
        <v>422</v>
      </c>
      <c r="C92" s="57"/>
      <c r="D92" s="144"/>
      <c r="E92" s="144"/>
      <c r="F92" s="144"/>
      <c r="G92" s="144"/>
      <c r="H92" s="144"/>
      <c r="I92" s="144"/>
      <c r="J92" s="144"/>
      <c r="K92" s="144"/>
      <c r="L92" s="144"/>
      <c r="M92" s="144"/>
      <c r="N92" s="54"/>
      <c r="O92" s="54"/>
      <c r="P92" s="54"/>
      <c r="Q92" s="54"/>
      <c r="R92" s="131"/>
    </row>
    <row r="93" spans="1:18">
      <c r="B93" s="150" t="s">
        <v>1877</v>
      </c>
    </row>
    <row r="95" spans="1:18">
      <c r="A95" s="12"/>
      <c r="D95" s="122" t="s">
        <v>98</v>
      </c>
      <c r="E95" s="122" t="s">
        <v>99</v>
      </c>
      <c r="F95" s="122" t="s">
        <v>100</v>
      </c>
      <c r="G95" s="122" t="s">
        <v>101</v>
      </c>
      <c r="H95" s="122" t="s">
        <v>102</v>
      </c>
      <c r="I95" s="122"/>
      <c r="J95" s="122"/>
      <c r="K95" s="122"/>
      <c r="L95" s="122"/>
      <c r="M95" s="122"/>
      <c r="N95" s="122"/>
      <c r="R95" s="131"/>
    </row>
    <row r="96" spans="1:18" ht="29">
      <c r="A96" s="12"/>
      <c r="D96" s="153" t="s">
        <v>124</v>
      </c>
      <c r="E96" s="153" t="s">
        <v>1047</v>
      </c>
      <c r="F96" s="166" t="s">
        <v>367</v>
      </c>
      <c r="G96" s="153" t="s">
        <v>1049</v>
      </c>
      <c r="H96" s="153" t="s">
        <v>1050</v>
      </c>
      <c r="I96" s="122"/>
      <c r="J96" s="122"/>
      <c r="K96" s="122"/>
      <c r="L96" s="122"/>
      <c r="M96" s="122"/>
      <c r="N96" s="122"/>
      <c r="R96" s="131"/>
    </row>
    <row r="97" spans="1:18">
      <c r="A97" s="12"/>
      <c r="D97" s="122"/>
      <c r="E97" s="122"/>
      <c r="F97" s="122"/>
      <c r="G97" s="122"/>
      <c r="H97" s="122"/>
      <c r="I97" s="122"/>
      <c r="J97" s="122"/>
      <c r="K97" s="122"/>
      <c r="L97" s="122"/>
      <c r="M97" s="122"/>
      <c r="N97" s="122"/>
      <c r="R97" s="131"/>
    </row>
    <row r="98" spans="1:18">
      <c r="A98" s="12"/>
      <c r="D98" s="122"/>
      <c r="E98" s="8" t="s">
        <v>368</v>
      </c>
      <c r="F98" s="8" t="s">
        <v>368</v>
      </c>
      <c r="G98" s="122"/>
      <c r="H98" s="122"/>
      <c r="I98" s="122"/>
      <c r="J98" s="122"/>
      <c r="K98" s="122"/>
      <c r="L98" s="122"/>
      <c r="M98" s="122"/>
      <c r="N98" s="122"/>
      <c r="R98" s="131"/>
    </row>
    <row r="99" spans="1:18">
      <c r="B99" s="8"/>
      <c r="C99" s="8"/>
      <c r="D99" s="123" t="s">
        <v>369</v>
      </c>
      <c r="E99" s="8" t="s">
        <v>187</v>
      </c>
      <c r="F99" s="8" t="s">
        <v>187</v>
      </c>
      <c r="N99" s="30"/>
      <c r="R99" s="131"/>
    </row>
    <row r="100" spans="1:18">
      <c r="A100" s="119" t="s">
        <v>122</v>
      </c>
      <c r="B100" s="119" t="s">
        <v>81</v>
      </c>
      <c r="C100" s="119" t="s">
        <v>109</v>
      </c>
      <c r="D100" s="168" t="s">
        <v>370</v>
      </c>
      <c r="E100" s="168" t="s">
        <v>371</v>
      </c>
      <c r="F100" s="163" t="s">
        <v>372</v>
      </c>
      <c r="G100" s="122" t="s">
        <v>363</v>
      </c>
      <c r="H100" s="122" t="s">
        <v>364</v>
      </c>
      <c r="I100" s="122"/>
      <c r="J100" s="122"/>
      <c r="K100" s="122"/>
      <c r="L100" s="122"/>
      <c r="M100" s="122"/>
      <c r="N100" s="119"/>
      <c r="R100" s="119" t="str">
        <f>A100</f>
        <v>Line</v>
      </c>
    </row>
    <row r="101" spans="1:18">
      <c r="A101" s="131">
        <v>500</v>
      </c>
      <c r="B101" s="150" t="s">
        <v>111</v>
      </c>
      <c r="C101" s="156">
        <f>'1-BaseTRR'!$F$2-1</f>
        <v>2021</v>
      </c>
      <c r="D101" s="51">
        <v>1006714730.6500001</v>
      </c>
      <c r="E101" s="31">
        <f>'24-Allocators'!$C$24</f>
        <v>9.5754660785216397E-2</v>
      </c>
      <c r="F101" s="474">
        <f>+D101*E101</f>
        <v>96397627.540871248</v>
      </c>
      <c r="G101" s="478">
        <f>+F101*'24-Allocators'!$C$43</f>
        <v>33034899.005550642</v>
      </c>
      <c r="H101" s="478">
        <f>+F101*'24-Allocators'!$C$44</f>
        <v>63362728.535320602</v>
      </c>
      <c r="I101" s="164" t="s">
        <v>1376</v>
      </c>
      <c r="J101" s="164"/>
      <c r="K101" s="164"/>
      <c r="L101" s="164"/>
      <c r="M101" s="164"/>
      <c r="N101" s="20"/>
      <c r="R101" s="131">
        <f t="shared" ref="R101:R103" si="17">A101</f>
        <v>500</v>
      </c>
    </row>
    <row r="102" spans="1:18">
      <c r="A102" s="131">
        <f>+A101+1</f>
        <v>501</v>
      </c>
      <c r="B102" s="159" t="s">
        <v>111</v>
      </c>
      <c r="C102" s="160">
        <f>'1-BaseTRR'!$F$2</f>
        <v>2022</v>
      </c>
      <c r="D102" s="48">
        <v>1120986952.8200002</v>
      </c>
      <c r="E102" s="41">
        <f>'24-Allocators'!$C$24</f>
        <v>9.5754660785216397E-2</v>
      </c>
      <c r="F102" s="475">
        <f>+D102*E102</f>
        <v>107339725.4119325</v>
      </c>
      <c r="G102" s="475">
        <f>+F102*'24-Allocators'!$C$43</f>
        <v>36784691.477633014</v>
      </c>
      <c r="H102" s="475">
        <f>+F102*'24-Allocators'!$C$44</f>
        <v>70555033.934299484</v>
      </c>
      <c r="I102" s="164" t="s">
        <v>1375</v>
      </c>
      <c r="J102" s="165"/>
      <c r="K102" s="165"/>
      <c r="L102" s="165"/>
      <c r="M102" s="165"/>
      <c r="N102" s="165"/>
      <c r="R102" s="131">
        <f t="shared" si="17"/>
        <v>501</v>
      </c>
    </row>
    <row r="103" spans="1:18">
      <c r="A103" s="131">
        <f t="shared" ref="A103" si="18">A102+1</f>
        <v>502</v>
      </c>
      <c r="B103" s="169" t="s">
        <v>365</v>
      </c>
      <c r="C103" s="169"/>
      <c r="D103" s="547">
        <f>AVERAGE(D101:D102)</f>
        <v>1063850841.7350001</v>
      </c>
      <c r="E103" s="12"/>
      <c r="F103" s="547">
        <f>AVERAGE(F101:F102)</f>
        <v>101868676.47640187</v>
      </c>
      <c r="G103" s="547">
        <f t="shared" ref="G103:H103" si="19">AVERAGE(G101:G102)</f>
        <v>34909795.241591826</v>
      </c>
      <c r="H103" s="547">
        <f t="shared" si="19"/>
        <v>66958881.234810039</v>
      </c>
      <c r="I103" s="20" t="s">
        <v>1148</v>
      </c>
      <c r="J103" s="20"/>
      <c r="K103" s="20"/>
      <c r="L103" s="20"/>
      <c r="M103" s="20"/>
      <c r="N103" s="20"/>
      <c r="R103" s="131">
        <f t="shared" si="17"/>
        <v>502</v>
      </c>
    </row>
    <row r="104" spans="1:18">
      <c r="A104" s="131"/>
      <c r="B104" s="150"/>
      <c r="C104" s="150"/>
      <c r="D104" s="20"/>
      <c r="E104" s="20"/>
      <c r="F104" s="20"/>
      <c r="G104" s="20"/>
      <c r="H104" s="20"/>
      <c r="I104" s="20"/>
      <c r="J104" s="20"/>
      <c r="K104" s="20"/>
      <c r="L104" s="20"/>
      <c r="M104" s="20"/>
      <c r="N104" s="20"/>
      <c r="R104" s="131"/>
    </row>
    <row r="105" spans="1:18">
      <c r="A105" s="131"/>
      <c r="B105" s="150"/>
      <c r="C105" s="150"/>
      <c r="D105" s="20"/>
      <c r="E105" s="20"/>
      <c r="F105" s="20"/>
      <c r="G105" s="20"/>
      <c r="H105" s="20"/>
      <c r="I105" s="20"/>
      <c r="J105" s="20"/>
      <c r="K105" s="20"/>
      <c r="L105" s="20"/>
      <c r="M105" s="20"/>
      <c r="N105" s="20"/>
      <c r="R105" s="131"/>
    </row>
    <row r="106" spans="1:18">
      <c r="B106" s="57" t="s">
        <v>423</v>
      </c>
      <c r="C106" s="57"/>
      <c r="D106" s="144"/>
      <c r="E106" s="144"/>
      <c r="F106" s="144"/>
      <c r="G106" s="144"/>
      <c r="H106" s="144"/>
      <c r="I106" s="144"/>
      <c r="J106" s="144"/>
      <c r="K106" s="144"/>
      <c r="L106" s="144"/>
      <c r="M106" s="144"/>
      <c r="N106" s="54"/>
      <c r="O106" s="54"/>
      <c r="P106" s="54"/>
      <c r="Q106" s="54"/>
      <c r="R106" s="131"/>
    </row>
    <row r="107" spans="1:18">
      <c r="B107" s="150" t="s">
        <v>1878</v>
      </c>
    </row>
    <row r="109" spans="1:18">
      <c r="A109" s="12"/>
      <c r="D109" s="122" t="s">
        <v>98</v>
      </c>
      <c r="E109" s="122" t="s">
        <v>99</v>
      </c>
      <c r="F109" s="122" t="s">
        <v>100</v>
      </c>
      <c r="G109" s="122" t="s">
        <v>101</v>
      </c>
      <c r="H109" s="122" t="s">
        <v>102</v>
      </c>
      <c r="I109" s="122"/>
      <c r="J109" s="122"/>
      <c r="K109" s="122"/>
      <c r="L109" s="122"/>
      <c r="M109" s="122"/>
      <c r="N109" s="122"/>
      <c r="R109" s="131"/>
    </row>
    <row r="110" spans="1:18" ht="29">
      <c r="A110" s="12"/>
      <c r="D110" s="153" t="s">
        <v>166</v>
      </c>
      <c r="E110" s="153" t="s">
        <v>1048</v>
      </c>
      <c r="F110" s="166" t="s">
        <v>367</v>
      </c>
      <c r="G110" s="153" t="s">
        <v>1049</v>
      </c>
      <c r="H110" s="153" t="s">
        <v>1050</v>
      </c>
      <c r="I110" s="122"/>
      <c r="J110" s="122"/>
      <c r="K110" s="122"/>
      <c r="L110" s="122"/>
      <c r="M110" s="122"/>
      <c r="N110" s="122"/>
      <c r="R110" s="131"/>
    </row>
    <row r="111" spans="1:18">
      <c r="A111" s="12"/>
      <c r="D111" s="122"/>
      <c r="E111" s="122"/>
      <c r="F111" s="122"/>
      <c r="G111" s="122"/>
      <c r="H111" s="122"/>
      <c r="I111" s="122"/>
      <c r="J111" s="122"/>
      <c r="K111" s="122"/>
      <c r="L111" s="122"/>
      <c r="M111" s="122"/>
      <c r="N111" s="122"/>
      <c r="R111" s="131"/>
    </row>
    <row r="112" spans="1:18">
      <c r="A112" s="12"/>
      <c r="D112" s="122"/>
      <c r="E112" s="8" t="s">
        <v>368</v>
      </c>
      <c r="F112" s="8" t="s">
        <v>368</v>
      </c>
      <c r="G112" s="122"/>
      <c r="H112" s="122"/>
      <c r="I112" s="122"/>
      <c r="J112" s="122"/>
      <c r="K112" s="122"/>
      <c r="L112" s="122"/>
      <c r="M112" s="122"/>
      <c r="N112" s="122"/>
      <c r="R112" s="131"/>
    </row>
    <row r="113" spans="1:18">
      <c r="B113" s="8"/>
      <c r="C113" s="8"/>
      <c r="D113" s="123" t="s">
        <v>375</v>
      </c>
      <c r="E113" s="8" t="s">
        <v>187</v>
      </c>
      <c r="F113" s="8" t="s">
        <v>187</v>
      </c>
      <c r="N113" s="30"/>
      <c r="R113" s="131"/>
    </row>
    <row r="114" spans="1:18">
      <c r="A114" s="119" t="s">
        <v>122</v>
      </c>
      <c r="B114" s="119" t="s">
        <v>81</v>
      </c>
      <c r="C114" s="119" t="s">
        <v>109</v>
      </c>
      <c r="D114" s="168" t="s">
        <v>370</v>
      </c>
      <c r="E114" s="168" t="s">
        <v>371</v>
      </c>
      <c r="F114" s="163" t="s">
        <v>372</v>
      </c>
      <c r="G114" s="122" t="s">
        <v>363</v>
      </c>
      <c r="H114" s="122" t="s">
        <v>364</v>
      </c>
      <c r="I114" s="122"/>
      <c r="J114" s="122"/>
      <c r="K114" s="122"/>
      <c r="L114" s="122"/>
      <c r="M114" s="122"/>
      <c r="N114" s="119"/>
      <c r="R114" s="119" t="str">
        <f>A114</f>
        <v>Line</v>
      </c>
    </row>
    <row r="115" spans="1:18">
      <c r="A115" s="131">
        <v>600</v>
      </c>
      <c r="B115" s="150" t="s">
        <v>111</v>
      </c>
      <c r="C115" s="156">
        <f>'1-BaseTRR'!$F$2-1</f>
        <v>2021</v>
      </c>
      <c r="D115" s="51">
        <v>77287812.320000023</v>
      </c>
      <c r="E115" s="31">
        <f>'24-Allocators'!$C$23</f>
        <v>0.13539553206179952</v>
      </c>
      <c r="F115" s="474">
        <f>+D115*E115</f>
        <v>10464424.470958907</v>
      </c>
      <c r="G115" s="478">
        <f>+F115*'24-Allocators'!$C$43</f>
        <v>3586096.612209382</v>
      </c>
      <c r="H115" s="478">
        <f>+F115*'24-Allocators'!$C$44</f>
        <v>6878327.8587495247</v>
      </c>
      <c r="I115" s="164" t="s">
        <v>1378</v>
      </c>
      <c r="J115" s="164"/>
      <c r="K115" s="164"/>
      <c r="L115" s="164"/>
      <c r="M115" s="164"/>
      <c r="N115" s="20"/>
      <c r="R115" s="131">
        <f t="shared" ref="R115:R117" si="20">A115</f>
        <v>600</v>
      </c>
    </row>
    <row r="116" spans="1:18">
      <c r="A116" s="131">
        <f>+A115+1</f>
        <v>601</v>
      </c>
      <c r="B116" s="159" t="s">
        <v>111</v>
      </c>
      <c r="C116" s="160">
        <f>'1-BaseTRR'!$F$2</f>
        <v>2022</v>
      </c>
      <c r="D116" s="48">
        <v>93272378.620000109</v>
      </c>
      <c r="E116" s="41">
        <f>'24-Allocators'!$C$23</f>
        <v>0.13539553206179952</v>
      </c>
      <c r="F116" s="475">
        <f>+D116*E116</f>
        <v>12628663.329924529</v>
      </c>
      <c r="G116" s="475">
        <f>+F116*'24-Allocators'!$C$43</f>
        <v>4327768.5179780629</v>
      </c>
      <c r="H116" s="475">
        <f>+F116*'24-Allocators'!$C$44</f>
        <v>8300894.8119464666</v>
      </c>
      <c r="I116" s="164" t="s">
        <v>1377</v>
      </c>
      <c r="J116" s="165"/>
      <c r="K116" s="165"/>
      <c r="L116" s="165"/>
      <c r="M116" s="165"/>
      <c r="N116" s="165"/>
      <c r="R116" s="131">
        <f t="shared" si="20"/>
        <v>601</v>
      </c>
    </row>
    <row r="117" spans="1:18">
      <c r="A117" s="131">
        <f t="shared" ref="A117" si="21">A116+1</f>
        <v>602</v>
      </c>
      <c r="B117" s="169" t="s">
        <v>365</v>
      </c>
      <c r="C117" s="169"/>
      <c r="D117" s="547">
        <f>AVERAGE(D115:D116)</f>
        <v>85280095.470000058</v>
      </c>
      <c r="E117" s="12"/>
      <c r="F117" s="547">
        <f>AVERAGE(F115:F116)</f>
        <v>11546543.900441717</v>
      </c>
      <c r="G117" s="547">
        <f t="shared" ref="G117:H117" si="22">AVERAGE(G115:G116)</f>
        <v>3956932.5650937222</v>
      </c>
      <c r="H117" s="547">
        <f t="shared" si="22"/>
        <v>7589611.3353479952</v>
      </c>
      <c r="I117" s="20" t="s">
        <v>1147</v>
      </c>
      <c r="J117" s="20"/>
      <c r="K117" s="20"/>
      <c r="L117" s="20"/>
      <c r="M117" s="20"/>
      <c r="N117" s="20"/>
      <c r="R117" s="131">
        <f t="shared" si="20"/>
        <v>602</v>
      </c>
    </row>
    <row r="118" spans="1:18">
      <c r="A118" s="131"/>
      <c r="B118" s="161"/>
      <c r="C118" s="161"/>
      <c r="D118" s="204"/>
      <c r="E118" s="204"/>
      <c r="F118" s="204"/>
      <c r="G118" s="20"/>
      <c r="H118" s="20"/>
      <c r="I118" s="20"/>
      <c r="J118" s="20"/>
      <c r="K118" s="20"/>
      <c r="L118" s="20"/>
      <c r="M118" s="20"/>
      <c r="N118" s="20"/>
      <c r="R118" s="131"/>
    </row>
    <row r="119" spans="1:18">
      <c r="A119" s="131"/>
      <c r="B119" s="161"/>
      <c r="C119" s="161"/>
      <c r="D119" s="204"/>
      <c r="E119" s="204"/>
      <c r="F119" s="204"/>
      <c r="G119" s="20"/>
      <c r="H119" s="20"/>
      <c r="I119" s="20"/>
      <c r="J119" s="20"/>
      <c r="K119" s="20"/>
      <c r="L119" s="20"/>
      <c r="M119" s="20"/>
      <c r="N119" s="20"/>
      <c r="R119" s="131"/>
    </row>
    <row r="120" spans="1:18">
      <c r="B120" s="205" t="s">
        <v>424</v>
      </c>
      <c r="C120" s="205"/>
      <c r="D120" s="59"/>
      <c r="E120" s="59"/>
      <c r="F120" s="59"/>
      <c r="G120" s="59"/>
      <c r="H120" s="59"/>
      <c r="I120" s="59"/>
      <c r="J120" s="59"/>
      <c r="K120" s="59"/>
      <c r="L120" s="59"/>
      <c r="M120" s="59"/>
      <c r="N120" s="59"/>
      <c r="O120" s="54"/>
      <c r="P120" s="54"/>
      <c r="Q120" s="54"/>
      <c r="R120" s="131"/>
    </row>
    <row r="121" spans="1:18">
      <c r="B121" s="150" t="s">
        <v>425</v>
      </c>
    </row>
    <row r="123" spans="1:18">
      <c r="A123" s="12"/>
      <c r="D123" s="122" t="s">
        <v>98</v>
      </c>
      <c r="E123" s="122" t="s">
        <v>99</v>
      </c>
      <c r="F123" s="122" t="s">
        <v>100</v>
      </c>
      <c r="G123" s="20"/>
      <c r="H123" s="20"/>
      <c r="I123" s="20"/>
      <c r="J123" s="20"/>
      <c r="K123" s="20"/>
      <c r="L123" s="20"/>
      <c r="M123" s="20"/>
      <c r="N123" s="20"/>
      <c r="R123" s="131"/>
    </row>
    <row r="124" spans="1:18" ht="29">
      <c r="B124" s="8"/>
      <c r="C124" s="8"/>
      <c r="D124" s="153" t="s">
        <v>378</v>
      </c>
      <c r="E124" s="153" t="s">
        <v>378</v>
      </c>
      <c r="F124" s="153" t="s">
        <v>378</v>
      </c>
      <c r="G124" s="20"/>
      <c r="H124" s="20"/>
      <c r="I124" s="20"/>
      <c r="J124" s="20"/>
      <c r="K124" s="20"/>
      <c r="L124" s="20"/>
      <c r="M124" s="20"/>
      <c r="N124" s="20"/>
      <c r="R124" s="131"/>
    </row>
    <row r="125" spans="1:18">
      <c r="B125" s="8"/>
      <c r="C125" s="8"/>
      <c r="D125" s="153"/>
      <c r="E125" s="153"/>
      <c r="F125" s="153"/>
      <c r="G125" s="20"/>
      <c r="H125" s="20"/>
      <c r="I125" s="20"/>
      <c r="J125" s="20"/>
      <c r="K125" s="20"/>
      <c r="L125" s="20"/>
      <c r="M125" s="20"/>
      <c r="N125" s="20"/>
      <c r="R125" s="131"/>
    </row>
    <row r="126" spans="1:18">
      <c r="A126" s="119" t="s">
        <v>122</v>
      </c>
      <c r="B126" s="119" t="s">
        <v>81</v>
      </c>
      <c r="C126" s="119" t="s">
        <v>109</v>
      </c>
      <c r="D126" s="122" t="s">
        <v>421</v>
      </c>
      <c r="E126" s="122" t="s">
        <v>363</v>
      </c>
      <c r="F126" s="122" t="s">
        <v>364</v>
      </c>
      <c r="G126" s="122" t="s">
        <v>54</v>
      </c>
      <c r="H126" s="20"/>
      <c r="I126" s="20"/>
      <c r="J126" s="20"/>
      <c r="K126" s="20"/>
      <c r="L126" s="20"/>
      <c r="M126" s="20"/>
      <c r="N126" s="20"/>
      <c r="R126" s="119" t="str">
        <f>A126</f>
        <v>Line</v>
      </c>
    </row>
    <row r="127" spans="1:18">
      <c r="A127" s="131">
        <v>700</v>
      </c>
      <c r="B127" s="150" t="s">
        <v>111</v>
      </c>
      <c r="C127" s="156">
        <f>'1-BaseTRR'!$F$2-1</f>
        <v>2021</v>
      </c>
      <c r="D127" s="474">
        <f t="shared" ref="D127:F128" si="23">+D87+F101+F115</f>
        <v>440871074.5618301</v>
      </c>
      <c r="E127" s="474">
        <f t="shared" si="23"/>
        <v>158465416.2587468</v>
      </c>
      <c r="F127" s="474">
        <f t="shared" si="23"/>
        <v>282405658.3030833</v>
      </c>
      <c r="G127" s="164" t="s">
        <v>1053</v>
      </c>
      <c r="H127" s="165"/>
      <c r="I127" s="165"/>
      <c r="J127" s="165"/>
      <c r="K127" s="165"/>
      <c r="L127" s="165"/>
      <c r="M127" s="165"/>
      <c r="N127" s="165"/>
      <c r="R127" s="131">
        <f t="shared" ref="R127:R129" si="24">A127</f>
        <v>700</v>
      </c>
    </row>
    <row r="128" spans="1:18">
      <c r="A128" s="131">
        <f>+A127+1</f>
        <v>701</v>
      </c>
      <c r="B128" s="159" t="s">
        <v>111</v>
      </c>
      <c r="C128" s="160">
        <f>'1-BaseTRR'!$F$2</f>
        <v>2022</v>
      </c>
      <c r="D128" s="475">
        <f t="shared" si="23"/>
        <v>524616275.48762077</v>
      </c>
      <c r="E128" s="475">
        <f t="shared" si="23"/>
        <v>182655892.50871676</v>
      </c>
      <c r="F128" s="475">
        <f t="shared" si="23"/>
        <v>341960382.97890395</v>
      </c>
      <c r="G128" s="164" t="s">
        <v>1054</v>
      </c>
      <c r="H128" s="20"/>
      <c r="I128" s="20"/>
      <c r="J128" s="20"/>
      <c r="K128" s="20"/>
      <c r="L128" s="20"/>
      <c r="M128" s="20"/>
      <c r="N128" s="20"/>
      <c r="R128" s="131">
        <f t="shared" si="24"/>
        <v>701</v>
      </c>
    </row>
    <row r="129" spans="1:18">
      <c r="A129" s="131">
        <f t="shared" ref="A129" si="25">A128+1</f>
        <v>702</v>
      </c>
      <c r="B129" s="169" t="s">
        <v>365</v>
      </c>
      <c r="C129" s="169"/>
      <c r="D129" s="547">
        <f>AVERAGE(D127:D128)</f>
        <v>482743675.02472544</v>
      </c>
      <c r="E129" s="547">
        <f t="shared" ref="E129:F129" si="26">AVERAGE(E127:E128)</f>
        <v>170560654.38373178</v>
      </c>
      <c r="F129" s="547">
        <f t="shared" si="26"/>
        <v>312183020.6409936</v>
      </c>
      <c r="G129" s="20" t="s">
        <v>1055</v>
      </c>
      <c r="H129" s="20"/>
      <c r="I129" s="20"/>
      <c r="J129" s="20"/>
      <c r="K129" s="20"/>
      <c r="L129" s="20"/>
      <c r="M129" s="20"/>
      <c r="N129" s="20"/>
      <c r="R129" s="131">
        <f t="shared" si="24"/>
        <v>702</v>
      </c>
    </row>
    <row r="130" spans="1:18">
      <c r="A130" s="131"/>
      <c r="B130" s="161"/>
      <c r="C130" s="161"/>
      <c r="D130" s="20"/>
      <c r="E130" s="20"/>
      <c r="F130" s="20"/>
      <c r="G130" s="20"/>
      <c r="H130" s="20"/>
      <c r="I130" s="20"/>
      <c r="J130" s="20"/>
      <c r="K130" s="20"/>
      <c r="L130" s="20"/>
      <c r="M130" s="20"/>
      <c r="N130" s="20"/>
    </row>
    <row r="131" spans="1:18">
      <c r="A131" s="131"/>
      <c r="B131" s="161"/>
      <c r="C131" s="161"/>
      <c r="D131" s="20"/>
      <c r="E131" s="20"/>
      <c r="F131" s="20"/>
      <c r="G131" s="20"/>
      <c r="H131" s="20"/>
      <c r="I131" s="20"/>
      <c r="J131" s="20"/>
      <c r="K131" s="20"/>
      <c r="L131" s="20"/>
      <c r="M131" s="20"/>
      <c r="N131" s="20"/>
    </row>
    <row r="132" spans="1:18" ht="15" customHeight="1">
      <c r="B132" s="16" t="s">
        <v>125</v>
      </c>
      <c r="C132" s="161"/>
      <c r="D132" s="20"/>
      <c r="E132" s="20"/>
      <c r="F132" s="20"/>
      <c r="G132" s="20"/>
      <c r="H132" s="20"/>
      <c r="I132" s="20"/>
      <c r="J132" s="20"/>
      <c r="K132" s="20"/>
      <c r="L132" s="20"/>
      <c r="M132" s="20"/>
      <c r="N132" s="20"/>
    </row>
    <row r="133" spans="1:18">
      <c r="A133" s="206"/>
      <c r="B133" s="819" t="s">
        <v>1868</v>
      </c>
      <c r="C133" s="819"/>
      <c r="D133" s="819"/>
      <c r="E133" s="819"/>
      <c r="F133" s="819"/>
      <c r="G133" s="819"/>
      <c r="H133" s="819"/>
      <c r="I133" s="819"/>
      <c r="J133" s="819"/>
      <c r="K133" s="819"/>
      <c r="L133" s="819"/>
      <c r="M133" s="819"/>
      <c r="N133" s="819"/>
      <c r="O133" s="819"/>
      <c r="P133" s="819"/>
      <c r="Q133" s="819"/>
    </row>
    <row r="134" spans="1:18">
      <c r="A134" s="131"/>
      <c r="B134" s="819" t="s">
        <v>1869</v>
      </c>
      <c r="C134" s="819"/>
      <c r="D134" s="819"/>
      <c r="E134" s="819"/>
      <c r="F134" s="819"/>
      <c r="G134" s="819"/>
      <c r="H134" s="819"/>
      <c r="I134" s="819"/>
      <c r="J134" s="819"/>
      <c r="K134" s="819"/>
      <c r="L134" s="819"/>
      <c r="M134" s="819"/>
      <c r="N134" s="819"/>
      <c r="O134" s="819"/>
      <c r="P134" s="819"/>
      <c r="Q134" s="819"/>
    </row>
    <row r="135" spans="1:18">
      <c r="A135" s="131"/>
      <c r="B135" s="819" t="s">
        <v>1870</v>
      </c>
      <c r="C135" s="819"/>
      <c r="D135" s="819"/>
      <c r="E135" s="819"/>
      <c r="F135" s="819"/>
      <c r="G135" s="819"/>
      <c r="H135" s="819"/>
      <c r="I135" s="819"/>
      <c r="J135" s="819"/>
      <c r="K135" s="819"/>
      <c r="L135" s="819"/>
      <c r="M135" s="819"/>
      <c r="N135" s="819"/>
      <c r="O135" s="819"/>
      <c r="P135" s="819"/>
      <c r="Q135" s="819"/>
    </row>
    <row r="136" spans="1:18">
      <c r="A136" s="131"/>
      <c r="B136" s="819"/>
      <c r="C136" s="819"/>
      <c r="D136" s="819"/>
      <c r="E136" s="819"/>
      <c r="F136" s="819"/>
      <c r="G136" s="819"/>
      <c r="H136" s="819"/>
      <c r="I136" s="819"/>
      <c r="J136" s="819"/>
      <c r="K136" s="819"/>
      <c r="L136" s="819"/>
      <c r="M136" s="819"/>
      <c r="N136" s="819"/>
      <c r="O136" s="819"/>
      <c r="P136" s="819"/>
      <c r="Q136" s="819"/>
    </row>
    <row r="137" spans="1:18">
      <c r="A137" s="131"/>
      <c r="B137" s="161"/>
      <c r="C137" s="161"/>
      <c r="D137" s="207"/>
      <c r="E137" s="207"/>
      <c r="F137" s="207"/>
      <c r="G137" s="207"/>
      <c r="H137" s="207"/>
      <c r="I137" s="207"/>
      <c r="J137" s="207"/>
      <c r="K137" s="207"/>
      <c r="L137" s="207"/>
      <c r="M137" s="207"/>
      <c r="N137" s="208"/>
    </row>
    <row r="138" spans="1:18">
      <c r="A138" s="131"/>
      <c r="B138" s="161"/>
      <c r="C138" s="161"/>
      <c r="D138" s="207"/>
      <c r="E138" s="207"/>
      <c r="F138" s="207"/>
      <c r="G138" s="207"/>
      <c r="H138" s="207"/>
      <c r="I138" s="207"/>
      <c r="J138" s="207"/>
      <c r="K138" s="207"/>
      <c r="L138" s="207"/>
      <c r="M138" s="207"/>
      <c r="N138" s="208"/>
    </row>
    <row r="139" spans="1:18">
      <c r="A139" s="131"/>
      <c r="B139" s="161"/>
      <c r="C139" s="161"/>
      <c r="D139" s="207"/>
      <c r="E139" s="207"/>
      <c r="F139" s="207"/>
      <c r="G139" s="207"/>
      <c r="H139" s="207"/>
      <c r="I139" s="207"/>
      <c r="J139" s="207"/>
      <c r="K139" s="207"/>
      <c r="L139" s="207"/>
      <c r="M139" s="207"/>
      <c r="N139" s="208"/>
    </row>
    <row r="140" spans="1:18">
      <c r="A140" s="131"/>
      <c r="B140" s="161"/>
      <c r="C140" s="161"/>
      <c r="D140" s="207"/>
      <c r="E140" s="207"/>
      <c r="F140" s="207"/>
      <c r="G140" s="207"/>
      <c r="H140" s="207"/>
      <c r="I140" s="207"/>
      <c r="J140" s="207"/>
      <c r="K140" s="207"/>
      <c r="L140" s="207"/>
      <c r="M140" s="207"/>
      <c r="N140" s="208"/>
    </row>
    <row r="141" spans="1:18">
      <c r="A141" s="131"/>
      <c r="B141" s="161"/>
      <c r="C141" s="161"/>
      <c r="D141" s="207"/>
      <c r="E141" s="207"/>
      <c r="F141" s="207"/>
      <c r="G141" s="207"/>
      <c r="H141" s="207"/>
      <c r="I141" s="207"/>
      <c r="J141" s="207"/>
      <c r="K141" s="207"/>
      <c r="L141" s="207"/>
      <c r="M141" s="207"/>
      <c r="N141" s="208"/>
    </row>
    <row r="142" spans="1:18">
      <c r="A142" s="131"/>
      <c r="B142" s="161"/>
      <c r="C142" s="161"/>
      <c r="D142" s="207"/>
      <c r="E142" s="207"/>
      <c r="F142" s="207"/>
      <c r="G142" s="207"/>
      <c r="H142" s="207"/>
      <c r="I142" s="207"/>
      <c r="J142" s="207"/>
      <c r="K142" s="207"/>
      <c r="L142" s="207"/>
      <c r="M142" s="207"/>
      <c r="N142" s="208"/>
    </row>
    <row r="143" spans="1:18">
      <c r="A143" s="131"/>
      <c r="B143" s="161"/>
      <c r="C143" s="161"/>
      <c r="D143" s="207"/>
      <c r="E143" s="207"/>
      <c r="F143" s="207"/>
      <c r="G143" s="207"/>
      <c r="H143" s="207"/>
      <c r="I143" s="207"/>
      <c r="J143" s="207"/>
      <c r="K143" s="207"/>
      <c r="L143" s="207"/>
      <c r="M143" s="207"/>
      <c r="N143" s="208"/>
    </row>
    <row r="144" spans="1:18">
      <c r="A144" s="131"/>
      <c r="B144" s="161"/>
      <c r="C144" s="161"/>
      <c r="D144" s="207"/>
      <c r="E144" s="207"/>
      <c r="F144" s="207"/>
      <c r="G144" s="207"/>
      <c r="H144" s="207"/>
      <c r="I144" s="207"/>
      <c r="J144" s="207"/>
      <c r="K144" s="207"/>
      <c r="L144" s="207"/>
      <c r="M144" s="207"/>
      <c r="N144" s="208"/>
    </row>
    <row r="145" spans="1:18">
      <c r="A145" s="131"/>
      <c r="B145" s="161"/>
      <c r="C145" s="161"/>
      <c r="D145" s="207"/>
      <c r="E145" s="207"/>
      <c r="F145" s="207"/>
      <c r="G145" s="207"/>
      <c r="H145" s="207"/>
      <c r="I145" s="207"/>
      <c r="J145" s="207"/>
      <c r="K145" s="207"/>
      <c r="L145" s="207"/>
      <c r="M145" s="207"/>
      <c r="N145" s="208"/>
    </row>
    <row r="146" spans="1:18">
      <c r="A146" s="131"/>
      <c r="B146" s="161"/>
      <c r="C146" s="161"/>
      <c r="D146" s="207"/>
      <c r="E146" s="207"/>
      <c r="F146" s="207"/>
      <c r="G146" s="207"/>
      <c r="H146" s="207"/>
      <c r="I146" s="207"/>
      <c r="J146" s="207"/>
      <c r="K146" s="207"/>
      <c r="L146" s="207"/>
      <c r="M146" s="207"/>
      <c r="N146" s="208"/>
    </row>
    <row r="147" spans="1:18">
      <c r="A147" s="131"/>
      <c r="B147" s="161"/>
      <c r="C147" s="161"/>
      <c r="D147" s="20"/>
      <c r="E147" s="20"/>
      <c r="F147" s="20"/>
      <c r="G147" s="20"/>
      <c r="H147" s="20"/>
      <c r="I147" s="20"/>
      <c r="J147" s="20"/>
      <c r="K147" s="20"/>
      <c r="L147" s="20"/>
      <c r="M147" s="20"/>
      <c r="N147" s="20"/>
    </row>
    <row r="148" spans="1:18">
      <c r="B148" s="142"/>
      <c r="C148" s="142"/>
    </row>
    <row r="150" spans="1:18">
      <c r="A150" s="12"/>
      <c r="B150" s="122"/>
      <c r="C150" s="122"/>
      <c r="D150" s="122"/>
      <c r="E150" s="122"/>
      <c r="F150" s="122"/>
      <c r="G150" s="122"/>
      <c r="H150" s="122"/>
      <c r="I150" s="122"/>
      <c r="J150" s="122"/>
      <c r="K150" s="122"/>
      <c r="L150" s="122"/>
      <c r="M150" s="122"/>
      <c r="N150" s="122"/>
    </row>
    <row r="151" spans="1:18">
      <c r="B151" s="30"/>
      <c r="C151" s="30"/>
      <c r="N151" s="30"/>
    </row>
    <row r="152" spans="1:18">
      <c r="A152" s="206"/>
      <c r="B152" s="119"/>
      <c r="C152" s="119"/>
      <c r="D152" s="122"/>
      <c r="E152" s="122"/>
      <c r="F152" s="122"/>
      <c r="G152" s="122"/>
      <c r="H152" s="122"/>
      <c r="I152" s="122"/>
      <c r="J152" s="122"/>
      <c r="K152" s="122"/>
      <c r="L152" s="122"/>
      <c r="M152" s="122"/>
      <c r="N152" s="119"/>
    </row>
    <row r="153" spans="1:18">
      <c r="A153" s="131"/>
      <c r="B153" s="161"/>
      <c r="C153" s="161"/>
      <c r="D153" s="209"/>
      <c r="E153" s="209"/>
      <c r="F153" s="209"/>
      <c r="G153" s="209"/>
      <c r="H153" s="209"/>
      <c r="I153" s="209"/>
      <c r="J153" s="209"/>
      <c r="K153" s="209"/>
      <c r="L153" s="209"/>
      <c r="M153" s="209"/>
      <c r="N153" s="209"/>
      <c r="R153" s="20"/>
    </row>
    <row r="154" spans="1:18">
      <c r="A154" s="131"/>
      <c r="B154" s="161"/>
      <c r="C154" s="161"/>
      <c r="D154" s="209"/>
      <c r="E154" s="209"/>
      <c r="F154" s="209"/>
      <c r="G154" s="209"/>
      <c r="H154" s="209"/>
      <c r="I154" s="209"/>
      <c r="J154" s="209"/>
      <c r="K154" s="209"/>
      <c r="L154" s="209"/>
      <c r="M154" s="209"/>
      <c r="N154" s="209"/>
      <c r="R154" s="20"/>
    </row>
    <row r="155" spans="1:18">
      <c r="A155" s="131"/>
      <c r="B155" s="161"/>
      <c r="C155" s="161"/>
      <c r="D155" s="209"/>
      <c r="E155" s="209"/>
      <c r="F155" s="209"/>
      <c r="G155" s="209"/>
      <c r="H155" s="209"/>
      <c r="I155" s="209"/>
      <c r="J155" s="209"/>
      <c r="K155" s="209"/>
      <c r="L155" s="209"/>
      <c r="M155" s="209"/>
      <c r="N155" s="209"/>
      <c r="R155" s="20"/>
    </row>
    <row r="156" spans="1:18">
      <c r="A156" s="131"/>
      <c r="B156" s="161"/>
      <c r="C156" s="161"/>
      <c r="D156" s="209"/>
      <c r="E156" s="209"/>
      <c r="F156" s="209"/>
      <c r="G156" s="209"/>
      <c r="H156" s="209"/>
      <c r="I156" s="209"/>
      <c r="J156" s="209"/>
      <c r="K156" s="209"/>
      <c r="L156" s="209"/>
      <c r="M156" s="209"/>
      <c r="N156" s="209"/>
      <c r="R156" s="20"/>
    </row>
    <row r="157" spans="1:18">
      <c r="A157" s="131"/>
      <c r="B157" s="161"/>
      <c r="C157" s="161"/>
      <c r="D157" s="209"/>
      <c r="E157" s="209"/>
      <c r="F157" s="209"/>
      <c r="G157" s="209"/>
      <c r="H157" s="209"/>
      <c r="I157" s="209"/>
      <c r="J157" s="209"/>
      <c r="K157" s="209"/>
      <c r="L157" s="209"/>
      <c r="M157" s="209"/>
      <c r="N157" s="209"/>
      <c r="R157" s="20"/>
    </row>
    <row r="158" spans="1:18">
      <c r="A158" s="131"/>
      <c r="B158" s="161"/>
      <c r="C158" s="161"/>
      <c r="D158" s="209"/>
      <c r="E158" s="209"/>
      <c r="F158" s="209"/>
      <c r="G158" s="209"/>
      <c r="H158" s="209"/>
      <c r="I158" s="209"/>
      <c r="J158" s="209"/>
      <c r="K158" s="209"/>
      <c r="L158" s="209"/>
      <c r="M158" s="209"/>
      <c r="N158" s="209"/>
      <c r="R158" s="20"/>
    </row>
    <row r="159" spans="1:18">
      <c r="A159" s="131"/>
      <c r="B159" s="161"/>
      <c r="C159" s="161"/>
      <c r="D159" s="209"/>
      <c r="E159" s="209"/>
      <c r="F159" s="209"/>
      <c r="G159" s="209"/>
      <c r="H159" s="209"/>
      <c r="I159" s="209"/>
      <c r="J159" s="209"/>
      <c r="K159" s="209"/>
      <c r="L159" s="209"/>
      <c r="M159" s="209"/>
      <c r="N159" s="209"/>
      <c r="R159" s="20"/>
    </row>
    <row r="160" spans="1:18">
      <c r="A160" s="131"/>
      <c r="B160" s="161"/>
      <c r="C160" s="161"/>
      <c r="D160" s="209"/>
      <c r="E160" s="209"/>
      <c r="F160" s="209"/>
      <c r="G160" s="209"/>
      <c r="H160" s="209"/>
      <c r="I160" s="209"/>
      <c r="J160" s="209"/>
      <c r="K160" s="209"/>
      <c r="L160" s="209"/>
      <c r="M160" s="209"/>
      <c r="N160" s="209"/>
      <c r="R160" s="20"/>
    </row>
    <row r="161" spans="1:18">
      <c r="A161" s="131"/>
      <c r="B161" s="161"/>
      <c r="C161" s="161"/>
      <c r="D161" s="209"/>
      <c r="E161" s="209"/>
      <c r="F161" s="209"/>
      <c r="G161" s="209"/>
      <c r="H161" s="209"/>
      <c r="I161" s="209"/>
      <c r="J161" s="209"/>
      <c r="K161" s="209"/>
      <c r="L161" s="209"/>
      <c r="M161" s="209"/>
      <c r="N161" s="209"/>
      <c r="R161" s="20"/>
    </row>
    <row r="162" spans="1:18">
      <c r="A162" s="131"/>
      <c r="B162" s="161"/>
      <c r="C162" s="161"/>
      <c r="D162" s="209"/>
      <c r="E162" s="209"/>
      <c r="F162" s="209"/>
      <c r="G162" s="209"/>
      <c r="H162" s="209"/>
      <c r="I162" s="209"/>
      <c r="J162" s="209"/>
      <c r="K162" s="209"/>
      <c r="L162" s="209"/>
      <c r="M162" s="209"/>
      <c r="N162" s="209"/>
      <c r="R162" s="20"/>
    </row>
    <row r="163" spans="1:18">
      <c r="A163" s="131"/>
      <c r="B163" s="161"/>
      <c r="C163" s="161"/>
      <c r="D163" s="209"/>
      <c r="E163" s="209"/>
      <c r="F163" s="209"/>
      <c r="G163" s="209"/>
      <c r="H163" s="209"/>
      <c r="I163" s="209"/>
      <c r="J163" s="209"/>
      <c r="K163" s="209"/>
      <c r="L163" s="209"/>
      <c r="M163" s="209"/>
      <c r="N163" s="209"/>
      <c r="R163" s="20"/>
    </row>
    <row r="164" spans="1:18">
      <c r="A164" s="131"/>
      <c r="B164" s="161"/>
      <c r="C164" s="161"/>
      <c r="D164" s="210"/>
      <c r="E164" s="210"/>
      <c r="F164" s="210"/>
      <c r="G164" s="210"/>
      <c r="H164" s="210"/>
      <c r="I164" s="210"/>
      <c r="J164" s="210"/>
      <c r="K164" s="210"/>
      <c r="L164" s="210"/>
      <c r="M164" s="210"/>
      <c r="N164" s="210"/>
      <c r="R164" s="20"/>
    </row>
    <row r="165" spans="1:18">
      <c r="A165" s="131"/>
      <c r="B165" s="161"/>
      <c r="C165" s="161"/>
      <c r="D165" s="209"/>
      <c r="E165" s="209"/>
      <c r="F165" s="209"/>
      <c r="G165" s="209"/>
      <c r="H165" s="209"/>
      <c r="I165" s="209"/>
      <c r="J165" s="209"/>
      <c r="K165" s="209"/>
      <c r="L165" s="209"/>
      <c r="M165" s="209"/>
      <c r="N165" s="209"/>
      <c r="R165" s="20"/>
    </row>
    <row r="166" spans="1:18">
      <c r="A166" s="131"/>
      <c r="B166" s="161"/>
      <c r="C166" s="161"/>
      <c r="D166" s="208"/>
      <c r="E166" s="208"/>
      <c r="F166" s="208"/>
      <c r="G166" s="208"/>
      <c r="H166" s="208"/>
      <c r="I166" s="208"/>
      <c r="J166" s="208"/>
      <c r="K166" s="208"/>
      <c r="L166" s="208"/>
      <c r="M166" s="208"/>
      <c r="N166" s="208"/>
    </row>
    <row r="167" spans="1:18">
      <c r="B167" s="124"/>
      <c r="C167" s="124"/>
    </row>
    <row r="169" spans="1:18">
      <c r="A169" s="12"/>
      <c r="B169" s="122"/>
      <c r="C169" s="122"/>
      <c r="D169" s="122"/>
      <c r="E169" s="122"/>
      <c r="F169" s="122"/>
      <c r="G169" s="122"/>
      <c r="H169" s="122"/>
      <c r="I169" s="122"/>
      <c r="J169" s="122"/>
      <c r="K169" s="122"/>
      <c r="L169" s="122"/>
      <c r="M169" s="122"/>
      <c r="N169" s="122"/>
    </row>
    <row r="170" spans="1:18">
      <c r="B170" s="30"/>
      <c r="C170" s="30"/>
      <c r="N170" s="30"/>
    </row>
    <row r="171" spans="1:18">
      <c r="A171" s="206"/>
      <c r="B171" s="119"/>
      <c r="C171" s="119"/>
      <c r="D171" s="122"/>
      <c r="E171" s="122"/>
      <c r="F171" s="122"/>
      <c r="G171" s="122"/>
      <c r="H171" s="122"/>
      <c r="I171" s="122"/>
      <c r="J171" s="122"/>
      <c r="K171" s="122"/>
      <c r="L171" s="122"/>
      <c r="M171" s="122"/>
      <c r="N171" s="119"/>
    </row>
    <row r="172" spans="1:18">
      <c r="A172" s="131"/>
      <c r="B172" s="161"/>
      <c r="C172" s="161"/>
      <c r="D172" s="211"/>
      <c r="E172" s="211"/>
      <c r="F172" s="211"/>
      <c r="G172" s="211"/>
      <c r="H172" s="211"/>
      <c r="I172" s="211"/>
      <c r="J172" s="211"/>
      <c r="K172" s="211"/>
      <c r="L172" s="211"/>
      <c r="M172" s="211"/>
      <c r="N172" s="211"/>
    </row>
    <row r="173" spans="1:18">
      <c r="A173" s="131"/>
      <c r="B173" s="161"/>
      <c r="C173" s="161"/>
      <c r="D173" s="211"/>
      <c r="E173" s="211"/>
      <c r="F173" s="211"/>
      <c r="G173" s="211"/>
      <c r="H173" s="211"/>
      <c r="I173" s="211"/>
      <c r="J173" s="211"/>
      <c r="K173" s="211"/>
      <c r="L173" s="211"/>
      <c r="M173" s="211"/>
      <c r="N173" s="211"/>
    </row>
    <row r="174" spans="1:18">
      <c r="A174" s="131"/>
      <c r="B174" s="161"/>
      <c r="C174" s="161"/>
      <c r="D174" s="211"/>
      <c r="E174" s="211"/>
      <c r="F174" s="211"/>
      <c r="G174" s="211"/>
      <c r="H174" s="211"/>
      <c r="I174" s="211"/>
      <c r="J174" s="211"/>
      <c r="K174" s="211"/>
      <c r="L174" s="211"/>
      <c r="M174" s="211"/>
      <c r="N174" s="211"/>
    </row>
    <row r="175" spans="1:18">
      <c r="A175" s="131"/>
      <c r="B175" s="161"/>
      <c r="C175" s="161"/>
      <c r="D175" s="211"/>
      <c r="E175" s="211"/>
      <c r="F175" s="211"/>
      <c r="G175" s="211"/>
      <c r="H175" s="211"/>
      <c r="I175" s="211"/>
      <c r="J175" s="211"/>
      <c r="K175" s="211"/>
      <c r="L175" s="211"/>
      <c r="M175" s="211"/>
      <c r="N175" s="211"/>
    </row>
    <row r="176" spans="1:18">
      <c r="A176" s="131"/>
      <c r="B176" s="161"/>
      <c r="C176" s="161"/>
      <c r="D176" s="211"/>
      <c r="E176" s="211"/>
      <c r="F176" s="211"/>
      <c r="G176" s="211"/>
      <c r="H176" s="211"/>
      <c r="I176" s="211"/>
      <c r="J176" s="211"/>
      <c r="K176" s="211"/>
      <c r="L176" s="211"/>
      <c r="M176" s="211"/>
      <c r="N176" s="211"/>
    </row>
    <row r="177" spans="1:19">
      <c r="A177" s="131"/>
      <c r="B177" s="161"/>
      <c r="C177" s="161"/>
      <c r="D177" s="211"/>
      <c r="E177" s="211"/>
      <c r="F177" s="211"/>
      <c r="G177" s="211"/>
      <c r="H177" s="211"/>
      <c r="I177" s="211"/>
      <c r="J177" s="211"/>
      <c r="K177" s="211"/>
      <c r="L177" s="211"/>
      <c r="M177" s="211"/>
      <c r="N177" s="211"/>
    </row>
    <row r="178" spans="1:19">
      <c r="A178" s="131"/>
      <c r="B178" s="161"/>
      <c r="C178" s="161"/>
      <c r="D178" s="211"/>
      <c r="E178" s="211"/>
      <c r="F178" s="211"/>
      <c r="G178" s="211"/>
      <c r="H178" s="211"/>
      <c r="I178" s="211"/>
      <c r="J178" s="211"/>
      <c r="K178" s="211"/>
      <c r="L178" s="211"/>
      <c r="M178" s="211"/>
      <c r="N178" s="211"/>
    </row>
    <row r="179" spans="1:19">
      <c r="A179" s="131"/>
      <c r="B179" s="161"/>
      <c r="C179" s="161"/>
      <c r="D179" s="211"/>
      <c r="E179" s="211"/>
      <c r="F179" s="211"/>
      <c r="G179" s="211"/>
      <c r="H179" s="211"/>
      <c r="I179" s="211"/>
      <c r="J179" s="211"/>
      <c r="K179" s="211"/>
      <c r="L179" s="211"/>
      <c r="M179" s="211"/>
      <c r="N179" s="211"/>
    </row>
    <row r="180" spans="1:19">
      <c r="A180" s="131"/>
      <c r="B180" s="161"/>
      <c r="C180" s="161"/>
      <c r="D180" s="211"/>
      <c r="E180" s="211"/>
      <c r="F180" s="211"/>
      <c r="G180" s="211"/>
      <c r="H180" s="211"/>
      <c r="I180" s="211"/>
      <c r="J180" s="211"/>
      <c r="K180" s="211"/>
      <c r="L180" s="211"/>
      <c r="M180" s="211"/>
      <c r="N180" s="211"/>
    </row>
    <row r="181" spans="1:19">
      <c r="A181" s="131"/>
      <c r="B181" s="161"/>
      <c r="C181" s="161"/>
      <c r="D181" s="211"/>
      <c r="E181" s="211"/>
      <c r="F181" s="211"/>
      <c r="G181" s="211"/>
      <c r="H181" s="211"/>
      <c r="I181" s="211"/>
      <c r="J181" s="211"/>
      <c r="K181" s="211"/>
      <c r="L181" s="211"/>
      <c r="M181" s="211"/>
      <c r="N181" s="211"/>
    </row>
    <row r="182" spans="1:19" s="17" customFormat="1">
      <c r="A182" s="131"/>
      <c r="B182" s="161"/>
      <c r="C182" s="161"/>
      <c r="D182" s="211"/>
      <c r="E182" s="211"/>
      <c r="F182" s="211"/>
      <c r="G182" s="211"/>
      <c r="H182" s="211"/>
      <c r="I182" s="211"/>
      <c r="J182" s="211"/>
      <c r="K182" s="211"/>
      <c r="L182" s="211"/>
      <c r="M182" s="211"/>
      <c r="N182" s="211"/>
      <c r="O182"/>
      <c r="P182"/>
      <c r="Q182"/>
      <c r="R182"/>
      <c r="S182"/>
    </row>
    <row r="183" spans="1:19" s="17" customFormat="1">
      <c r="A183" s="131"/>
      <c r="B183" s="161"/>
      <c r="C183" s="161"/>
      <c r="D183" s="212"/>
      <c r="E183" s="212"/>
      <c r="F183" s="212"/>
      <c r="G183" s="212"/>
      <c r="H183" s="212"/>
      <c r="I183" s="212"/>
      <c r="J183" s="212"/>
      <c r="K183" s="212"/>
      <c r="L183" s="212"/>
      <c r="M183" s="212"/>
      <c r="N183" s="212"/>
      <c r="O183"/>
      <c r="P183"/>
      <c r="Q183"/>
      <c r="R183"/>
      <c r="S183"/>
    </row>
    <row r="184" spans="1:19" s="17" customFormat="1">
      <c r="A184" s="131"/>
      <c r="B184" s="161"/>
      <c r="C184" s="161"/>
      <c r="D184" s="211"/>
      <c r="E184" s="211"/>
      <c r="F184" s="211"/>
      <c r="G184" s="211"/>
      <c r="H184" s="211"/>
      <c r="I184" s="211"/>
      <c r="J184" s="211"/>
      <c r="K184" s="211"/>
      <c r="L184" s="211"/>
      <c r="M184" s="211"/>
      <c r="N184" s="211"/>
      <c r="O184"/>
      <c r="P184"/>
      <c r="Q184"/>
      <c r="R184"/>
    </row>
    <row r="185" spans="1:19" s="17" customFormat="1">
      <c r="A185" s="131"/>
      <c r="B185" s="161"/>
      <c r="C185" s="161"/>
      <c r="D185" s="208"/>
      <c r="E185" s="208"/>
      <c r="F185" s="208"/>
      <c r="G185" s="208"/>
      <c r="H185" s="208"/>
      <c r="I185" s="208"/>
      <c r="J185" s="208"/>
      <c r="K185" s="208"/>
      <c r="L185" s="208"/>
      <c r="M185" s="208"/>
      <c r="N185" s="208"/>
      <c r="O185"/>
      <c r="P185"/>
      <c r="Q185"/>
      <c r="R185"/>
    </row>
    <row r="186" spans="1:19" s="17" customFormat="1">
      <c r="B186" s="142"/>
      <c r="C186" s="142"/>
      <c r="N186" s="208"/>
    </row>
    <row r="187" spans="1:19" s="17" customFormat="1">
      <c r="N187" s="208"/>
    </row>
    <row r="188" spans="1:19" s="17" customFormat="1">
      <c r="B188" s="131"/>
      <c r="C188" s="131"/>
      <c r="D188" s="123"/>
      <c r="E188" s="123"/>
      <c r="F188" s="123"/>
      <c r="G188" s="123"/>
      <c r="H188" s="123"/>
      <c r="I188" s="123"/>
      <c r="J188" s="123"/>
      <c r="K188" s="123"/>
      <c r="L188" s="123"/>
      <c r="M188" s="123"/>
      <c r="N188" s="208"/>
    </row>
    <row r="189" spans="1:19" s="17" customFormat="1">
      <c r="A189" s="131"/>
      <c r="B189" s="161"/>
      <c r="C189" s="161"/>
      <c r="D189" s="213"/>
      <c r="E189" s="213"/>
      <c r="F189" s="213"/>
      <c r="G189" s="213"/>
      <c r="H189" s="213"/>
      <c r="I189" s="213"/>
      <c r="J189" s="213"/>
      <c r="K189" s="213"/>
      <c r="L189" s="213"/>
      <c r="M189" s="213"/>
      <c r="N189" s="208"/>
    </row>
    <row r="190" spans="1:19" s="17" customFormat="1">
      <c r="A190" s="131"/>
      <c r="B190" s="161"/>
      <c r="C190" s="161"/>
      <c r="D190" s="213"/>
      <c r="E190" s="213"/>
      <c r="F190" s="213"/>
      <c r="G190" s="213"/>
      <c r="H190" s="213"/>
      <c r="I190" s="213"/>
      <c r="J190" s="213"/>
      <c r="K190" s="213"/>
      <c r="L190" s="213"/>
      <c r="M190" s="213"/>
      <c r="N190" s="208"/>
    </row>
    <row r="191" spans="1:19" s="17" customFormat="1">
      <c r="A191" s="131"/>
      <c r="B191" s="161"/>
      <c r="C191" s="161"/>
      <c r="D191" s="213"/>
      <c r="E191" s="213"/>
      <c r="F191" s="213"/>
      <c r="G191" s="213"/>
      <c r="H191" s="213"/>
      <c r="I191" s="213"/>
      <c r="J191" s="213"/>
      <c r="K191" s="213"/>
      <c r="L191" s="213"/>
      <c r="M191" s="213"/>
      <c r="N191" s="208"/>
    </row>
    <row r="192" spans="1:19" s="17" customFormat="1">
      <c r="A192" s="131"/>
      <c r="B192" s="161"/>
      <c r="C192" s="161"/>
      <c r="D192" s="213"/>
      <c r="E192" s="213"/>
      <c r="F192" s="213"/>
      <c r="G192" s="213"/>
      <c r="H192" s="213"/>
      <c r="I192" s="213"/>
      <c r="J192" s="213"/>
      <c r="K192" s="213"/>
      <c r="L192" s="213"/>
      <c r="M192" s="213"/>
      <c r="N192" s="208"/>
    </row>
    <row r="193" spans="1:19" s="17" customFormat="1">
      <c r="A193" s="131"/>
      <c r="B193" s="161"/>
      <c r="C193" s="161"/>
      <c r="D193" s="213"/>
      <c r="E193" s="213"/>
      <c r="F193" s="213"/>
      <c r="G193" s="213"/>
      <c r="H193" s="213"/>
      <c r="I193" s="213"/>
      <c r="J193" s="213"/>
      <c r="K193" s="213"/>
      <c r="L193" s="213"/>
      <c r="M193" s="213"/>
      <c r="N193" s="208"/>
    </row>
    <row r="194" spans="1:19" s="17" customFormat="1">
      <c r="A194" s="131"/>
      <c r="B194" s="161"/>
      <c r="C194" s="161"/>
      <c r="D194" s="213"/>
      <c r="E194" s="213"/>
      <c r="F194" s="213"/>
      <c r="G194" s="213"/>
      <c r="H194" s="213"/>
      <c r="I194" s="213"/>
      <c r="J194" s="213"/>
      <c r="K194" s="213"/>
      <c r="L194" s="213"/>
      <c r="M194" s="213"/>
      <c r="N194" s="208"/>
    </row>
    <row r="195" spans="1:19" s="17" customFormat="1">
      <c r="A195" s="131"/>
      <c r="B195" s="161"/>
      <c r="C195" s="161"/>
      <c r="D195" s="213"/>
      <c r="E195" s="213"/>
      <c r="F195" s="213"/>
      <c r="G195" s="213"/>
      <c r="H195" s="213"/>
      <c r="I195" s="213"/>
      <c r="J195" s="213"/>
      <c r="K195" s="213"/>
      <c r="L195" s="213"/>
      <c r="M195" s="213"/>
      <c r="N195" s="208"/>
    </row>
    <row r="196" spans="1:19" s="17" customFormat="1">
      <c r="A196" s="131"/>
      <c r="B196" s="161"/>
      <c r="C196" s="161"/>
      <c r="D196" s="213"/>
      <c r="E196" s="213"/>
      <c r="F196" s="213"/>
      <c r="G196" s="213"/>
      <c r="H196" s="213"/>
      <c r="I196" s="213"/>
      <c r="J196" s="213"/>
      <c r="K196" s="213"/>
      <c r="L196" s="213"/>
      <c r="M196" s="213"/>
      <c r="N196" s="208"/>
    </row>
    <row r="197" spans="1:19">
      <c r="A197" s="131"/>
      <c r="B197" s="161"/>
      <c r="C197" s="161"/>
      <c r="D197" s="213"/>
      <c r="E197" s="213"/>
      <c r="F197" s="213"/>
      <c r="G197" s="213"/>
      <c r="H197" s="213"/>
      <c r="I197" s="213"/>
      <c r="J197" s="213"/>
      <c r="K197" s="213"/>
      <c r="L197" s="213"/>
      <c r="M197" s="213"/>
      <c r="N197" s="208"/>
      <c r="O197" s="17"/>
      <c r="P197" s="17"/>
      <c r="Q197" s="17"/>
      <c r="R197" s="17"/>
      <c r="S197" s="17"/>
    </row>
    <row r="198" spans="1:19">
      <c r="A198" s="131"/>
      <c r="B198" s="161"/>
      <c r="C198" s="161"/>
      <c r="D198" s="213"/>
      <c r="E198" s="213"/>
      <c r="F198" s="213"/>
      <c r="G198" s="213"/>
      <c r="H198" s="213"/>
      <c r="I198" s="213"/>
      <c r="J198" s="213"/>
      <c r="K198" s="213"/>
      <c r="L198" s="213"/>
      <c r="M198" s="213"/>
      <c r="N198" s="208"/>
      <c r="O198" s="17"/>
      <c r="P198" s="17"/>
      <c r="Q198" s="17"/>
      <c r="R198" s="17"/>
      <c r="S198" s="17"/>
    </row>
    <row r="199" spans="1:19">
      <c r="A199" s="131"/>
      <c r="B199" s="161"/>
      <c r="C199" s="161"/>
      <c r="D199" s="213"/>
      <c r="E199" s="213"/>
      <c r="F199" s="213"/>
      <c r="G199" s="213"/>
      <c r="H199" s="213"/>
      <c r="I199" s="213"/>
      <c r="J199" s="213"/>
      <c r="K199" s="213"/>
      <c r="L199" s="213"/>
      <c r="M199" s="213"/>
      <c r="N199" s="208"/>
      <c r="O199" s="17"/>
      <c r="P199" s="17"/>
      <c r="Q199" s="17"/>
      <c r="R199" s="17"/>
    </row>
    <row r="200" spans="1:19">
      <c r="A200" s="131"/>
      <c r="B200" s="161"/>
      <c r="C200" s="161"/>
      <c r="D200" s="213"/>
      <c r="E200" s="213"/>
      <c r="F200" s="213"/>
      <c r="G200" s="213"/>
      <c r="H200" s="213"/>
      <c r="I200" s="213"/>
      <c r="J200" s="213"/>
      <c r="K200" s="213"/>
      <c r="L200" s="213"/>
      <c r="M200" s="213"/>
      <c r="N200" s="208"/>
      <c r="O200" s="17"/>
      <c r="P200" s="17"/>
      <c r="Q200" s="17"/>
      <c r="R200" s="17"/>
    </row>
    <row r="202" spans="1:19">
      <c r="B202" s="142"/>
      <c r="C202" s="142"/>
    </row>
    <row r="203" spans="1:19">
      <c r="B203" s="18"/>
      <c r="C203" s="18"/>
    </row>
    <row r="204" spans="1:19">
      <c r="B204" s="35"/>
      <c r="C204" s="35"/>
      <c r="D204" s="122"/>
      <c r="E204" s="122"/>
      <c r="F204" s="122"/>
      <c r="G204" s="122"/>
      <c r="H204" s="122"/>
      <c r="I204" s="122"/>
      <c r="J204" s="122"/>
      <c r="K204" s="122"/>
      <c r="L204" s="122"/>
      <c r="M204" s="122"/>
      <c r="N204" s="119"/>
    </row>
    <row r="205" spans="1:19">
      <c r="A205" s="131"/>
      <c r="B205" s="35"/>
      <c r="C205" s="35"/>
      <c r="D205" s="20"/>
      <c r="E205" s="20"/>
      <c r="F205" s="20"/>
      <c r="G205" s="20"/>
      <c r="H205" s="20"/>
      <c r="I205" s="20"/>
      <c r="J205" s="20"/>
      <c r="K205" s="20"/>
      <c r="L205" s="20"/>
      <c r="M205" s="20"/>
      <c r="N205" s="20"/>
    </row>
    <row r="206" spans="1:19">
      <c r="B206" s="35"/>
      <c r="C206" s="35"/>
      <c r="D206" s="20"/>
      <c r="E206" s="20"/>
      <c r="F206" s="20"/>
      <c r="G206" s="20"/>
      <c r="H206" s="20"/>
      <c r="I206" s="20"/>
      <c r="J206" s="20"/>
      <c r="K206" s="20"/>
      <c r="L206" s="20"/>
      <c r="M206" s="20"/>
      <c r="N206" s="20"/>
    </row>
    <row r="207" spans="1:19">
      <c r="B207" s="18"/>
      <c r="C207" s="18"/>
      <c r="D207" s="20"/>
      <c r="E207" s="20"/>
      <c r="F207" s="20"/>
      <c r="G207" s="20"/>
      <c r="H207" s="20"/>
      <c r="I207" s="20"/>
      <c r="J207" s="20"/>
      <c r="K207" s="20"/>
      <c r="L207" s="20"/>
      <c r="M207" s="20"/>
      <c r="N207" s="20"/>
    </row>
    <row r="208" spans="1:19">
      <c r="B208" s="35"/>
      <c r="C208" s="35"/>
      <c r="D208" s="122"/>
      <c r="E208" s="122"/>
      <c r="F208" s="122"/>
      <c r="G208" s="122"/>
      <c r="H208" s="122"/>
      <c r="I208" s="122"/>
      <c r="J208" s="122"/>
      <c r="K208" s="122"/>
      <c r="L208" s="122"/>
      <c r="M208" s="122"/>
      <c r="N208" s="119"/>
    </row>
    <row r="209" spans="1:14">
      <c r="A209" s="131"/>
      <c r="B209" s="35"/>
      <c r="C209" s="35"/>
      <c r="D209" s="20"/>
      <c r="E209" s="20"/>
      <c r="F209" s="20"/>
      <c r="G209" s="20"/>
      <c r="H209" s="20"/>
      <c r="I209" s="20"/>
      <c r="J209" s="20"/>
      <c r="K209" s="20"/>
      <c r="L209" s="20"/>
      <c r="M209" s="20"/>
      <c r="N209" s="20"/>
    </row>
    <row r="210" spans="1:14">
      <c r="B210" s="35"/>
      <c r="C210" s="35"/>
      <c r="D210" s="20"/>
      <c r="E210" s="20"/>
      <c r="F210" s="20"/>
      <c r="G210" s="20"/>
      <c r="H210" s="20"/>
      <c r="I210" s="20"/>
      <c r="J210" s="20"/>
      <c r="K210" s="20"/>
      <c r="L210" s="20"/>
      <c r="M210" s="20"/>
      <c r="N210" s="20"/>
    </row>
    <row r="211" spans="1:14">
      <c r="B211" s="18"/>
      <c r="C211" s="18"/>
      <c r="D211" s="20"/>
      <c r="E211" s="20"/>
      <c r="F211" s="20"/>
      <c r="G211" s="20"/>
      <c r="H211" s="20"/>
      <c r="I211" s="20"/>
      <c r="J211" s="20"/>
      <c r="K211" s="20"/>
      <c r="L211" s="20"/>
      <c r="M211" s="20"/>
      <c r="N211" s="20"/>
    </row>
    <row r="212" spans="1:14">
      <c r="D212" s="122"/>
      <c r="E212" s="122"/>
      <c r="F212" s="122"/>
      <c r="G212" s="122"/>
      <c r="H212" s="122"/>
      <c r="I212" s="122"/>
      <c r="J212" s="122"/>
      <c r="K212" s="122"/>
      <c r="L212" s="122"/>
      <c r="M212" s="122"/>
      <c r="N212" s="119"/>
    </row>
    <row r="213" spans="1:14">
      <c r="A213" s="131"/>
      <c r="D213" s="20"/>
      <c r="E213" s="20"/>
      <c r="F213" s="20"/>
      <c r="G213" s="20"/>
      <c r="H213" s="20"/>
      <c r="I213" s="20"/>
      <c r="J213" s="20"/>
      <c r="K213" s="20"/>
      <c r="L213" s="20"/>
      <c r="M213" s="20"/>
      <c r="N213" s="20"/>
    </row>
    <row r="215" spans="1:14">
      <c r="B215" s="142"/>
      <c r="C215" s="142"/>
    </row>
    <row r="216" spans="1:14">
      <c r="A216" s="12"/>
      <c r="B216" s="122"/>
      <c r="C216" s="122"/>
      <c r="D216" s="122"/>
      <c r="E216" s="122"/>
      <c r="F216" s="122"/>
      <c r="G216" s="122"/>
      <c r="H216" s="122"/>
      <c r="I216" s="122"/>
      <c r="J216" s="122"/>
      <c r="K216" s="122"/>
      <c r="L216" s="122"/>
      <c r="M216" s="122"/>
      <c r="N216" s="122"/>
    </row>
    <row r="217" spans="1:14">
      <c r="B217" s="8"/>
      <c r="C217" s="8"/>
      <c r="G217" s="214"/>
      <c r="N217" s="30"/>
    </row>
    <row r="218" spans="1:14">
      <c r="B218" s="131"/>
      <c r="C218" s="131"/>
      <c r="D218" s="122"/>
      <c r="E218" s="122"/>
    </row>
    <row r="219" spans="1:14">
      <c r="A219" s="206"/>
      <c r="B219" s="119"/>
      <c r="C219" s="119"/>
      <c r="D219" s="122"/>
      <c r="E219" s="122"/>
      <c r="F219" s="122"/>
      <c r="G219" s="122"/>
      <c r="H219" s="122"/>
      <c r="I219" s="122"/>
      <c r="J219" s="122"/>
      <c r="K219" s="122"/>
      <c r="L219" s="122"/>
      <c r="M219" s="122"/>
      <c r="N219" s="119"/>
    </row>
    <row r="220" spans="1:14">
      <c r="A220" s="131"/>
      <c r="B220" s="161"/>
      <c r="C220" s="161"/>
      <c r="D220" s="164"/>
      <c r="E220" s="164"/>
      <c r="F220" s="164"/>
      <c r="G220" s="164"/>
      <c r="H220" s="164"/>
      <c r="I220" s="164"/>
      <c r="J220" s="164"/>
      <c r="K220" s="164"/>
      <c r="L220" s="164"/>
      <c r="M220" s="164"/>
      <c r="N220" s="164"/>
    </row>
    <row r="221" spans="1:14">
      <c r="A221" s="131"/>
      <c r="B221" s="161"/>
      <c r="C221" s="161"/>
      <c r="D221" s="164"/>
      <c r="E221" s="164"/>
      <c r="F221" s="164"/>
      <c r="G221" s="164"/>
      <c r="H221" s="164"/>
      <c r="I221" s="164"/>
      <c r="J221" s="164"/>
      <c r="K221" s="164"/>
      <c r="L221" s="164"/>
      <c r="M221" s="164"/>
      <c r="N221" s="164"/>
    </row>
    <row r="222" spans="1:14">
      <c r="A222" s="131"/>
      <c r="B222" s="161"/>
      <c r="C222" s="161"/>
      <c r="D222" s="164"/>
      <c r="E222" s="164"/>
      <c r="F222" s="164"/>
      <c r="G222" s="164"/>
      <c r="H222" s="164"/>
      <c r="I222" s="164"/>
      <c r="J222" s="164"/>
      <c r="K222" s="164"/>
      <c r="L222" s="164"/>
      <c r="M222" s="164"/>
      <c r="N222" s="164"/>
    </row>
    <row r="223" spans="1:14">
      <c r="A223" s="131"/>
      <c r="B223" s="161"/>
      <c r="C223" s="161"/>
      <c r="D223" s="164"/>
      <c r="E223" s="164"/>
      <c r="F223" s="164"/>
      <c r="G223" s="164"/>
      <c r="H223" s="164"/>
      <c r="I223" s="164"/>
      <c r="J223" s="164"/>
      <c r="K223" s="164"/>
      <c r="L223" s="164"/>
      <c r="M223" s="164"/>
      <c r="N223" s="164"/>
    </row>
    <row r="224" spans="1:14">
      <c r="A224" s="131"/>
      <c r="B224" s="161"/>
      <c r="C224" s="161"/>
      <c r="D224" s="164"/>
      <c r="E224" s="164"/>
      <c r="F224" s="164"/>
      <c r="G224" s="164"/>
      <c r="H224" s="164"/>
      <c r="I224" s="164"/>
      <c r="J224" s="164"/>
      <c r="K224" s="164"/>
      <c r="L224" s="164"/>
      <c r="M224" s="164"/>
      <c r="N224" s="164"/>
    </row>
    <row r="225" spans="1:19">
      <c r="A225" s="131"/>
      <c r="B225" s="161"/>
      <c r="C225" s="161"/>
      <c r="D225" s="164"/>
      <c r="E225" s="164"/>
      <c r="F225" s="164"/>
      <c r="G225" s="164"/>
      <c r="H225" s="164"/>
      <c r="I225" s="164"/>
      <c r="J225" s="164"/>
      <c r="K225" s="164"/>
      <c r="L225" s="164"/>
      <c r="M225" s="164"/>
      <c r="N225" s="164"/>
    </row>
    <row r="226" spans="1:19">
      <c r="A226" s="131"/>
      <c r="B226" s="161"/>
      <c r="C226" s="161"/>
      <c r="D226" s="164"/>
      <c r="E226" s="164"/>
      <c r="F226" s="164"/>
      <c r="G226" s="164"/>
      <c r="H226" s="164"/>
      <c r="I226" s="164"/>
      <c r="J226" s="164"/>
      <c r="K226" s="164"/>
      <c r="L226" s="164"/>
      <c r="M226" s="164"/>
      <c r="N226" s="164"/>
    </row>
    <row r="227" spans="1:19">
      <c r="A227" s="131"/>
      <c r="B227" s="161"/>
      <c r="C227" s="161"/>
      <c r="D227" s="164"/>
      <c r="E227" s="164"/>
      <c r="F227" s="164"/>
      <c r="G227" s="164"/>
      <c r="H227" s="164"/>
      <c r="I227" s="164"/>
      <c r="J227" s="164"/>
      <c r="K227" s="164"/>
      <c r="L227" s="164"/>
      <c r="M227" s="164"/>
      <c r="N227" s="164"/>
    </row>
    <row r="228" spans="1:19">
      <c r="A228" s="131"/>
      <c r="B228" s="161"/>
      <c r="C228" s="161"/>
      <c r="D228" s="164"/>
      <c r="E228" s="164"/>
      <c r="F228" s="164"/>
      <c r="G228" s="164"/>
      <c r="H228" s="164"/>
      <c r="I228" s="164"/>
      <c r="J228" s="164"/>
      <c r="K228" s="164"/>
      <c r="L228" s="164"/>
      <c r="M228" s="164"/>
      <c r="N228" s="164"/>
    </row>
    <row r="229" spans="1:19">
      <c r="A229" s="131"/>
      <c r="B229" s="161"/>
      <c r="C229" s="161"/>
      <c r="D229" s="164"/>
      <c r="E229" s="164"/>
      <c r="F229" s="164"/>
      <c r="G229" s="164"/>
      <c r="H229" s="164"/>
      <c r="I229" s="164"/>
      <c r="J229" s="164"/>
      <c r="K229" s="164"/>
      <c r="L229" s="164"/>
      <c r="M229" s="164"/>
      <c r="N229" s="164"/>
    </row>
    <row r="230" spans="1:19">
      <c r="A230" s="131"/>
      <c r="B230" s="161"/>
      <c r="C230" s="161"/>
      <c r="D230" s="164"/>
      <c r="E230" s="164"/>
      <c r="F230" s="164"/>
      <c r="G230" s="164"/>
      <c r="H230" s="164"/>
      <c r="I230" s="164"/>
      <c r="J230" s="164"/>
      <c r="K230" s="164"/>
      <c r="L230" s="164"/>
      <c r="M230" s="164"/>
      <c r="N230" s="164"/>
    </row>
    <row r="231" spans="1:19">
      <c r="A231" s="131"/>
      <c r="B231" s="161"/>
      <c r="C231" s="161"/>
      <c r="D231" s="215"/>
      <c r="E231" s="215"/>
      <c r="F231" s="215"/>
      <c r="G231" s="215"/>
      <c r="H231" s="215"/>
      <c r="I231" s="215"/>
      <c r="J231" s="215"/>
      <c r="K231" s="215"/>
      <c r="L231" s="215"/>
      <c r="M231" s="215"/>
      <c r="N231" s="215"/>
    </row>
    <row r="232" spans="1:19">
      <c r="A232" s="131"/>
      <c r="B232" s="161"/>
      <c r="C232" s="161"/>
      <c r="D232" s="20"/>
      <c r="E232" s="20"/>
      <c r="F232" s="20"/>
      <c r="G232" s="20"/>
      <c r="H232" s="20"/>
      <c r="I232" s="20"/>
      <c r="J232" s="20"/>
      <c r="K232" s="20"/>
      <c r="L232" s="20"/>
      <c r="M232" s="20"/>
      <c r="N232" s="164"/>
    </row>
    <row r="234" spans="1:19">
      <c r="B234" s="16"/>
      <c r="C234" s="16"/>
      <c r="S234" s="17"/>
    </row>
    <row r="235" spans="1:19">
      <c r="B235" s="17"/>
      <c r="C235" s="17"/>
    </row>
    <row r="236" spans="1:19">
      <c r="B236" s="216"/>
      <c r="C236" s="216"/>
      <c r="D236" s="17"/>
      <c r="E236" s="17"/>
      <c r="F236" s="17"/>
      <c r="G236" s="17"/>
      <c r="H236" s="17"/>
      <c r="I236" s="17"/>
      <c r="K236" s="17"/>
      <c r="L236" s="17"/>
      <c r="M236" s="17"/>
      <c r="N236" s="17"/>
      <c r="O236" s="17"/>
      <c r="P236" s="17"/>
      <c r="Q236" s="17"/>
      <c r="R236" s="17"/>
    </row>
    <row r="238" spans="1:19">
      <c r="B238" s="18"/>
      <c r="C238" s="18"/>
    </row>
    <row r="239" spans="1:19">
      <c r="B239" s="18"/>
      <c r="C239" s="18"/>
    </row>
    <row r="240" spans="1:19">
      <c r="B240" s="35"/>
      <c r="C240" s="35"/>
    </row>
    <row r="241" spans="2:3">
      <c r="B241" s="17"/>
      <c r="C241" s="17"/>
    </row>
    <row r="242" spans="2:3">
      <c r="B242" s="18"/>
      <c r="C242" s="18"/>
    </row>
    <row r="243" spans="2:3">
      <c r="B243" s="18"/>
      <c r="C243" s="18"/>
    </row>
    <row r="244" spans="2:3">
      <c r="B244" s="18"/>
      <c r="C244" s="18"/>
    </row>
    <row r="245" spans="2:3">
      <c r="B245" s="17"/>
      <c r="C245" s="17"/>
    </row>
    <row r="246" spans="2:3">
      <c r="B246" s="18"/>
      <c r="C246" s="18"/>
    </row>
    <row r="247" spans="2:3">
      <c r="B247" s="217"/>
      <c r="C247" s="217"/>
    </row>
    <row r="248" spans="2:3">
      <c r="B248" s="17"/>
      <c r="C248" s="17"/>
    </row>
    <row r="249" spans="2:3">
      <c r="B249" s="17"/>
      <c r="C249" s="17"/>
    </row>
    <row r="251" spans="2:3">
      <c r="B251" s="17"/>
      <c r="C251" s="17"/>
    </row>
    <row r="252" spans="2:3">
      <c r="B252" s="17"/>
      <c r="C252" s="17"/>
    </row>
    <row r="256" spans="2:3">
      <c r="B256" s="17"/>
      <c r="C256" s="17"/>
    </row>
    <row r="257" spans="2:3">
      <c r="B257" s="18"/>
      <c r="C257" s="18"/>
    </row>
    <row r="258" spans="2:3">
      <c r="B258" s="18"/>
      <c r="C258" s="18"/>
    </row>
  </sheetData>
  <mergeCells count="4">
    <mergeCell ref="B133:Q133"/>
    <mergeCell ref="B134:Q134"/>
    <mergeCell ref="B135:Q135"/>
    <mergeCell ref="B136:Q136"/>
  </mergeCells>
  <printOptions horizontalCentered="1"/>
  <pageMargins left="1" right="1" top="1" bottom="1" header="0.5" footer="0.5"/>
  <pageSetup scale="39" fitToHeight="0" orientation="landscape" r:id="rId1"/>
  <headerFooter>
    <oddHeader xml:space="preserve">&amp;C&amp;"-,Bold"Pacific Gas and Electric Company
Formula Rate Model
Schedule &amp;A&amp;R&amp;8Docket No. ER19-13-000, et al- Annual Update RY2024
&amp;F
</oddHeader>
  </headerFooter>
  <rowBreaks count="2" manualBreakCount="2">
    <brk id="52" max="17" man="1"/>
    <brk id="117" max="17" man="1"/>
  </rowBreaks>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R140"/>
  <sheetViews>
    <sheetView tabSelected="1" view="pageBreakPreview" topLeftCell="A107" zoomScale="90" zoomScaleNormal="75" zoomScaleSheetLayoutView="90" zoomScalePageLayoutView="55" workbookViewId="0">
      <selection activeCell="C59" activeCellId="1" sqref="L63 C59"/>
    </sheetView>
  </sheetViews>
  <sheetFormatPr defaultColWidth="8.81640625" defaultRowHeight="14.5"/>
  <cols>
    <col min="1" max="1" width="6.81640625" style="30" bestFit="1" customWidth="1"/>
    <col min="2" max="3" width="16.26953125" customWidth="1"/>
    <col min="4" max="15" width="17.26953125" customWidth="1"/>
    <col min="16" max="16" width="20" customWidth="1"/>
    <col min="17" max="17" width="6.81640625" bestFit="1" customWidth="1"/>
    <col min="18" max="18" width="8.81640625" customWidth="1"/>
  </cols>
  <sheetData>
    <row r="1" spans="1:17">
      <c r="B1" s="12" t="s">
        <v>426</v>
      </c>
      <c r="G1" s="143"/>
      <c r="I1" s="17"/>
      <c r="N1" s="15"/>
      <c r="O1" s="8"/>
      <c r="P1" s="15" t="str">
        <f>CONCATENATE("Prior Year: ",'1-BaseTRR'!$F$2)</f>
        <v>Prior Year: 2022</v>
      </c>
    </row>
    <row r="2" spans="1:17">
      <c r="B2" s="117" t="s">
        <v>193</v>
      </c>
      <c r="C2" s="49"/>
      <c r="I2" s="17"/>
      <c r="N2" s="15"/>
      <c r="O2" s="8"/>
    </row>
    <row r="3" spans="1:17">
      <c r="A3" s="8"/>
    </row>
    <row r="4" spans="1:17">
      <c r="B4" s="118" t="s">
        <v>427</v>
      </c>
      <c r="C4" s="144"/>
      <c r="D4" s="144"/>
      <c r="E4" s="144"/>
      <c r="F4" s="144"/>
      <c r="G4" s="144"/>
      <c r="H4" s="144"/>
      <c r="I4" s="218"/>
      <c r="J4" s="219"/>
      <c r="K4" s="144"/>
      <c r="L4" s="144"/>
      <c r="M4" s="54"/>
      <c r="N4" s="54"/>
      <c r="O4" s="54"/>
      <c r="P4" s="54"/>
    </row>
    <row r="5" spans="1:17">
      <c r="B5" t="s">
        <v>1883</v>
      </c>
    </row>
    <row r="6" spans="1:17">
      <c r="B6" t="s">
        <v>1056</v>
      </c>
    </row>
    <row r="8" spans="1:17">
      <c r="A8" s="131"/>
      <c r="C8" s="122" t="s">
        <v>98</v>
      </c>
      <c r="D8" s="122" t="s">
        <v>99</v>
      </c>
      <c r="E8" s="122" t="s">
        <v>100</v>
      </c>
      <c r="F8" s="122" t="s">
        <v>101</v>
      </c>
      <c r="G8" s="122" t="s">
        <v>102</v>
      </c>
      <c r="H8" s="122" t="s">
        <v>103</v>
      </c>
      <c r="I8" s="122" t="s">
        <v>104</v>
      </c>
      <c r="J8" s="122" t="s">
        <v>105</v>
      </c>
      <c r="K8" s="122" t="s">
        <v>106</v>
      </c>
      <c r="L8" s="122" t="s">
        <v>266</v>
      </c>
      <c r="M8" s="122" t="s">
        <v>267</v>
      </c>
      <c r="N8" s="122" t="s">
        <v>268</v>
      </c>
      <c r="O8" s="122" t="s">
        <v>269</v>
      </c>
      <c r="P8" s="122"/>
    </row>
    <row r="9" spans="1:17">
      <c r="A9" s="131"/>
      <c r="C9" s="27"/>
      <c r="D9" s="27"/>
      <c r="E9" s="27"/>
      <c r="F9" s="27"/>
      <c r="G9" s="27"/>
      <c r="H9" s="27"/>
      <c r="I9" s="27"/>
      <c r="J9" s="27"/>
      <c r="K9" s="27"/>
      <c r="L9" s="27"/>
      <c r="M9" s="27"/>
      <c r="N9" s="27"/>
      <c r="O9" s="153" t="s">
        <v>1158</v>
      </c>
      <c r="P9" s="27"/>
    </row>
    <row r="10" spans="1:17">
      <c r="A10" s="131"/>
      <c r="C10" s="27"/>
      <c r="D10" s="27"/>
      <c r="E10" s="27"/>
      <c r="F10" s="27"/>
      <c r="G10" s="27"/>
      <c r="H10" s="27"/>
      <c r="I10" s="27"/>
      <c r="J10" s="27"/>
      <c r="K10" s="27"/>
      <c r="L10" s="27"/>
      <c r="M10" s="27"/>
      <c r="N10" s="27"/>
      <c r="O10" s="27"/>
      <c r="P10" s="27"/>
    </row>
    <row r="11" spans="1:17">
      <c r="B11" s="130" t="s">
        <v>341</v>
      </c>
      <c r="C11" s="123">
        <v>350.01</v>
      </c>
      <c r="D11" s="123">
        <v>350.02</v>
      </c>
      <c r="E11" s="123">
        <v>352.01</v>
      </c>
      <c r="F11" s="123">
        <v>352.02</v>
      </c>
      <c r="G11" s="123">
        <v>353.01</v>
      </c>
      <c r="H11" s="123">
        <v>353.02</v>
      </c>
      <c r="I11" s="123">
        <v>354</v>
      </c>
      <c r="J11" s="123">
        <v>355</v>
      </c>
      <c r="K11" s="123">
        <v>356</v>
      </c>
      <c r="L11" s="123">
        <v>357</v>
      </c>
      <c r="M11" s="123">
        <v>358</v>
      </c>
      <c r="N11" s="123">
        <v>359</v>
      </c>
    </row>
    <row r="12" spans="1:17">
      <c r="A12" s="119" t="s">
        <v>122</v>
      </c>
      <c r="B12" s="119" t="s">
        <v>428</v>
      </c>
      <c r="C12" s="122" t="s">
        <v>342</v>
      </c>
      <c r="D12" s="122" t="s">
        <v>343</v>
      </c>
      <c r="E12" s="122" t="s">
        <v>344</v>
      </c>
      <c r="F12" s="122" t="s">
        <v>345</v>
      </c>
      <c r="G12" s="122" t="s">
        <v>346</v>
      </c>
      <c r="H12" s="122" t="s">
        <v>347</v>
      </c>
      <c r="I12" s="122" t="s">
        <v>348</v>
      </c>
      <c r="J12" s="122" t="s">
        <v>349</v>
      </c>
      <c r="K12" s="122" t="s">
        <v>350</v>
      </c>
      <c r="L12" s="122" t="s">
        <v>351</v>
      </c>
      <c r="M12" s="122" t="s">
        <v>352</v>
      </c>
      <c r="N12" s="122" t="s">
        <v>353</v>
      </c>
      <c r="O12" s="122" t="s">
        <v>354</v>
      </c>
      <c r="P12" s="122"/>
      <c r="Q12" s="119" t="str">
        <f>A12</f>
        <v>Line</v>
      </c>
    </row>
    <row r="13" spans="1:17">
      <c r="A13" s="131">
        <v>100</v>
      </c>
      <c r="B13" s="17" t="s">
        <v>363</v>
      </c>
      <c r="C13" s="479">
        <v>0</v>
      </c>
      <c r="D13" s="479">
        <v>1824607.680485436</v>
      </c>
      <c r="E13" s="479">
        <v>2869693.2307170094</v>
      </c>
      <c r="F13" s="479">
        <v>594217.83677899872</v>
      </c>
      <c r="G13" s="479">
        <v>83847768.39310883</v>
      </c>
      <c r="H13" s="479">
        <v>47317.682430217021</v>
      </c>
      <c r="I13" s="479">
        <v>12267859.703524645</v>
      </c>
      <c r="J13" s="479">
        <v>4265500.7452651234</v>
      </c>
      <c r="K13" s="479">
        <v>26379976.505507272</v>
      </c>
      <c r="L13" s="479">
        <v>5437601.4943024106</v>
      </c>
      <c r="M13" s="479">
        <v>2333281.089869814</v>
      </c>
      <c r="N13" s="479">
        <v>1480026.9313527392</v>
      </c>
      <c r="O13" s="480">
        <f>SUM(C13:N13)</f>
        <v>141347851.29334253</v>
      </c>
      <c r="P13" s="220"/>
      <c r="Q13" s="131">
        <f>A13</f>
        <v>100</v>
      </c>
    </row>
    <row r="14" spans="1:17">
      <c r="A14" s="131">
        <f>+A13+1</f>
        <v>101</v>
      </c>
      <c r="B14" s="221" t="s">
        <v>364</v>
      </c>
      <c r="C14" s="472">
        <v>0</v>
      </c>
      <c r="D14" s="472">
        <v>2001241.1378097422</v>
      </c>
      <c r="E14" s="472">
        <v>3712026.9247844992</v>
      </c>
      <c r="F14" s="472">
        <v>1370650.4330054591</v>
      </c>
      <c r="G14" s="472">
        <v>152020301.49531078</v>
      </c>
      <c r="H14" s="472">
        <v>311836.85097247362</v>
      </c>
      <c r="I14" s="472">
        <v>11679469.734030776</v>
      </c>
      <c r="J14" s="472">
        <v>69378776.877657354</v>
      </c>
      <c r="K14" s="472">
        <v>42911446.761952586</v>
      </c>
      <c r="L14" s="472">
        <v>2534355.0681791073</v>
      </c>
      <c r="M14" s="472">
        <v>3270947.0308623225</v>
      </c>
      <c r="N14" s="472">
        <v>1749627.4974560989</v>
      </c>
      <c r="O14" s="481">
        <f>SUM(C14:N14)</f>
        <v>290940679.8120212</v>
      </c>
      <c r="P14" s="220"/>
      <c r="Q14" s="131">
        <f>A14</f>
        <v>101</v>
      </c>
    </row>
    <row r="15" spans="1:17">
      <c r="A15" s="131">
        <f>+A14+1</f>
        <v>102</v>
      </c>
      <c r="B15" s="142" t="s">
        <v>354</v>
      </c>
      <c r="C15" s="199">
        <f>SUM(C13:C14)</f>
        <v>0</v>
      </c>
      <c r="D15" s="199">
        <f t="shared" ref="D15:N15" si="0">SUM(D13:D14)</f>
        <v>3825848.818295178</v>
      </c>
      <c r="E15" s="199">
        <f t="shared" si="0"/>
        <v>6581720.1555015091</v>
      </c>
      <c r="F15" s="199">
        <f t="shared" si="0"/>
        <v>1964868.269784458</v>
      </c>
      <c r="G15" s="199">
        <f t="shared" si="0"/>
        <v>235868069.88841963</v>
      </c>
      <c r="H15" s="199">
        <f t="shared" si="0"/>
        <v>359154.53340269066</v>
      </c>
      <c r="I15" s="199">
        <f t="shared" si="0"/>
        <v>23947329.437555421</v>
      </c>
      <c r="J15" s="199">
        <f t="shared" si="0"/>
        <v>73644277.62292248</v>
      </c>
      <c r="K15" s="199">
        <f t="shared" si="0"/>
        <v>69291423.267459854</v>
      </c>
      <c r="L15" s="199">
        <f t="shared" si="0"/>
        <v>7971956.5624815179</v>
      </c>
      <c r="M15" s="199">
        <f t="shared" si="0"/>
        <v>5604228.1207321361</v>
      </c>
      <c r="N15" s="199">
        <f t="shared" si="0"/>
        <v>3229654.4288088381</v>
      </c>
      <c r="O15" s="463">
        <f>SUM(C15:N15)</f>
        <v>432288531.10536373</v>
      </c>
      <c r="P15" s="222"/>
      <c r="Q15" s="131">
        <f>A15</f>
        <v>102</v>
      </c>
    </row>
    <row r="16" spans="1:17">
      <c r="A16" s="27"/>
      <c r="B16" s="17"/>
      <c r="C16" s="17"/>
      <c r="D16" s="17"/>
      <c r="E16" s="17"/>
      <c r="F16" s="17"/>
      <c r="G16" s="17"/>
      <c r="H16" s="17"/>
      <c r="I16" s="17"/>
      <c r="J16" s="17"/>
      <c r="K16" s="17"/>
      <c r="L16" s="17"/>
      <c r="Q16" s="30"/>
    </row>
    <row r="17" spans="1:17">
      <c r="A17" s="27"/>
      <c r="B17" s="17"/>
      <c r="C17" s="17"/>
      <c r="D17" s="17"/>
      <c r="E17" s="17"/>
      <c r="F17" s="17"/>
      <c r="G17" s="17"/>
      <c r="H17" s="17"/>
      <c r="I17" s="17"/>
      <c r="J17" s="17"/>
      <c r="K17" s="17"/>
      <c r="L17" s="17"/>
      <c r="Q17" s="30"/>
    </row>
    <row r="18" spans="1:17">
      <c r="B18" s="57" t="s">
        <v>429</v>
      </c>
      <c r="C18" s="144"/>
      <c r="D18" s="144"/>
      <c r="E18" s="144"/>
      <c r="F18" s="144"/>
      <c r="G18" s="144"/>
      <c r="H18" s="144"/>
      <c r="I18" s="144"/>
      <c r="J18" s="144"/>
      <c r="K18" s="144"/>
      <c r="L18" s="144"/>
      <c r="M18" s="54"/>
      <c r="N18" s="54"/>
      <c r="O18" s="54"/>
      <c r="P18" s="54"/>
      <c r="Q18" s="30"/>
    </row>
    <row r="19" spans="1:17">
      <c r="B19" s="150" t="s">
        <v>1881</v>
      </c>
    </row>
    <row r="21" spans="1:17">
      <c r="A21" s="27"/>
      <c r="B21" s="17"/>
      <c r="C21" s="122" t="s">
        <v>98</v>
      </c>
      <c r="D21" s="122" t="s">
        <v>99</v>
      </c>
      <c r="E21" s="122" t="s">
        <v>100</v>
      </c>
      <c r="F21" s="17"/>
      <c r="G21" s="17"/>
      <c r="H21" s="17"/>
      <c r="I21" s="17"/>
      <c r="J21" s="17"/>
      <c r="K21" s="17"/>
      <c r="L21" s="17"/>
      <c r="Q21" s="30"/>
    </row>
    <row r="22" spans="1:17">
      <c r="C22" s="140" t="s">
        <v>359</v>
      </c>
      <c r="D22" s="153" t="s">
        <v>123</v>
      </c>
      <c r="E22" s="153" t="s">
        <v>123</v>
      </c>
      <c r="F22" s="17"/>
      <c r="G22" s="17"/>
      <c r="H22" s="17"/>
      <c r="I22" s="17"/>
      <c r="J22" s="17"/>
      <c r="K22" s="17"/>
      <c r="L22" s="17"/>
      <c r="Q22" s="30"/>
    </row>
    <row r="23" spans="1:17">
      <c r="D23" s="30"/>
      <c r="E23" s="30"/>
      <c r="F23" s="17"/>
      <c r="G23" s="17"/>
      <c r="H23" s="17"/>
      <c r="I23" s="17"/>
      <c r="J23" s="17"/>
      <c r="K23" s="17"/>
      <c r="L23" s="17"/>
      <c r="Q23" s="30"/>
    </row>
    <row r="24" spans="1:17">
      <c r="A24" s="119" t="s">
        <v>122</v>
      </c>
      <c r="B24" s="119" t="s">
        <v>109</v>
      </c>
      <c r="C24" s="122" t="s">
        <v>421</v>
      </c>
      <c r="D24" s="122" t="s">
        <v>363</v>
      </c>
      <c r="E24" s="122" t="s">
        <v>364</v>
      </c>
      <c r="F24" s="17"/>
      <c r="G24" s="17"/>
      <c r="H24" s="17"/>
      <c r="I24" s="17"/>
      <c r="J24" s="17"/>
      <c r="K24" s="17"/>
      <c r="L24" s="17"/>
      <c r="Q24" s="119" t="str">
        <f>A24</f>
        <v>Line</v>
      </c>
    </row>
    <row r="25" spans="1:17">
      <c r="A25" s="131">
        <v>200</v>
      </c>
      <c r="B25" s="156">
        <f>'1-BaseTRR'!$F$2</f>
        <v>2022</v>
      </c>
      <c r="C25" s="32">
        <f>D25+E25</f>
        <v>78454382.295716882</v>
      </c>
      <c r="D25" s="468">
        <v>26587311.584148124</v>
      </c>
      <c r="E25" s="468">
        <v>51867070.711568765</v>
      </c>
      <c r="F25" s="17"/>
      <c r="G25" s="17"/>
      <c r="H25" s="17"/>
      <c r="I25" s="17"/>
      <c r="J25" s="17"/>
      <c r="K25" s="17"/>
      <c r="L25" s="17"/>
      <c r="Q25" s="131">
        <f>A25</f>
        <v>200</v>
      </c>
    </row>
    <row r="26" spans="1:17">
      <c r="A26" s="155"/>
      <c r="B26" s="20"/>
      <c r="C26" s="20"/>
      <c r="D26" s="20"/>
      <c r="E26" s="17"/>
      <c r="F26" s="17"/>
      <c r="G26" s="17"/>
      <c r="H26" s="17"/>
      <c r="I26" s="17"/>
      <c r="J26" s="17"/>
      <c r="K26" s="17"/>
      <c r="L26" s="17"/>
      <c r="Q26" s="30"/>
    </row>
    <row r="27" spans="1:17">
      <c r="A27" s="155"/>
      <c r="B27" s="20"/>
      <c r="C27" s="20"/>
      <c r="D27" s="20"/>
      <c r="E27" s="17"/>
      <c r="F27" s="17"/>
      <c r="G27" s="17"/>
      <c r="H27" s="17"/>
      <c r="I27" s="17"/>
      <c r="J27" s="17"/>
      <c r="K27" s="17"/>
      <c r="L27" s="17"/>
      <c r="Q27" s="30"/>
    </row>
    <row r="28" spans="1:17">
      <c r="B28" s="57" t="s">
        <v>430</v>
      </c>
      <c r="C28" s="144"/>
      <c r="D28" s="144"/>
      <c r="E28" s="144"/>
      <c r="F28" s="144"/>
      <c r="G28" s="144"/>
      <c r="H28" s="144"/>
      <c r="I28" s="144"/>
      <c r="J28" s="144"/>
      <c r="K28" s="144"/>
      <c r="L28" s="144"/>
      <c r="M28" s="54"/>
      <c r="N28" s="54"/>
      <c r="O28" s="54"/>
      <c r="P28" s="54"/>
      <c r="Q28" s="30"/>
    </row>
    <row r="29" spans="1:17">
      <c r="B29" s="150"/>
    </row>
    <row r="31" spans="1:17">
      <c r="B31" s="17"/>
      <c r="C31" s="122" t="s">
        <v>98</v>
      </c>
      <c r="D31" s="122" t="s">
        <v>99</v>
      </c>
      <c r="E31" s="122" t="s">
        <v>100</v>
      </c>
      <c r="F31" s="122" t="s">
        <v>101</v>
      </c>
      <c r="G31" s="122" t="s">
        <v>102</v>
      </c>
      <c r="H31" s="17"/>
      <c r="I31" s="17"/>
      <c r="J31" s="17"/>
      <c r="K31" s="17"/>
      <c r="L31" s="17"/>
      <c r="Q31" s="30"/>
    </row>
    <row r="32" spans="1:17" ht="29">
      <c r="A32" s="162"/>
      <c r="B32" s="223"/>
      <c r="C32" s="153" t="s">
        <v>124</v>
      </c>
      <c r="D32" s="153" t="s">
        <v>1047</v>
      </c>
      <c r="E32" s="166" t="s">
        <v>367</v>
      </c>
      <c r="F32" s="153" t="s">
        <v>1049</v>
      </c>
      <c r="G32" s="153" t="s">
        <v>1050</v>
      </c>
      <c r="H32" s="224"/>
      <c r="I32" s="224"/>
      <c r="J32" s="224"/>
      <c r="K32" s="224"/>
      <c r="L32" s="224"/>
      <c r="M32" s="223"/>
      <c r="N32" s="223"/>
      <c r="O32" s="223"/>
      <c r="P32" s="223"/>
      <c r="Q32" s="30"/>
    </row>
    <row r="33" spans="1:17">
      <c r="D33" s="225"/>
      <c r="F33" s="225"/>
      <c r="G33" s="225"/>
      <c r="H33" s="17"/>
      <c r="I33" s="17"/>
      <c r="J33" s="17"/>
      <c r="K33" s="17"/>
      <c r="L33" s="17"/>
      <c r="Q33" s="30"/>
    </row>
    <row r="34" spans="1:17">
      <c r="F34" s="225"/>
      <c r="G34" s="225"/>
      <c r="H34" s="17"/>
      <c r="I34" s="17"/>
      <c r="J34" s="17"/>
      <c r="K34" s="17"/>
      <c r="L34" s="17"/>
      <c r="Q34" s="30"/>
    </row>
    <row r="35" spans="1:17">
      <c r="C35" s="123" t="s">
        <v>369</v>
      </c>
      <c r="D35" s="8" t="s">
        <v>368</v>
      </c>
      <c r="E35" s="8" t="s">
        <v>187</v>
      </c>
      <c r="H35" s="17"/>
      <c r="I35" s="17"/>
      <c r="J35" s="17"/>
      <c r="K35" s="17"/>
      <c r="L35" s="17"/>
      <c r="Q35" s="30"/>
    </row>
    <row r="36" spans="1:17">
      <c r="C36" s="8" t="s">
        <v>431</v>
      </c>
      <c r="D36" s="8" t="s">
        <v>187</v>
      </c>
      <c r="E36" s="8" t="s">
        <v>432</v>
      </c>
      <c r="F36" s="123" t="s">
        <v>363</v>
      </c>
      <c r="G36" s="123" t="s">
        <v>364</v>
      </c>
      <c r="H36" s="17"/>
      <c r="I36" s="17"/>
      <c r="J36" s="17"/>
      <c r="K36" s="17"/>
      <c r="L36" s="17"/>
      <c r="Q36" s="30"/>
    </row>
    <row r="37" spans="1:17">
      <c r="A37" s="119" t="s">
        <v>122</v>
      </c>
      <c r="B37" s="119" t="s">
        <v>109</v>
      </c>
      <c r="C37" s="168" t="s">
        <v>370</v>
      </c>
      <c r="D37" s="168" t="s">
        <v>371</v>
      </c>
      <c r="E37" s="168" t="s">
        <v>372</v>
      </c>
      <c r="F37" s="168" t="s">
        <v>372</v>
      </c>
      <c r="G37" s="168" t="s">
        <v>372</v>
      </c>
      <c r="H37" s="17"/>
      <c r="I37" s="17"/>
      <c r="J37" s="17"/>
      <c r="K37" s="17"/>
      <c r="L37" s="17"/>
      <c r="Q37" s="119" t="str">
        <f>A37</f>
        <v>Line</v>
      </c>
    </row>
    <row r="38" spans="1:17">
      <c r="A38" s="131">
        <v>300</v>
      </c>
      <c r="B38" s="156">
        <f>'1-BaseTRR'!$F$2</f>
        <v>2022</v>
      </c>
      <c r="C38" s="468">
        <v>269126508.51370502</v>
      </c>
      <c r="D38" s="214">
        <f>'24-Allocators'!$C$24</f>
        <v>9.5754660785216397E-2</v>
      </c>
      <c r="E38" s="32">
        <f>+D38*C38</f>
        <v>25770117.531039476</v>
      </c>
      <c r="F38" s="482">
        <f>+E38*'24-Allocators'!$C$43</f>
        <v>8831267.4462669138</v>
      </c>
      <c r="G38" s="32">
        <f>+E38*'24-Allocators'!$C$44</f>
        <v>16938850.084772561</v>
      </c>
      <c r="H38" s="17"/>
      <c r="I38" s="17"/>
      <c r="J38" s="17"/>
      <c r="K38" s="17"/>
      <c r="L38" s="17"/>
      <c r="Q38" s="131">
        <f>A38</f>
        <v>300</v>
      </c>
    </row>
    <row r="39" spans="1:17">
      <c r="A39" s="131"/>
      <c r="B39" s="150"/>
      <c r="C39" s="164"/>
      <c r="D39" s="226"/>
      <c r="E39" s="20"/>
      <c r="F39" s="17"/>
      <c r="G39" s="17"/>
      <c r="H39" s="17"/>
      <c r="I39" s="17"/>
      <c r="J39" s="17"/>
      <c r="K39" s="17"/>
      <c r="L39" s="17"/>
      <c r="Q39" s="30"/>
    </row>
    <row r="40" spans="1:17">
      <c r="A40" s="131"/>
      <c r="B40" s="150"/>
      <c r="C40" s="164"/>
      <c r="D40" s="226"/>
      <c r="E40" s="20"/>
      <c r="F40" s="17"/>
      <c r="G40" s="17"/>
      <c r="H40" s="17"/>
      <c r="I40" s="17"/>
      <c r="J40" s="17"/>
      <c r="K40" s="17"/>
      <c r="L40" s="17"/>
      <c r="Q40" s="30"/>
    </row>
    <row r="41" spans="1:17">
      <c r="B41" s="57" t="s">
        <v>433</v>
      </c>
      <c r="C41" s="144"/>
      <c r="D41" s="144"/>
      <c r="E41" s="144"/>
      <c r="F41" s="144"/>
      <c r="G41" s="144"/>
      <c r="H41" s="144"/>
      <c r="I41" s="144"/>
      <c r="J41" s="144"/>
      <c r="K41" s="144"/>
      <c r="L41" s="144"/>
      <c r="M41" s="54"/>
      <c r="N41" s="54"/>
      <c r="O41" s="54"/>
      <c r="P41" s="54"/>
      <c r="Q41" s="30"/>
    </row>
    <row r="42" spans="1:17">
      <c r="B42" s="150" t="s">
        <v>1882</v>
      </c>
    </row>
    <row r="44" spans="1:17">
      <c r="B44" s="17"/>
      <c r="C44" s="122" t="s">
        <v>98</v>
      </c>
      <c r="D44" s="122" t="s">
        <v>99</v>
      </c>
      <c r="E44" s="122" t="s">
        <v>100</v>
      </c>
      <c r="F44" s="122" t="s">
        <v>101</v>
      </c>
      <c r="G44" s="122" t="s">
        <v>102</v>
      </c>
      <c r="H44" s="17"/>
      <c r="I44" s="17"/>
      <c r="J44" s="17"/>
      <c r="K44" s="17"/>
      <c r="L44" s="17"/>
      <c r="Q44" s="30"/>
    </row>
    <row r="45" spans="1:17" ht="29">
      <c r="A45" s="162"/>
      <c r="B45" s="223"/>
      <c r="C45" s="153" t="s">
        <v>166</v>
      </c>
      <c r="D45" s="153" t="s">
        <v>1048</v>
      </c>
      <c r="E45" s="166" t="s">
        <v>367</v>
      </c>
      <c r="F45" s="153" t="s">
        <v>1049</v>
      </c>
      <c r="G45" s="153" t="s">
        <v>1050</v>
      </c>
      <c r="H45" s="224"/>
      <c r="I45" s="224"/>
      <c r="J45" s="224"/>
      <c r="K45" s="224"/>
      <c r="L45" s="224"/>
      <c r="M45" s="223"/>
      <c r="N45" s="223"/>
      <c r="O45" s="223"/>
      <c r="P45" s="223"/>
      <c r="Q45" s="30"/>
    </row>
    <row r="46" spans="1:17">
      <c r="D46" s="225"/>
      <c r="E46" s="30"/>
      <c r="F46" s="225"/>
      <c r="G46" s="225"/>
      <c r="H46" s="17"/>
      <c r="I46" s="17"/>
      <c r="J46" s="17"/>
      <c r="K46" s="17"/>
      <c r="L46" s="17"/>
      <c r="Q46" s="30"/>
    </row>
    <row r="47" spans="1:17">
      <c r="H47" s="17"/>
      <c r="I47" s="17"/>
      <c r="J47" s="17"/>
      <c r="K47" s="17"/>
      <c r="L47" s="17"/>
      <c r="Q47" s="30"/>
    </row>
    <row r="48" spans="1:17">
      <c r="D48" s="8" t="s">
        <v>368</v>
      </c>
      <c r="E48" s="8" t="s">
        <v>187</v>
      </c>
      <c r="H48" s="17"/>
      <c r="I48" s="17"/>
      <c r="J48" s="17"/>
      <c r="K48" s="17"/>
      <c r="L48" s="17"/>
      <c r="Q48" s="30"/>
    </row>
    <row r="49" spans="1:18">
      <c r="C49" s="123" t="s">
        <v>434</v>
      </c>
      <c r="D49" s="8" t="s">
        <v>187</v>
      </c>
      <c r="E49" s="8" t="s">
        <v>432</v>
      </c>
      <c r="F49" s="123" t="s">
        <v>363</v>
      </c>
      <c r="G49" s="123" t="s">
        <v>364</v>
      </c>
      <c r="H49" s="17"/>
      <c r="I49" s="17"/>
      <c r="J49" s="17"/>
      <c r="K49" s="17"/>
      <c r="L49" s="17"/>
      <c r="Q49" s="30"/>
    </row>
    <row r="50" spans="1:18">
      <c r="A50" s="119" t="s">
        <v>122</v>
      </c>
      <c r="B50" s="119" t="s">
        <v>109</v>
      </c>
      <c r="C50" s="168" t="s">
        <v>370</v>
      </c>
      <c r="D50" s="168" t="s">
        <v>371</v>
      </c>
      <c r="E50" s="168" t="s">
        <v>435</v>
      </c>
      <c r="F50" s="168" t="s">
        <v>435</v>
      </c>
      <c r="G50" s="168" t="s">
        <v>435</v>
      </c>
      <c r="H50" s="17"/>
      <c r="I50" s="17"/>
      <c r="J50" s="17"/>
      <c r="K50" s="17"/>
      <c r="L50" s="17"/>
      <c r="Q50" s="119" t="str">
        <f>A50</f>
        <v>Line</v>
      </c>
    </row>
    <row r="51" spans="1:18">
      <c r="A51" s="131">
        <v>400</v>
      </c>
      <c r="B51" s="156">
        <f>'1-BaseTRR'!$F$2</f>
        <v>2022</v>
      </c>
      <c r="C51" s="468">
        <v>3874902.3722063196</v>
      </c>
      <c r="D51" s="31">
        <f>'24-Allocators'!$C$23</f>
        <v>0.13539553206179952</v>
      </c>
      <c r="E51" s="32">
        <f>+D51*C51</f>
        <v>524644.46837240376</v>
      </c>
      <c r="F51" s="483">
        <f>+E51*'24-Allocators'!$C$43</f>
        <v>179792.56822637902</v>
      </c>
      <c r="G51" s="32">
        <f>+E51*'24-Allocators'!$C$44</f>
        <v>344851.90014602477</v>
      </c>
      <c r="H51" s="17"/>
      <c r="I51" s="17"/>
      <c r="J51" s="17"/>
      <c r="K51" s="17"/>
      <c r="L51" s="17"/>
      <c r="Q51" s="131">
        <f>A51</f>
        <v>400</v>
      </c>
    </row>
    <row r="52" spans="1:18">
      <c r="A52" s="131"/>
      <c r="B52" s="150"/>
      <c r="C52" s="164"/>
      <c r="D52" s="226"/>
      <c r="E52" s="20"/>
      <c r="F52" s="17"/>
      <c r="G52" s="17"/>
      <c r="H52" s="17"/>
      <c r="I52" s="17"/>
      <c r="J52" s="17"/>
      <c r="K52" s="17"/>
      <c r="L52" s="17"/>
      <c r="Q52" s="30"/>
    </row>
    <row r="53" spans="1:18">
      <c r="A53" s="131"/>
      <c r="B53" s="150"/>
      <c r="C53" s="164"/>
      <c r="D53" s="226"/>
      <c r="E53" s="20"/>
      <c r="F53" s="17"/>
      <c r="G53" s="17"/>
      <c r="H53" s="17"/>
      <c r="I53" s="17"/>
      <c r="J53" s="17"/>
      <c r="K53" s="17"/>
      <c r="L53" s="17"/>
      <c r="Q53" s="30"/>
    </row>
    <row r="54" spans="1:18">
      <c r="B54" s="57" t="s">
        <v>436</v>
      </c>
      <c r="C54" s="144"/>
      <c r="D54" s="144"/>
      <c r="E54" s="144"/>
      <c r="F54" s="144"/>
      <c r="G54" s="144"/>
      <c r="H54" s="144"/>
      <c r="I54" s="144"/>
      <c r="J54" s="144"/>
      <c r="K54" s="144"/>
      <c r="L54" s="144"/>
      <c r="M54" s="54"/>
      <c r="N54" s="54"/>
      <c r="O54" s="54"/>
      <c r="P54" s="54"/>
      <c r="Q54" s="30"/>
    </row>
    <row r="55" spans="1:18">
      <c r="B55" s="150" t="s">
        <v>1160</v>
      </c>
    </row>
    <row r="56" spans="1:18">
      <c r="R56" s="142"/>
    </row>
    <row r="57" spans="1:18">
      <c r="B57" s="17"/>
      <c r="C57" s="122" t="s">
        <v>98</v>
      </c>
      <c r="D57" s="122" t="s">
        <v>99</v>
      </c>
      <c r="E57" s="122" t="s">
        <v>100</v>
      </c>
      <c r="F57" s="17"/>
      <c r="G57" s="17"/>
      <c r="H57" s="17"/>
      <c r="I57" s="17"/>
      <c r="J57" s="17"/>
      <c r="K57" s="17"/>
      <c r="L57" s="17"/>
      <c r="Q57" s="30"/>
    </row>
    <row r="58" spans="1:18" ht="29">
      <c r="B58" s="17"/>
      <c r="C58" s="153" t="s">
        <v>437</v>
      </c>
      <c r="D58" s="153" t="s">
        <v>437</v>
      </c>
      <c r="E58" s="153" t="s">
        <v>437</v>
      </c>
      <c r="F58" s="17"/>
      <c r="G58" s="17"/>
      <c r="H58" s="17"/>
      <c r="I58" s="17"/>
      <c r="J58" s="17"/>
      <c r="K58" s="17"/>
      <c r="L58" s="17"/>
      <c r="Q58" s="30"/>
    </row>
    <row r="59" spans="1:18">
      <c r="F59" s="17"/>
      <c r="G59" s="17"/>
      <c r="H59" s="17"/>
      <c r="I59" s="17"/>
      <c r="J59" s="17"/>
      <c r="K59" s="17"/>
      <c r="L59" s="17"/>
      <c r="Q59" s="30"/>
    </row>
    <row r="60" spans="1:18">
      <c r="A60" s="119" t="s">
        <v>122</v>
      </c>
      <c r="B60" s="119" t="s">
        <v>109</v>
      </c>
      <c r="C60" s="122" t="s">
        <v>421</v>
      </c>
      <c r="D60" s="122" t="s">
        <v>363</v>
      </c>
      <c r="E60" s="122" t="s">
        <v>364</v>
      </c>
      <c r="F60" s="17"/>
      <c r="G60" s="17"/>
      <c r="H60" s="17"/>
      <c r="I60" s="17"/>
      <c r="J60" s="17"/>
      <c r="K60" s="17"/>
      <c r="L60" s="17"/>
      <c r="Q60" s="119" t="str">
        <f>A60</f>
        <v>Line</v>
      </c>
    </row>
    <row r="61" spans="1:18">
      <c r="A61" s="131">
        <v>500</v>
      </c>
      <c r="B61" s="156">
        <f>'1-BaseTRR'!$F$2</f>
        <v>2022</v>
      </c>
      <c r="C61" s="483">
        <f>+C25+E38+E51</f>
        <v>104749144.29512876</v>
      </c>
      <c r="D61" s="483">
        <f>+D25+F38+F51</f>
        <v>35598371.598641418</v>
      </c>
      <c r="E61" s="32">
        <f>+E25+G38+G51</f>
        <v>69150772.696487352</v>
      </c>
      <c r="F61" s="164" t="s">
        <v>1057</v>
      </c>
      <c r="G61" s="17"/>
      <c r="H61" s="17"/>
      <c r="I61" s="17"/>
      <c r="J61" s="17"/>
      <c r="K61" s="17"/>
      <c r="L61" s="17"/>
      <c r="Q61" s="131">
        <f>A61</f>
        <v>500</v>
      </c>
    </row>
    <row r="62" spans="1:18">
      <c r="E62" s="17"/>
      <c r="F62" s="17"/>
      <c r="G62" s="17"/>
      <c r="H62" s="17"/>
      <c r="I62" s="17"/>
      <c r="J62" s="17"/>
      <c r="K62" s="17"/>
      <c r="L62" s="17"/>
      <c r="Q62" s="30"/>
    </row>
    <row r="63" spans="1:18">
      <c r="A63" s="27"/>
      <c r="B63" s="17"/>
      <c r="C63" s="17"/>
      <c r="D63" s="17"/>
      <c r="E63" s="17"/>
      <c r="F63" s="17"/>
      <c r="G63" s="17"/>
      <c r="H63" s="17"/>
      <c r="I63" s="17"/>
      <c r="J63" s="17"/>
      <c r="K63" s="17"/>
      <c r="L63" s="17"/>
      <c r="Q63" s="30"/>
    </row>
    <row r="64" spans="1:18">
      <c r="B64" s="821" t="s">
        <v>438</v>
      </c>
      <c r="C64" s="822"/>
      <c r="D64" s="822"/>
      <c r="E64" s="822"/>
      <c r="F64" s="822"/>
      <c r="G64" s="822"/>
      <c r="H64" s="822"/>
      <c r="I64" s="822"/>
      <c r="J64" s="822"/>
      <c r="K64" s="822"/>
      <c r="L64" s="822"/>
      <c r="M64" s="822"/>
      <c r="N64" s="822"/>
      <c r="O64" s="822"/>
      <c r="P64" s="823"/>
      <c r="Q64" s="142"/>
    </row>
    <row r="65" spans="1:17">
      <c r="A65" s="27"/>
      <c r="B65" s="17" t="s">
        <v>439</v>
      </c>
      <c r="C65" s="17"/>
      <c r="D65" s="17"/>
      <c r="E65" s="17"/>
      <c r="F65" s="17"/>
      <c r="G65" s="17"/>
      <c r="H65" s="17"/>
      <c r="I65" s="17"/>
      <c r="J65" s="17"/>
      <c r="K65" s="17"/>
      <c r="L65" s="17"/>
    </row>
    <row r="66" spans="1:17">
      <c r="A66" s="27"/>
      <c r="B66" s="17" t="s">
        <v>440</v>
      </c>
      <c r="C66" s="17"/>
      <c r="D66" s="17"/>
      <c r="E66" s="17"/>
      <c r="F66" s="17"/>
      <c r="G66" s="17"/>
      <c r="H66" s="17"/>
      <c r="I66" s="17"/>
      <c r="J66" s="17"/>
      <c r="K66" s="17"/>
      <c r="L66" s="17"/>
    </row>
    <row r="67" spans="1:17">
      <c r="A67" s="27"/>
      <c r="B67" s="17"/>
      <c r="C67" s="17"/>
      <c r="D67" s="17"/>
      <c r="E67" s="17"/>
      <c r="F67" s="17"/>
      <c r="G67" s="17"/>
      <c r="H67" s="17"/>
      <c r="I67" s="17"/>
      <c r="J67" s="17"/>
      <c r="K67" s="17"/>
      <c r="L67" s="17"/>
    </row>
    <row r="68" spans="1:17">
      <c r="A68" s="8"/>
      <c r="B68" s="57" t="s">
        <v>441</v>
      </c>
      <c r="C68" s="54"/>
      <c r="D68" s="54"/>
      <c r="E68" s="54"/>
      <c r="F68" s="54"/>
      <c r="G68" s="54"/>
      <c r="H68" s="144"/>
      <c r="I68" s="54"/>
      <c r="J68" s="54"/>
      <c r="K68" s="54"/>
      <c r="L68" s="54"/>
      <c r="M68" s="54"/>
      <c r="N68" s="54"/>
      <c r="O68" s="54"/>
      <c r="P68" s="54"/>
    </row>
    <row r="69" spans="1:17">
      <c r="B69" s="150" t="s">
        <v>1058</v>
      </c>
    </row>
    <row r="71" spans="1:17">
      <c r="A71" s="8"/>
      <c r="D71" s="122" t="s">
        <v>98</v>
      </c>
      <c r="E71" s="122" t="s">
        <v>99</v>
      </c>
      <c r="F71" s="122" t="s">
        <v>100</v>
      </c>
      <c r="G71" s="122" t="s">
        <v>101</v>
      </c>
      <c r="H71" s="122" t="s">
        <v>102</v>
      </c>
      <c r="I71" s="122" t="s">
        <v>103</v>
      </c>
      <c r="J71" s="122" t="s">
        <v>104</v>
      </c>
      <c r="K71" s="122" t="s">
        <v>105</v>
      </c>
      <c r="L71" s="122" t="s">
        <v>106</v>
      </c>
      <c r="M71" s="122" t="s">
        <v>266</v>
      </c>
      <c r="N71" s="122" t="s">
        <v>267</v>
      </c>
      <c r="O71" s="122" t="s">
        <v>268</v>
      </c>
      <c r="P71" s="122" t="s">
        <v>269</v>
      </c>
    </row>
    <row r="72" spans="1:17">
      <c r="B72" s="8"/>
      <c r="C72" s="8"/>
      <c r="D72" s="162" t="s">
        <v>442</v>
      </c>
      <c r="E72" s="162" t="s">
        <v>442</v>
      </c>
      <c r="F72" s="162" t="s">
        <v>442</v>
      </c>
      <c r="G72" s="162" t="s">
        <v>442</v>
      </c>
      <c r="H72" s="162" t="s">
        <v>442</v>
      </c>
      <c r="I72" s="162" t="s">
        <v>442</v>
      </c>
      <c r="J72" s="162" t="s">
        <v>442</v>
      </c>
      <c r="K72" s="162" t="s">
        <v>442</v>
      </c>
      <c r="L72" s="162" t="s">
        <v>442</v>
      </c>
      <c r="M72" s="162" t="s">
        <v>442</v>
      </c>
      <c r="N72" s="162" t="s">
        <v>442</v>
      </c>
      <c r="O72" s="162" t="s">
        <v>442</v>
      </c>
      <c r="P72" s="153" t="s">
        <v>1158</v>
      </c>
    </row>
    <row r="73" spans="1:17">
      <c r="B73" s="8"/>
      <c r="C73" s="8"/>
      <c r="N73" s="30"/>
      <c r="P73" s="153"/>
    </row>
    <row r="74" spans="1:17">
      <c r="A74" s="131"/>
      <c r="C74" s="15" t="s">
        <v>341</v>
      </c>
      <c r="D74" s="123">
        <v>350.01</v>
      </c>
      <c r="E74" s="123">
        <v>350.02</v>
      </c>
      <c r="F74" s="123">
        <v>352.01</v>
      </c>
      <c r="G74" s="123">
        <v>352.02</v>
      </c>
      <c r="H74" s="123">
        <v>353.01</v>
      </c>
      <c r="I74" s="123">
        <v>353.02</v>
      </c>
      <c r="J74" s="123">
        <v>354</v>
      </c>
      <c r="K74" s="123">
        <v>355</v>
      </c>
      <c r="L74" s="123">
        <v>356</v>
      </c>
      <c r="M74" s="123">
        <v>357</v>
      </c>
      <c r="N74" s="123">
        <v>358</v>
      </c>
      <c r="O74" s="123">
        <v>359</v>
      </c>
    </row>
    <row r="75" spans="1:17">
      <c r="A75" s="119" t="s">
        <v>122</v>
      </c>
      <c r="B75" s="119" t="s">
        <v>81</v>
      </c>
      <c r="C75" s="119" t="s">
        <v>109</v>
      </c>
      <c r="D75" s="122" t="s">
        <v>342</v>
      </c>
      <c r="E75" s="122" t="s">
        <v>343</v>
      </c>
      <c r="F75" s="122" t="s">
        <v>344</v>
      </c>
      <c r="G75" s="122" t="s">
        <v>345</v>
      </c>
      <c r="H75" s="122" t="s">
        <v>346</v>
      </c>
      <c r="I75" s="122" t="s">
        <v>347</v>
      </c>
      <c r="J75" s="122" t="s">
        <v>348</v>
      </c>
      <c r="K75" s="122" t="s">
        <v>349</v>
      </c>
      <c r="L75" s="122" t="s">
        <v>350</v>
      </c>
      <c r="M75" s="122" t="s">
        <v>351</v>
      </c>
      <c r="N75" s="122" t="s">
        <v>352</v>
      </c>
      <c r="O75" s="122" t="s">
        <v>353</v>
      </c>
      <c r="P75" s="119" t="s">
        <v>354</v>
      </c>
      <c r="Q75" s="119" t="str">
        <f>A75</f>
        <v>Line</v>
      </c>
    </row>
    <row r="76" spans="1:17">
      <c r="A76" s="131">
        <v>600</v>
      </c>
      <c r="B76" s="150" t="s">
        <v>112</v>
      </c>
      <c r="C76" s="156">
        <f>'1-BaseTRR'!$F$2</f>
        <v>2022</v>
      </c>
      <c r="D76" s="466">
        <f>+'7-PlantInService'!D13</f>
        <v>83668290.879999995</v>
      </c>
      <c r="E76" s="466">
        <f>+'7-PlantInService'!E13</f>
        <v>210242376.84000003</v>
      </c>
      <c r="F76" s="466">
        <f>+'7-PlantInService'!F13</f>
        <v>363978809.27999997</v>
      </c>
      <c r="G76" s="466">
        <f>+'7-PlantInService'!G13</f>
        <v>108971776.86</v>
      </c>
      <c r="H76" s="466">
        <f>+'7-PlantInService'!H13</f>
        <v>7536364529.9299994</v>
      </c>
      <c r="I76" s="466">
        <f>+'7-PlantInService'!I13</f>
        <v>35991450.320000008</v>
      </c>
      <c r="J76" s="466">
        <f>+'7-PlantInService'!J13</f>
        <v>1042130553.72</v>
      </c>
      <c r="K76" s="466">
        <f>+'7-PlantInService'!K13</f>
        <v>2211040492.73</v>
      </c>
      <c r="L76" s="466">
        <f>+'7-PlantInService'!L13</f>
        <v>2386266085.5900002</v>
      </c>
      <c r="M76" s="466">
        <f>+'7-PlantInService'!M13</f>
        <v>520059211.48999995</v>
      </c>
      <c r="N76" s="466">
        <f>+'7-PlantInService'!N13</f>
        <v>282790466.08999997</v>
      </c>
      <c r="O76" s="466">
        <f>+'7-PlantInService'!O13</f>
        <v>165949027.57999998</v>
      </c>
      <c r="P76" s="33">
        <f t="shared" ref="P76:P87" si="1">SUM(D76:O76)</f>
        <v>14947453071.309998</v>
      </c>
      <c r="Q76" s="131">
        <f t="shared" ref="Q76:Q87" si="2">A76</f>
        <v>600</v>
      </c>
    </row>
    <row r="77" spans="1:17">
      <c r="A77" s="131">
        <f t="shared" ref="A77:A87" si="3">A76+1</f>
        <v>601</v>
      </c>
      <c r="B77" s="150" t="s">
        <v>113</v>
      </c>
      <c r="C77" s="156">
        <f>'1-BaseTRR'!$F$2</f>
        <v>2022</v>
      </c>
      <c r="D77" s="466">
        <f>+'7-PlantInService'!D14</f>
        <v>83773913.640000001</v>
      </c>
      <c r="E77" s="466">
        <f>+'7-PlantInService'!E14</f>
        <v>210432771.73000002</v>
      </c>
      <c r="F77" s="466">
        <f>+'7-PlantInService'!F14</f>
        <v>363081146.67000002</v>
      </c>
      <c r="G77" s="466">
        <f>+'7-PlantInService'!G14</f>
        <v>108983561.52000001</v>
      </c>
      <c r="H77" s="466">
        <f>+'7-PlantInService'!H14</f>
        <v>7550640865.8299999</v>
      </c>
      <c r="I77" s="466">
        <f>+'7-PlantInService'!I14</f>
        <v>35992353.820000008</v>
      </c>
      <c r="J77" s="466">
        <f>+'7-PlantInService'!J14</f>
        <v>1032595810.75</v>
      </c>
      <c r="K77" s="466">
        <f>+'7-PlantInService'!K14</f>
        <v>2228107287.1500001</v>
      </c>
      <c r="L77" s="466">
        <f>+'7-PlantInService'!L14</f>
        <v>2420922917.0500002</v>
      </c>
      <c r="M77" s="466">
        <f>+'7-PlantInService'!M14</f>
        <v>520108065.39999998</v>
      </c>
      <c r="N77" s="466">
        <f>+'7-PlantInService'!N14</f>
        <v>282791263.80000001</v>
      </c>
      <c r="O77" s="466">
        <f>+'7-PlantInService'!O14</f>
        <v>166197061.33999997</v>
      </c>
      <c r="P77" s="33">
        <f t="shared" si="1"/>
        <v>15003627018.699999</v>
      </c>
      <c r="Q77" s="131">
        <f t="shared" si="2"/>
        <v>601</v>
      </c>
    </row>
    <row r="78" spans="1:17">
      <c r="A78" s="131">
        <f t="shared" si="3"/>
        <v>602</v>
      </c>
      <c r="B78" s="150" t="s">
        <v>114</v>
      </c>
      <c r="C78" s="156">
        <f>'1-BaseTRR'!$F$2</f>
        <v>2022</v>
      </c>
      <c r="D78" s="466">
        <f>+'7-PlantInService'!D15</f>
        <v>85296017.439999998</v>
      </c>
      <c r="E78" s="466">
        <f>+'7-PlantInService'!E15</f>
        <v>210701042.81</v>
      </c>
      <c r="F78" s="466">
        <f>+'7-PlantInService'!F15</f>
        <v>363504242.85000002</v>
      </c>
      <c r="G78" s="466">
        <f>+'7-PlantInService'!G15</f>
        <v>109132221.63</v>
      </c>
      <c r="H78" s="466">
        <f>+'7-PlantInService'!H15</f>
        <v>7559868208.7600002</v>
      </c>
      <c r="I78" s="466">
        <f>+'7-PlantInService'!I15</f>
        <v>35992352.239999995</v>
      </c>
      <c r="J78" s="466">
        <f>+'7-PlantInService'!J15</f>
        <v>1037098813.27</v>
      </c>
      <c r="K78" s="466">
        <f>+'7-PlantInService'!K15</f>
        <v>2234979699.1999998</v>
      </c>
      <c r="L78" s="466">
        <f>+'7-PlantInService'!L15</f>
        <v>2411265605.1599998</v>
      </c>
      <c r="M78" s="466">
        <f>+'7-PlantInService'!M15</f>
        <v>520166480.04999995</v>
      </c>
      <c r="N78" s="466">
        <f>+'7-PlantInService'!N15</f>
        <v>282997499.23000002</v>
      </c>
      <c r="O78" s="466">
        <f>+'7-PlantInService'!O15</f>
        <v>168300356.50999999</v>
      </c>
      <c r="P78" s="33">
        <f t="shared" si="1"/>
        <v>15019302539.15</v>
      </c>
      <c r="Q78" s="131">
        <f t="shared" si="2"/>
        <v>602</v>
      </c>
    </row>
    <row r="79" spans="1:17">
      <c r="A79" s="131">
        <f t="shared" si="3"/>
        <v>603</v>
      </c>
      <c r="B79" s="150" t="s">
        <v>115</v>
      </c>
      <c r="C79" s="156">
        <f>'1-BaseTRR'!$F$2</f>
        <v>2022</v>
      </c>
      <c r="D79" s="466">
        <f>+'7-PlantInService'!D16</f>
        <v>92371233.189999998</v>
      </c>
      <c r="E79" s="466">
        <f>+'7-PlantInService'!E16</f>
        <v>210937418.45999998</v>
      </c>
      <c r="F79" s="466">
        <f>+'7-PlantInService'!F16</f>
        <v>363830202.03999996</v>
      </c>
      <c r="G79" s="466">
        <f>+'7-PlantInService'!G16</f>
        <v>110047067.56</v>
      </c>
      <c r="H79" s="466">
        <f>+'7-PlantInService'!H16</f>
        <v>7591821911.7399998</v>
      </c>
      <c r="I79" s="466">
        <f>+'7-PlantInService'!I16</f>
        <v>35973643.620000005</v>
      </c>
      <c r="J79" s="466">
        <f>+'7-PlantInService'!J16</f>
        <v>1034650792.88</v>
      </c>
      <c r="K79" s="466">
        <f>+'7-PlantInService'!K16</f>
        <v>2257391804.23</v>
      </c>
      <c r="L79" s="466">
        <f>+'7-PlantInService'!L16</f>
        <v>2450448699.3299999</v>
      </c>
      <c r="M79" s="466">
        <f>+'7-PlantInService'!M16</f>
        <v>522769863.84999996</v>
      </c>
      <c r="N79" s="466">
        <f>+'7-PlantInService'!N16</f>
        <v>282435654.76999998</v>
      </c>
      <c r="O79" s="466">
        <f>+'7-PlantInService'!O16</f>
        <v>169280206.31999999</v>
      </c>
      <c r="P79" s="33">
        <f t="shared" si="1"/>
        <v>15121958497.99</v>
      </c>
      <c r="Q79" s="131">
        <f t="shared" si="2"/>
        <v>603</v>
      </c>
    </row>
    <row r="80" spans="1:17">
      <c r="A80" s="131">
        <f t="shared" si="3"/>
        <v>604</v>
      </c>
      <c r="B80" s="150" t="s">
        <v>89</v>
      </c>
      <c r="C80" s="156">
        <f>'1-BaseTRR'!$F$2</f>
        <v>2022</v>
      </c>
      <c r="D80" s="466">
        <f>+'7-PlantInService'!D17</f>
        <v>94673185.409999996</v>
      </c>
      <c r="E80" s="466">
        <f>+'7-PlantInService'!E17</f>
        <v>211078728.74000001</v>
      </c>
      <c r="F80" s="466">
        <f>+'7-PlantInService'!F17</f>
        <v>364048065.31</v>
      </c>
      <c r="G80" s="466">
        <f>+'7-PlantInService'!G17</f>
        <v>110794960.08000001</v>
      </c>
      <c r="H80" s="466">
        <f>+'7-PlantInService'!H17</f>
        <v>7617166066.250001</v>
      </c>
      <c r="I80" s="466">
        <f>+'7-PlantInService'!I17</f>
        <v>35973646.280000001</v>
      </c>
      <c r="J80" s="466">
        <f>+'7-PlantInService'!J17</f>
        <v>1022318468.98</v>
      </c>
      <c r="K80" s="466">
        <f>+'7-PlantInService'!K17</f>
        <v>2269311326.0599999</v>
      </c>
      <c r="L80" s="466">
        <f>+'7-PlantInService'!L17</f>
        <v>2506482777.4300003</v>
      </c>
      <c r="M80" s="466">
        <f>+'7-PlantInService'!M17</f>
        <v>522597272.31999993</v>
      </c>
      <c r="N80" s="466">
        <f>+'7-PlantInService'!N17</f>
        <v>282517176.63999999</v>
      </c>
      <c r="O80" s="466">
        <f>+'7-PlantInService'!O17</f>
        <v>169901273.38999999</v>
      </c>
      <c r="P80" s="33">
        <f t="shared" si="1"/>
        <v>15206862946.889999</v>
      </c>
      <c r="Q80" s="131">
        <f t="shared" si="2"/>
        <v>604</v>
      </c>
    </row>
    <row r="81" spans="1:17">
      <c r="A81" s="131">
        <f t="shared" si="3"/>
        <v>605</v>
      </c>
      <c r="B81" s="150" t="s">
        <v>272</v>
      </c>
      <c r="C81" s="156">
        <f>'1-BaseTRR'!$F$2</f>
        <v>2022</v>
      </c>
      <c r="D81" s="466">
        <f>+'7-PlantInService'!D18</f>
        <v>94809399.989999995</v>
      </c>
      <c r="E81" s="466">
        <f>+'7-PlantInService'!E18</f>
        <v>211132515.65000001</v>
      </c>
      <c r="F81" s="466">
        <f>+'7-PlantInService'!F18</f>
        <v>363580781.86000001</v>
      </c>
      <c r="G81" s="466">
        <f>+'7-PlantInService'!G18</f>
        <v>112787174.66000001</v>
      </c>
      <c r="H81" s="466">
        <f>+'7-PlantInService'!H18</f>
        <v>7605118827.2200012</v>
      </c>
      <c r="I81" s="466">
        <f>+'7-PlantInService'!I18</f>
        <v>35973656.159999996</v>
      </c>
      <c r="J81" s="466">
        <f>+'7-PlantInService'!J18</f>
        <v>1023321522.55</v>
      </c>
      <c r="K81" s="466">
        <f>+'7-PlantInService'!K18</f>
        <v>2287220558.2199998</v>
      </c>
      <c r="L81" s="466">
        <f>+'7-PlantInService'!L18</f>
        <v>2530758591.9899998</v>
      </c>
      <c r="M81" s="466">
        <f>+'7-PlantInService'!M18</f>
        <v>524968165.93999994</v>
      </c>
      <c r="N81" s="466">
        <f>+'7-PlantInService'!N18</f>
        <v>282715294.25999999</v>
      </c>
      <c r="O81" s="466">
        <f>+'7-PlantInService'!O18</f>
        <v>171062777.22</v>
      </c>
      <c r="P81" s="33">
        <f t="shared" si="1"/>
        <v>15243449265.719999</v>
      </c>
      <c r="Q81" s="131">
        <f t="shared" si="2"/>
        <v>605</v>
      </c>
    </row>
    <row r="82" spans="1:17">
      <c r="A82" s="131">
        <f t="shared" si="3"/>
        <v>606</v>
      </c>
      <c r="B82" s="150" t="s">
        <v>117</v>
      </c>
      <c r="C82" s="156">
        <f>'1-BaseTRR'!$F$2</f>
        <v>2022</v>
      </c>
      <c r="D82" s="466">
        <f>+'7-PlantInService'!D19</f>
        <v>94940467.480000004</v>
      </c>
      <c r="E82" s="466">
        <f>+'7-PlantInService'!E19</f>
        <v>211231613.22999999</v>
      </c>
      <c r="F82" s="466">
        <f>+'7-PlantInService'!F19</f>
        <v>363726447.28999996</v>
      </c>
      <c r="G82" s="466">
        <f>+'7-PlantInService'!G19</f>
        <v>114024499.11000001</v>
      </c>
      <c r="H82" s="466">
        <f>+'7-PlantInService'!H19</f>
        <v>7611923009.5599995</v>
      </c>
      <c r="I82" s="466">
        <f>+'7-PlantInService'!I19</f>
        <v>35989538.849999994</v>
      </c>
      <c r="J82" s="466">
        <f>+'7-PlantInService'!J19</f>
        <v>1025470774.99</v>
      </c>
      <c r="K82" s="466">
        <f>+'7-PlantInService'!K19</f>
        <v>2302162630.5100002</v>
      </c>
      <c r="L82" s="466">
        <f>+'7-PlantInService'!L19</f>
        <v>2564087393.1899996</v>
      </c>
      <c r="M82" s="466">
        <f>+'7-PlantInService'!M19</f>
        <v>524953454.66999996</v>
      </c>
      <c r="N82" s="466">
        <f>+'7-PlantInService'!N19</f>
        <v>283098366.38999999</v>
      </c>
      <c r="O82" s="466">
        <f>+'7-PlantInService'!O19</f>
        <v>171479636.69999999</v>
      </c>
      <c r="P82" s="33">
        <f t="shared" si="1"/>
        <v>15303087831.969999</v>
      </c>
      <c r="Q82" s="131">
        <f t="shared" si="2"/>
        <v>606</v>
      </c>
    </row>
    <row r="83" spans="1:17">
      <c r="A83" s="131">
        <f t="shared" si="3"/>
        <v>607</v>
      </c>
      <c r="B83" s="150" t="s">
        <v>118</v>
      </c>
      <c r="C83" s="156">
        <f>'1-BaseTRR'!$F$2</f>
        <v>2022</v>
      </c>
      <c r="D83" s="466">
        <f>+'7-PlantInService'!D20</f>
        <v>95064535.129999995</v>
      </c>
      <c r="E83" s="466">
        <f>+'7-PlantInService'!E20</f>
        <v>211324176.33999997</v>
      </c>
      <c r="F83" s="466">
        <f>+'7-PlantInService'!F20</f>
        <v>363652627.88</v>
      </c>
      <c r="G83" s="466">
        <f>+'7-PlantInService'!G20</f>
        <v>114954306.44000001</v>
      </c>
      <c r="H83" s="466">
        <f>+'7-PlantInService'!H20</f>
        <v>7656548690.75</v>
      </c>
      <c r="I83" s="466">
        <f>+'7-PlantInService'!I20</f>
        <v>35989549.010000005</v>
      </c>
      <c r="J83" s="466">
        <f>+'7-PlantInService'!J20</f>
        <v>1026343054.85</v>
      </c>
      <c r="K83" s="466">
        <f>+'7-PlantInService'!K20</f>
        <v>2316615680.48</v>
      </c>
      <c r="L83" s="466">
        <f>+'7-PlantInService'!L20</f>
        <v>2603819602.6199999</v>
      </c>
      <c r="M83" s="466">
        <f>+'7-PlantInService'!M20</f>
        <v>525030176.54999995</v>
      </c>
      <c r="N83" s="466">
        <f>+'7-PlantInService'!N20</f>
        <v>283623102.63</v>
      </c>
      <c r="O83" s="466">
        <f>+'7-PlantInService'!O20</f>
        <v>172696618.66</v>
      </c>
      <c r="P83" s="33">
        <f t="shared" si="1"/>
        <v>15405662121.339998</v>
      </c>
      <c r="Q83" s="131">
        <f t="shared" si="2"/>
        <v>607</v>
      </c>
    </row>
    <row r="84" spans="1:17">
      <c r="A84" s="131">
        <f t="shared" si="3"/>
        <v>608</v>
      </c>
      <c r="B84" s="150" t="s">
        <v>119</v>
      </c>
      <c r="C84" s="156">
        <f>'1-BaseTRR'!$F$2</f>
        <v>2022</v>
      </c>
      <c r="D84" s="466">
        <f>+'7-PlantInService'!D21</f>
        <v>94780250.469999999</v>
      </c>
      <c r="E84" s="466">
        <f>+'7-PlantInService'!E21</f>
        <v>211480219.58000001</v>
      </c>
      <c r="F84" s="466">
        <f>+'7-PlantInService'!F21</f>
        <v>363885231.74000001</v>
      </c>
      <c r="G84" s="466">
        <f>+'7-PlantInService'!G21</f>
        <v>121230489.86</v>
      </c>
      <c r="H84" s="466">
        <f>+'7-PlantInService'!H21</f>
        <v>7677420001.2200003</v>
      </c>
      <c r="I84" s="466">
        <f>+'7-PlantInService'!I21</f>
        <v>35989552.450000003</v>
      </c>
      <c r="J84" s="466">
        <f>+'7-PlantInService'!J21</f>
        <v>1020412250.77</v>
      </c>
      <c r="K84" s="466">
        <f>+'7-PlantInService'!K21</f>
        <v>2333265590.4500003</v>
      </c>
      <c r="L84" s="466">
        <f>+'7-PlantInService'!L21</f>
        <v>2629508490.4200001</v>
      </c>
      <c r="M84" s="466">
        <f>+'7-PlantInService'!M21</f>
        <v>525052226.84999996</v>
      </c>
      <c r="N84" s="466">
        <f>+'7-PlantInService'!N21</f>
        <v>282045653.62</v>
      </c>
      <c r="O84" s="466">
        <f>+'7-PlantInService'!O21</f>
        <v>175259554.53999999</v>
      </c>
      <c r="P84" s="33">
        <f t="shared" si="1"/>
        <v>15470329511.970003</v>
      </c>
      <c r="Q84" s="131">
        <f t="shared" si="2"/>
        <v>608</v>
      </c>
    </row>
    <row r="85" spans="1:17">
      <c r="A85" s="131">
        <f t="shared" si="3"/>
        <v>609</v>
      </c>
      <c r="B85" s="150" t="s">
        <v>120</v>
      </c>
      <c r="C85" s="156">
        <f>'1-BaseTRR'!$F$2</f>
        <v>2022</v>
      </c>
      <c r="D85" s="466">
        <f>+'7-PlantInService'!D22</f>
        <v>94858310.390000001</v>
      </c>
      <c r="E85" s="466">
        <f>+'7-PlantInService'!E22</f>
        <v>211563307.46000001</v>
      </c>
      <c r="F85" s="466">
        <f>+'7-PlantInService'!F22</f>
        <v>363922752.50999999</v>
      </c>
      <c r="G85" s="466">
        <f>+'7-PlantInService'!G22</f>
        <v>119864984.45</v>
      </c>
      <c r="H85" s="466">
        <f>+'7-PlantInService'!H22</f>
        <v>7675974348.3999996</v>
      </c>
      <c r="I85" s="466">
        <f>+'7-PlantInService'!I22</f>
        <v>35989555.329999998</v>
      </c>
      <c r="J85" s="466">
        <f>+'7-PlantInService'!J22</f>
        <v>1032276234.25</v>
      </c>
      <c r="K85" s="466">
        <f>+'7-PlantInService'!K22</f>
        <v>2358792565.21</v>
      </c>
      <c r="L85" s="466">
        <f>+'7-PlantInService'!L22</f>
        <v>2642141558.3200002</v>
      </c>
      <c r="M85" s="466">
        <f>+'7-PlantInService'!M22</f>
        <v>525077514.57999998</v>
      </c>
      <c r="N85" s="466">
        <f>+'7-PlantInService'!N22</f>
        <v>282075843.24000001</v>
      </c>
      <c r="O85" s="466">
        <f>+'7-PlantInService'!O22</f>
        <v>179507572.26999998</v>
      </c>
      <c r="P85" s="33">
        <f t="shared" si="1"/>
        <v>15522044546.41</v>
      </c>
      <c r="Q85" s="131">
        <f t="shared" si="2"/>
        <v>609</v>
      </c>
    </row>
    <row r="86" spans="1:17">
      <c r="A86" s="131">
        <f t="shared" si="3"/>
        <v>610</v>
      </c>
      <c r="B86" s="150" t="s">
        <v>121</v>
      </c>
      <c r="C86" s="156">
        <f>'1-BaseTRR'!$F$2</f>
        <v>2022</v>
      </c>
      <c r="D86" s="466">
        <f>+'7-PlantInService'!D23</f>
        <v>94929933.239999995</v>
      </c>
      <c r="E86" s="466">
        <f>+'7-PlantInService'!E23</f>
        <v>211585818.49000001</v>
      </c>
      <c r="F86" s="466">
        <f>+'7-PlantInService'!F23</f>
        <v>364060320.79000002</v>
      </c>
      <c r="G86" s="466">
        <f>+'7-PlantInService'!G23</f>
        <v>121499387.96000001</v>
      </c>
      <c r="H86" s="466">
        <f>+'7-PlantInService'!H23</f>
        <v>7672256593.1199999</v>
      </c>
      <c r="I86" s="466">
        <f>+'7-PlantInService'!I23</f>
        <v>35989559.25</v>
      </c>
      <c r="J86" s="466">
        <f>+'7-PlantInService'!J23</f>
        <v>1049103390.5599999</v>
      </c>
      <c r="K86" s="466">
        <f>+'7-PlantInService'!K23</f>
        <v>2376039948.6599998</v>
      </c>
      <c r="L86" s="466">
        <f>+'7-PlantInService'!L23</f>
        <v>2681525513.3200002</v>
      </c>
      <c r="M86" s="466">
        <f>+'7-PlantInService'!M23</f>
        <v>525074846.71000004</v>
      </c>
      <c r="N86" s="466">
        <f>+'7-PlantInService'!N23</f>
        <v>282021366.25999999</v>
      </c>
      <c r="O86" s="466">
        <f>+'7-PlantInService'!O23</f>
        <v>179834493.15000001</v>
      </c>
      <c r="P86" s="33">
        <f t="shared" si="1"/>
        <v>15593921171.509998</v>
      </c>
      <c r="Q86" s="131">
        <f t="shared" si="2"/>
        <v>610</v>
      </c>
    </row>
    <row r="87" spans="1:17">
      <c r="A87" s="131">
        <f t="shared" si="3"/>
        <v>611</v>
      </c>
      <c r="B87" s="150" t="s">
        <v>111</v>
      </c>
      <c r="C87" s="156">
        <f>'1-BaseTRR'!$F$2</f>
        <v>2022</v>
      </c>
      <c r="D87" s="466">
        <f>+'7-PlantInService'!D24</f>
        <v>94304454.074713677</v>
      </c>
      <c r="E87" s="466">
        <f>+'7-PlantInService'!E24</f>
        <v>211069954.12782389</v>
      </c>
      <c r="F87" s="466">
        <f>+'7-PlantInService'!F24</f>
        <v>363199302.32501286</v>
      </c>
      <c r="G87" s="466">
        <f>+'7-PlantInService'!G24</f>
        <v>125371515.78386503</v>
      </c>
      <c r="H87" s="466">
        <f>+'7-PlantInService'!H24</f>
        <v>7706774272.0488892</v>
      </c>
      <c r="I87" s="466">
        <f>+'7-PlantInService'!I24</f>
        <v>35989561.586312369</v>
      </c>
      <c r="J87" s="466">
        <f>+'7-PlantInService'!J24</f>
        <v>1062242405.8880787</v>
      </c>
      <c r="K87" s="466">
        <f>+'7-PlantInService'!K24</f>
        <v>2381845833.3490334</v>
      </c>
      <c r="L87" s="466">
        <f>+'7-PlantInService'!L24</f>
        <v>2686127973.6737804</v>
      </c>
      <c r="M87" s="466">
        <f>+'7-PlantInService'!M24</f>
        <v>523695481.2628119</v>
      </c>
      <c r="N87" s="466">
        <f>+'7-PlantInService'!N24</f>
        <v>281894975.36176646</v>
      </c>
      <c r="O87" s="466">
        <f>+'7-PlantInService'!O24</f>
        <v>186139561.6063633</v>
      </c>
      <c r="P87" s="466">
        <f t="shared" si="1"/>
        <v>15658655291.088451</v>
      </c>
      <c r="Q87" s="131">
        <f t="shared" si="2"/>
        <v>611</v>
      </c>
    </row>
    <row r="88" spans="1:17" ht="13.5" customHeight="1">
      <c r="A88" s="131"/>
      <c r="B88" s="1"/>
      <c r="C88" s="169"/>
      <c r="D88" s="227"/>
      <c r="E88" s="227"/>
      <c r="F88" s="227"/>
      <c r="G88" s="227"/>
      <c r="H88" s="227"/>
      <c r="I88" s="227"/>
      <c r="J88" s="227"/>
      <c r="K88" s="227"/>
      <c r="L88" s="227"/>
      <c r="M88" s="227"/>
      <c r="N88" s="227"/>
      <c r="O88" s="227"/>
      <c r="P88" s="227"/>
      <c r="Q88" s="131"/>
    </row>
    <row r="89" spans="1:17" ht="13.5" customHeight="1">
      <c r="A89" s="27"/>
      <c r="B89" s="17"/>
      <c r="C89" s="17"/>
      <c r="D89" s="17"/>
      <c r="E89" s="17"/>
      <c r="F89" s="17"/>
      <c r="G89" s="17"/>
      <c r="H89" s="17"/>
      <c r="I89" s="17"/>
      <c r="J89" s="17"/>
      <c r="K89" s="17"/>
      <c r="L89" s="17"/>
    </row>
    <row r="90" spans="1:17" ht="13.5" customHeight="1">
      <c r="B90" s="228" t="s">
        <v>443</v>
      </c>
      <c r="C90" s="144"/>
      <c r="D90" s="144"/>
      <c r="E90" s="144"/>
      <c r="F90" s="144"/>
      <c r="G90" s="144"/>
      <c r="H90" s="144"/>
      <c r="I90" s="144"/>
      <c r="J90" s="144"/>
      <c r="K90" s="144"/>
      <c r="L90" s="144"/>
      <c r="M90" s="54"/>
      <c r="N90" s="54"/>
      <c r="O90" s="54"/>
      <c r="P90" s="54"/>
    </row>
    <row r="91" spans="1:17">
      <c r="B91" s="150" t="s">
        <v>1059</v>
      </c>
    </row>
    <row r="92" spans="1:17">
      <c r="B92" s="150" t="s">
        <v>444</v>
      </c>
    </row>
    <row r="93" spans="1:17">
      <c r="B93" s="150"/>
    </row>
    <row r="94" spans="1:17">
      <c r="D94" s="122" t="s">
        <v>98</v>
      </c>
      <c r="E94" s="122" t="s">
        <v>99</v>
      </c>
      <c r="F94" s="122" t="s">
        <v>100</v>
      </c>
      <c r="G94" s="122" t="s">
        <v>101</v>
      </c>
      <c r="H94" s="122" t="s">
        <v>102</v>
      </c>
      <c r="I94" s="122" t="s">
        <v>103</v>
      </c>
      <c r="J94" s="122" t="s">
        <v>104</v>
      </c>
      <c r="K94" s="122" t="s">
        <v>105</v>
      </c>
      <c r="L94" s="122" t="s">
        <v>106</v>
      </c>
      <c r="M94" s="122" t="s">
        <v>266</v>
      </c>
      <c r="N94" s="122" t="s">
        <v>267</v>
      </c>
      <c r="O94" s="122" t="s">
        <v>268</v>
      </c>
    </row>
    <row r="95" spans="1:17" ht="29">
      <c r="D95" s="153" t="s">
        <v>214</v>
      </c>
      <c r="E95" s="153" t="s">
        <v>215</v>
      </c>
      <c r="F95" s="153" t="s">
        <v>1060</v>
      </c>
      <c r="G95" s="153" t="s">
        <v>1061</v>
      </c>
      <c r="H95" s="153" t="s">
        <v>1062</v>
      </c>
      <c r="I95" s="153" t="s">
        <v>1063</v>
      </c>
      <c r="J95" s="153" t="s">
        <v>1064</v>
      </c>
      <c r="K95" s="153" t="s">
        <v>1065</v>
      </c>
      <c r="L95" s="153" t="s">
        <v>1066</v>
      </c>
      <c r="M95" s="153" t="s">
        <v>1067</v>
      </c>
      <c r="N95" s="153" t="s">
        <v>1068</v>
      </c>
      <c r="O95" s="153" t="s">
        <v>1069</v>
      </c>
      <c r="P95" s="162"/>
    </row>
    <row r="96" spans="1:17">
      <c r="A96" s="131"/>
    </row>
    <row r="97" spans="1:17">
      <c r="A97" s="119" t="s">
        <v>122</v>
      </c>
      <c r="B97" s="17"/>
      <c r="D97" s="122" t="s">
        <v>342</v>
      </c>
      <c r="E97" s="122" t="s">
        <v>343</v>
      </c>
      <c r="F97" s="122" t="s">
        <v>344</v>
      </c>
      <c r="G97" s="122" t="s">
        <v>345</v>
      </c>
      <c r="H97" s="122" t="s">
        <v>346</v>
      </c>
      <c r="I97" s="122" t="s">
        <v>347</v>
      </c>
      <c r="J97" s="122" t="s">
        <v>348</v>
      </c>
      <c r="K97" s="122" t="s">
        <v>349</v>
      </c>
      <c r="L97" s="122" t="s">
        <v>350</v>
      </c>
      <c r="M97" s="122" t="s">
        <v>351</v>
      </c>
      <c r="N97" s="122" t="s">
        <v>352</v>
      </c>
      <c r="O97" s="122" t="s">
        <v>353</v>
      </c>
      <c r="Q97" s="119" t="str">
        <f>A97</f>
        <v>Line</v>
      </c>
    </row>
    <row r="98" spans="1:17">
      <c r="A98" s="131">
        <v>700</v>
      </c>
      <c r="B98" t="s">
        <v>445</v>
      </c>
      <c r="D98" s="229">
        <v>0</v>
      </c>
      <c r="E98" s="229">
        <f>'12-DepRates'!O21</f>
        <v>1.83E-2</v>
      </c>
      <c r="F98" s="229">
        <f>VLOOKUP(F97,'12-DepRates'!$D:$N,11,FALSE)</f>
        <v>1.6299999999999999E-2</v>
      </c>
      <c r="G98" s="229">
        <f>VLOOKUP(G97,'12-DepRates'!$D:$N,11,FALSE)</f>
        <v>1.7139999999999999E-2</v>
      </c>
      <c r="H98" s="229">
        <f>VLOOKUP(H97,'12-DepRates'!$D:$N,11,FALSE)</f>
        <v>3.1309999999999998E-2</v>
      </c>
      <c r="I98" s="229">
        <f>VLOOKUP(I97,'12-DepRates'!$D:$N,11,FALSE)</f>
        <v>1.661E-2</v>
      </c>
      <c r="J98" s="229">
        <f>VLOOKUP(J97,'12-DepRates'!$D:$N,11,FALSE)</f>
        <v>2.299E-2</v>
      </c>
      <c r="K98" s="229">
        <f>VLOOKUP(K97,'12-DepRates'!$D:$N,11,FALSE)</f>
        <v>3.1559999999999998E-2</v>
      </c>
      <c r="L98" s="229">
        <f>VLOOKUP(L97,'12-DepRates'!$D:$N,11,FALSE)</f>
        <v>2.724E-2</v>
      </c>
      <c r="M98" s="229">
        <f>VLOOKUP(M97,'12-DepRates'!$D:$N,11,FALSE)</f>
        <v>1.529E-2</v>
      </c>
      <c r="N98" s="229">
        <f>VLOOKUP(N97,'12-DepRates'!$D:$N,11,FALSE)</f>
        <v>1.9900000000000001E-2</v>
      </c>
      <c r="O98" s="229">
        <f>VLOOKUP(O97,'12-DepRates'!$D:$N,11,FALSE)</f>
        <v>1.8620000000000001E-2</v>
      </c>
      <c r="Q98" s="131">
        <f>Q87+1</f>
        <v>612</v>
      </c>
    </row>
    <row r="99" spans="1:17">
      <c r="A99" s="27"/>
      <c r="B99" s="27"/>
      <c r="C99" s="17"/>
      <c r="D99" s="17"/>
      <c r="E99" s="17"/>
      <c r="F99" s="17"/>
      <c r="G99" s="17"/>
      <c r="H99" s="17"/>
      <c r="I99" s="17"/>
      <c r="J99" s="17"/>
      <c r="K99" s="17"/>
      <c r="L99" s="17"/>
    </row>
    <row r="100" spans="1:17">
      <c r="A100" s="27"/>
      <c r="B100" s="27"/>
      <c r="C100" s="17"/>
      <c r="D100" s="17"/>
      <c r="E100" s="17"/>
      <c r="F100" s="17"/>
      <c r="G100" s="17"/>
      <c r="H100" s="17"/>
      <c r="I100" s="17"/>
      <c r="J100" s="17"/>
      <c r="K100" s="17"/>
      <c r="L100" s="17"/>
    </row>
    <row r="101" spans="1:17">
      <c r="B101" s="57" t="s">
        <v>446</v>
      </c>
      <c r="C101" s="144"/>
      <c r="D101" s="144"/>
      <c r="E101" s="144"/>
      <c r="F101" s="144"/>
      <c r="G101" s="144"/>
      <c r="H101" s="144"/>
      <c r="I101" s="144"/>
      <c r="J101" s="144"/>
      <c r="K101" s="144"/>
      <c r="L101" s="144"/>
      <c r="M101" s="54"/>
      <c r="N101" s="54"/>
      <c r="O101" s="54"/>
      <c r="P101" s="54"/>
    </row>
    <row r="102" spans="1:17">
      <c r="B102" t="s">
        <v>447</v>
      </c>
    </row>
    <row r="104" spans="1:17">
      <c r="A104" s="8"/>
      <c r="D104" s="122" t="s">
        <v>98</v>
      </c>
      <c r="E104" s="122" t="s">
        <v>99</v>
      </c>
      <c r="F104" s="122" t="s">
        <v>100</v>
      </c>
      <c r="G104" s="122" t="s">
        <v>101</v>
      </c>
      <c r="H104" s="122" t="s">
        <v>102</v>
      </c>
      <c r="I104" s="122" t="s">
        <v>103</v>
      </c>
      <c r="J104" s="122" t="s">
        <v>104</v>
      </c>
      <c r="K104" s="122" t="s">
        <v>105</v>
      </c>
      <c r="L104" s="122" t="s">
        <v>106</v>
      </c>
      <c r="M104" s="122" t="s">
        <v>266</v>
      </c>
      <c r="N104" s="122" t="s">
        <v>267</v>
      </c>
      <c r="O104" s="122" t="s">
        <v>268</v>
      </c>
      <c r="P104" s="13" t="s">
        <v>269</v>
      </c>
    </row>
    <row r="105" spans="1:17" ht="29">
      <c r="B105" s="131"/>
      <c r="C105" s="131"/>
      <c r="D105" s="153" t="s">
        <v>448</v>
      </c>
      <c r="E105" s="153" t="s">
        <v>448</v>
      </c>
      <c r="F105" s="153" t="s">
        <v>448</v>
      </c>
      <c r="G105" s="153" t="s">
        <v>448</v>
      </c>
      <c r="H105" s="153" t="s">
        <v>448</v>
      </c>
      <c r="I105" s="153" t="s">
        <v>448</v>
      </c>
      <c r="J105" s="153" t="s">
        <v>448</v>
      </c>
      <c r="K105" s="153" t="s">
        <v>448</v>
      </c>
      <c r="L105" s="153" t="s">
        <v>448</v>
      </c>
      <c r="M105" s="153" t="s">
        <v>448</v>
      </c>
      <c r="N105" s="153" t="s">
        <v>448</v>
      </c>
      <c r="O105" s="153" t="s">
        <v>448</v>
      </c>
      <c r="P105" s="153" t="s">
        <v>1158</v>
      </c>
    </row>
    <row r="106" spans="1:17">
      <c r="B106" s="131"/>
      <c r="C106" s="131"/>
      <c r="D106" s="122"/>
      <c r="E106" s="122"/>
      <c r="P106" s="30"/>
    </row>
    <row r="107" spans="1:17">
      <c r="B107" s="15" t="s">
        <v>341</v>
      </c>
      <c r="C107" s="15"/>
      <c r="D107" s="123">
        <v>350.01</v>
      </c>
      <c r="E107" s="123">
        <v>350.02</v>
      </c>
      <c r="F107" s="123">
        <v>352.01</v>
      </c>
      <c r="G107" s="123">
        <v>352.02</v>
      </c>
      <c r="H107" s="123">
        <v>353.01</v>
      </c>
      <c r="I107" s="123">
        <v>353.02</v>
      </c>
      <c r="J107" s="123">
        <v>354</v>
      </c>
      <c r="K107" s="123">
        <v>355</v>
      </c>
      <c r="L107" s="123">
        <v>356</v>
      </c>
      <c r="M107" s="123">
        <v>357</v>
      </c>
      <c r="N107" s="123">
        <v>358</v>
      </c>
      <c r="O107" s="123">
        <v>359</v>
      </c>
      <c r="P107" s="30"/>
    </row>
    <row r="108" spans="1:17" s="142" customFormat="1">
      <c r="A108" s="119" t="s">
        <v>122</v>
      </c>
      <c r="B108" s="119" t="s">
        <v>81</v>
      </c>
      <c r="C108" s="119" t="s">
        <v>109</v>
      </c>
      <c r="D108" s="122" t="s">
        <v>342</v>
      </c>
      <c r="E108" s="122" t="s">
        <v>343</v>
      </c>
      <c r="F108" s="122" t="s">
        <v>344</v>
      </c>
      <c r="G108" s="122" t="s">
        <v>345</v>
      </c>
      <c r="H108" s="122" t="s">
        <v>346</v>
      </c>
      <c r="I108" s="122" t="s">
        <v>347</v>
      </c>
      <c r="J108" s="122" t="s">
        <v>348</v>
      </c>
      <c r="K108" s="122" t="s">
        <v>349</v>
      </c>
      <c r="L108" s="122" t="s">
        <v>350</v>
      </c>
      <c r="M108" s="122" t="s">
        <v>351</v>
      </c>
      <c r="N108" s="122" t="s">
        <v>352</v>
      </c>
      <c r="O108" s="122" t="s">
        <v>353</v>
      </c>
      <c r="P108" s="119" t="s">
        <v>354</v>
      </c>
      <c r="Q108" s="119" t="str">
        <f>A108</f>
        <v>Line</v>
      </c>
    </row>
    <row r="109" spans="1:17">
      <c r="A109" s="131"/>
      <c r="B109" s="150"/>
      <c r="C109" s="150"/>
      <c r="D109" s="230"/>
      <c r="E109" s="231"/>
      <c r="F109" s="232"/>
      <c r="G109" s="230"/>
      <c r="H109" s="230"/>
      <c r="I109" s="230"/>
      <c r="J109" s="230"/>
      <c r="K109" s="230"/>
      <c r="L109" s="230"/>
      <c r="M109" s="230"/>
      <c r="N109" s="232"/>
      <c r="O109" s="232"/>
      <c r="P109" s="158"/>
    </row>
    <row r="110" spans="1:17">
      <c r="A110" s="131">
        <v>800</v>
      </c>
      <c r="B110" s="150" t="s">
        <v>112</v>
      </c>
      <c r="C110" s="156">
        <f>'1-BaseTRR'!$F$2</f>
        <v>2022</v>
      </c>
      <c r="D110" s="484">
        <f t="shared" ref="D110:O121" si="4">+D$98*D76/12</f>
        <v>0</v>
      </c>
      <c r="E110" s="485">
        <f t="shared" si="4"/>
        <v>320619.62468100007</v>
      </c>
      <c r="F110" s="484">
        <f t="shared" si="4"/>
        <v>494404.54927199992</v>
      </c>
      <c r="G110" s="484">
        <f t="shared" si="4"/>
        <v>155648.0212817</v>
      </c>
      <c r="H110" s="484">
        <f t="shared" si="4"/>
        <v>19663631.119342353</v>
      </c>
      <c r="I110" s="484">
        <f t="shared" si="4"/>
        <v>49818.165817933339</v>
      </c>
      <c r="J110" s="484">
        <f t="shared" si="4"/>
        <v>1996548.4525019003</v>
      </c>
      <c r="K110" s="484">
        <f t="shared" si="4"/>
        <v>5815036.4958798997</v>
      </c>
      <c r="L110" s="484">
        <f t="shared" si="4"/>
        <v>5416824.0142893</v>
      </c>
      <c r="M110" s="484">
        <f t="shared" si="4"/>
        <v>662642.11197350826</v>
      </c>
      <c r="N110" s="484">
        <f t="shared" si="4"/>
        <v>468960.85626591666</v>
      </c>
      <c r="O110" s="484">
        <f t="shared" si="4"/>
        <v>257497.57446163334</v>
      </c>
      <c r="P110" s="33">
        <f t="shared" ref="P110:P121" si="5">SUM(D110:O110)</f>
        <v>35301630.985767148</v>
      </c>
      <c r="Q110" s="131">
        <f t="shared" ref="Q110:Q122" si="6">A110</f>
        <v>800</v>
      </c>
    </row>
    <row r="111" spans="1:17">
      <c r="A111" s="131">
        <f t="shared" ref="A111:A122" si="7">A110+1</f>
        <v>801</v>
      </c>
      <c r="B111" s="150" t="s">
        <v>113</v>
      </c>
      <c r="C111" s="156">
        <f>'1-BaseTRR'!$F$2</f>
        <v>2022</v>
      </c>
      <c r="D111" s="484">
        <f t="shared" si="4"/>
        <v>0</v>
      </c>
      <c r="E111" s="484">
        <f t="shared" si="4"/>
        <v>320909.97688825004</v>
      </c>
      <c r="F111" s="484">
        <f t="shared" si="4"/>
        <v>493185.22422674997</v>
      </c>
      <c r="G111" s="484">
        <f t="shared" si="4"/>
        <v>155664.85370440001</v>
      </c>
      <c r="H111" s="484">
        <f t="shared" si="4"/>
        <v>19700880.459094774</v>
      </c>
      <c r="I111" s="484">
        <f t="shared" si="4"/>
        <v>49819.416412516679</v>
      </c>
      <c r="J111" s="484">
        <f t="shared" si="4"/>
        <v>1978281.4740952083</v>
      </c>
      <c r="K111" s="484">
        <f t="shared" si="4"/>
        <v>5859922.1652044998</v>
      </c>
      <c r="L111" s="484">
        <f t="shared" si="4"/>
        <v>5495495.0217035003</v>
      </c>
      <c r="M111" s="484">
        <f t="shared" si="4"/>
        <v>662704.35999716667</v>
      </c>
      <c r="N111" s="484">
        <f t="shared" si="4"/>
        <v>468962.17913500004</v>
      </c>
      <c r="O111" s="484">
        <f t="shared" si="4"/>
        <v>257882.44017923332</v>
      </c>
      <c r="P111" s="33">
        <f t="shared" si="5"/>
        <v>35443707.570641309</v>
      </c>
      <c r="Q111" s="131">
        <f t="shared" si="6"/>
        <v>801</v>
      </c>
    </row>
    <row r="112" spans="1:17">
      <c r="A112" s="131">
        <f t="shared" si="7"/>
        <v>802</v>
      </c>
      <c r="B112" s="150" t="s">
        <v>114</v>
      </c>
      <c r="C112" s="156">
        <f>'1-BaseTRR'!$F$2</f>
        <v>2022</v>
      </c>
      <c r="D112" s="484">
        <f t="shared" si="4"/>
        <v>0</v>
      </c>
      <c r="E112" s="484">
        <f t="shared" si="4"/>
        <v>321319.09028525004</v>
      </c>
      <c r="F112" s="484">
        <f t="shared" si="4"/>
        <v>493759.92987125</v>
      </c>
      <c r="G112" s="484">
        <f t="shared" si="4"/>
        <v>155877.18989484999</v>
      </c>
      <c r="H112" s="484">
        <f t="shared" si="4"/>
        <v>19724956.134689633</v>
      </c>
      <c r="I112" s="484">
        <f t="shared" si="4"/>
        <v>49819.414225533321</v>
      </c>
      <c r="J112" s="484">
        <f t="shared" si="4"/>
        <v>1986908.4764231083</v>
      </c>
      <c r="K112" s="484">
        <f t="shared" si="4"/>
        <v>5877996.6088959994</v>
      </c>
      <c r="L112" s="484">
        <f t="shared" si="4"/>
        <v>5473572.9237131998</v>
      </c>
      <c r="M112" s="484">
        <f t="shared" si="4"/>
        <v>662778.78999704157</v>
      </c>
      <c r="N112" s="484">
        <f t="shared" si="4"/>
        <v>469304.18622308341</v>
      </c>
      <c r="O112" s="484">
        <f t="shared" si="4"/>
        <v>261146.05318468332</v>
      </c>
      <c r="P112" s="33">
        <f t="shared" si="5"/>
        <v>35477438.797403626</v>
      </c>
      <c r="Q112" s="131">
        <f t="shared" si="6"/>
        <v>802</v>
      </c>
    </row>
    <row r="113" spans="1:17">
      <c r="A113" s="131">
        <f t="shared" si="7"/>
        <v>803</v>
      </c>
      <c r="B113" s="150" t="s">
        <v>115</v>
      </c>
      <c r="C113" s="156">
        <f>'1-BaseTRR'!$F$2</f>
        <v>2022</v>
      </c>
      <c r="D113" s="484">
        <f t="shared" si="4"/>
        <v>0</v>
      </c>
      <c r="E113" s="484">
        <f t="shared" si="4"/>
        <v>321679.56315149995</v>
      </c>
      <c r="F113" s="484">
        <f t="shared" si="4"/>
        <v>494202.69110433321</v>
      </c>
      <c r="G113" s="484">
        <f t="shared" si="4"/>
        <v>157183.89483153334</v>
      </c>
      <c r="H113" s="484">
        <f t="shared" si="4"/>
        <v>19808328.671381615</v>
      </c>
      <c r="I113" s="484">
        <f t="shared" si="4"/>
        <v>49793.518377350003</v>
      </c>
      <c r="J113" s="484">
        <f t="shared" si="4"/>
        <v>1982218.4773592667</v>
      </c>
      <c r="K113" s="484">
        <f t="shared" si="4"/>
        <v>5936940.445124899</v>
      </c>
      <c r="L113" s="484">
        <f t="shared" si="4"/>
        <v>5562518.5474790996</v>
      </c>
      <c r="M113" s="484">
        <f t="shared" si="4"/>
        <v>666095.93485554156</v>
      </c>
      <c r="N113" s="484">
        <f t="shared" si="4"/>
        <v>468372.46082691668</v>
      </c>
      <c r="O113" s="484">
        <f t="shared" si="4"/>
        <v>262666.45347320003</v>
      </c>
      <c r="P113" s="33">
        <f t="shared" si="5"/>
        <v>35710000.657965258</v>
      </c>
      <c r="Q113" s="131">
        <f t="shared" si="6"/>
        <v>803</v>
      </c>
    </row>
    <row r="114" spans="1:17" s="142" customFormat="1">
      <c r="A114" s="131">
        <f t="shared" si="7"/>
        <v>804</v>
      </c>
      <c r="B114" s="150" t="s">
        <v>89</v>
      </c>
      <c r="C114" s="156">
        <f>'1-BaseTRR'!$F$2</f>
        <v>2022</v>
      </c>
      <c r="D114" s="484">
        <f t="shared" si="4"/>
        <v>0</v>
      </c>
      <c r="E114" s="484">
        <f t="shared" si="4"/>
        <v>321895.06132849999</v>
      </c>
      <c r="F114" s="484">
        <f t="shared" si="4"/>
        <v>494498.62204608327</v>
      </c>
      <c r="G114" s="484">
        <f t="shared" si="4"/>
        <v>158252.1346476</v>
      </c>
      <c r="H114" s="484">
        <f t="shared" si="4"/>
        <v>19874455.794523958</v>
      </c>
      <c r="I114" s="484">
        <f t="shared" si="4"/>
        <v>49793.522059233335</v>
      </c>
      <c r="J114" s="484">
        <f t="shared" si="4"/>
        <v>1958591.8001541833</v>
      </c>
      <c r="K114" s="484">
        <f t="shared" si="4"/>
        <v>5968288.7875377992</v>
      </c>
      <c r="L114" s="484">
        <f t="shared" si="4"/>
        <v>5689715.9047661005</v>
      </c>
      <c r="M114" s="484">
        <f t="shared" si="4"/>
        <v>665876.02448106662</v>
      </c>
      <c r="N114" s="484">
        <f t="shared" si="4"/>
        <v>468507.65126133332</v>
      </c>
      <c r="O114" s="484">
        <f t="shared" si="4"/>
        <v>263630.14254348335</v>
      </c>
      <c r="P114" s="33">
        <f t="shared" si="5"/>
        <v>35913505.445349328</v>
      </c>
      <c r="Q114" s="131">
        <f t="shared" si="6"/>
        <v>804</v>
      </c>
    </row>
    <row r="115" spans="1:17">
      <c r="A115" s="131">
        <f t="shared" si="7"/>
        <v>805</v>
      </c>
      <c r="B115" s="150" t="s">
        <v>272</v>
      </c>
      <c r="C115" s="156">
        <f>'1-BaseTRR'!$F$2</f>
        <v>2022</v>
      </c>
      <c r="D115" s="484">
        <f t="shared" si="4"/>
        <v>0</v>
      </c>
      <c r="E115" s="484">
        <f t="shared" si="4"/>
        <v>321977.08636625001</v>
      </c>
      <c r="F115" s="484">
        <f t="shared" si="4"/>
        <v>493863.89535983332</v>
      </c>
      <c r="G115" s="484">
        <f t="shared" si="4"/>
        <v>161097.68113936667</v>
      </c>
      <c r="H115" s="484">
        <f t="shared" si="4"/>
        <v>19843022.54002152</v>
      </c>
      <c r="I115" s="484">
        <f t="shared" si="4"/>
        <v>49793.535734799989</v>
      </c>
      <c r="J115" s="484">
        <f t="shared" si="4"/>
        <v>1960513.4836187083</v>
      </c>
      <c r="K115" s="484">
        <f t="shared" si="4"/>
        <v>6015390.0681185992</v>
      </c>
      <c r="L115" s="484">
        <f t="shared" si="4"/>
        <v>5744822.0038173003</v>
      </c>
      <c r="M115" s="484">
        <f t="shared" si="4"/>
        <v>668896.93810188328</v>
      </c>
      <c r="N115" s="484">
        <f t="shared" si="4"/>
        <v>468836.1963145</v>
      </c>
      <c r="O115" s="484">
        <f t="shared" si="4"/>
        <v>265432.40931970003</v>
      </c>
      <c r="P115" s="33">
        <f t="shared" si="5"/>
        <v>35993645.837912455</v>
      </c>
      <c r="Q115" s="131">
        <f t="shared" si="6"/>
        <v>805</v>
      </c>
    </row>
    <row r="116" spans="1:17">
      <c r="A116" s="131">
        <f t="shared" si="7"/>
        <v>806</v>
      </c>
      <c r="B116" s="150" t="s">
        <v>117</v>
      </c>
      <c r="C116" s="156">
        <f>'1-BaseTRR'!$F$2</f>
        <v>2022</v>
      </c>
      <c r="D116" s="484">
        <f t="shared" si="4"/>
        <v>0</v>
      </c>
      <c r="E116" s="484">
        <f t="shared" si="4"/>
        <v>322128.21017575002</v>
      </c>
      <c r="F116" s="484">
        <f t="shared" si="4"/>
        <v>494061.75756891654</v>
      </c>
      <c r="G116" s="484">
        <f t="shared" si="4"/>
        <v>162864.99289545001</v>
      </c>
      <c r="H116" s="484">
        <f t="shared" si="4"/>
        <v>19860775.785776962</v>
      </c>
      <c r="I116" s="484">
        <f t="shared" si="4"/>
        <v>49815.520024874997</v>
      </c>
      <c r="J116" s="484">
        <f t="shared" si="4"/>
        <v>1964631.0930850084</v>
      </c>
      <c r="K116" s="484">
        <f t="shared" si="4"/>
        <v>6054687.7182413004</v>
      </c>
      <c r="L116" s="484">
        <f t="shared" si="4"/>
        <v>5820478.3825412989</v>
      </c>
      <c r="M116" s="484">
        <f t="shared" si="4"/>
        <v>668878.1934920249</v>
      </c>
      <c r="N116" s="484">
        <f t="shared" si="4"/>
        <v>469471.45759675</v>
      </c>
      <c r="O116" s="484">
        <f t="shared" si="4"/>
        <v>266079.23627950001</v>
      </c>
      <c r="P116" s="33">
        <f t="shared" si="5"/>
        <v>36133872.347677842</v>
      </c>
      <c r="Q116" s="131">
        <f t="shared" si="6"/>
        <v>806</v>
      </c>
    </row>
    <row r="117" spans="1:17">
      <c r="A117" s="131">
        <f t="shared" si="7"/>
        <v>807</v>
      </c>
      <c r="B117" s="150" t="s">
        <v>118</v>
      </c>
      <c r="C117" s="156">
        <f>'1-BaseTRR'!$F$2</f>
        <v>2022</v>
      </c>
      <c r="D117" s="484">
        <f t="shared" si="4"/>
        <v>0</v>
      </c>
      <c r="E117" s="484">
        <f t="shared" si="4"/>
        <v>322269.36891849997</v>
      </c>
      <c r="F117" s="484">
        <f t="shared" si="4"/>
        <v>493961.4862036666</v>
      </c>
      <c r="G117" s="484">
        <f t="shared" si="4"/>
        <v>164193.06769846668</v>
      </c>
      <c r="H117" s="484">
        <f t="shared" si="4"/>
        <v>19977211.625615206</v>
      </c>
      <c r="I117" s="484">
        <f t="shared" si="4"/>
        <v>49815.534088008339</v>
      </c>
      <c r="J117" s="484">
        <f t="shared" si="4"/>
        <v>1966302.2359167917</v>
      </c>
      <c r="K117" s="484">
        <f t="shared" si="4"/>
        <v>6092699.2396624004</v>
      </c>
      <c r="L117" s="484">
        <f t="shared" si="4"/>
        <v>5910670.4979473995</v>
      </c>
      <c r="M117" s="484">
        <f t="shared" si="4"/>
        <v>668975.94995412498</v>
      </c>
      <c r="N117" s="484">
        <f t="shared" si="4"/>
        <v>470341.64519475005</v>
      </c>
      <c r="O117" s="484">
        <f t="shared" si="4"/>
        <v>267967.58662076667</v>
      </c>
      <c r="P117" s="33">
        <f t="shared" si="5"/>
        <v>36384408.237820074</v>
      </c>
      <c r="Q117" s="131">
        <f t="shared" si="6"/>
        <v>807</v>
      </c>
    </row>
    <row r="118" spans="1:17">
      <c r="A118" s="131">
        <f t="shared" si="7"/>
        <v>808</v>
      </c>
      <c r="B118" s="150"/>
      <c r="C118" s="156">
        <f>'1-BaseTRR'!$F$2</f>
        <v>2022</v>
      </c>
      <c r="D118" s="484">
        <f t="shared" si="4"/>
        <v>0</v>
      </c>
      <c r="E118" s="484">
        <f t="shared" si="4"/>
        <v>322507.3348595</v>
      </c>
      <c r="F118" s="484">
        <f t="shared" si="4"/>
        <v>494277.43978016661</v>
      </c>
      <c r="G118" s="484">
        <f t="shared" si="4"/>
        <v>173157.54968336664</v>
      </c>
      <c r="H118" s="484">
        <f t="shared" si="4"/>
        <v>20031668.353183184</v>
      </c>
      <c r="I118" s="484">
        <f t="shared" si="4"/>
        <v>49815.538849541677</v>
      </c>
      <c r="J118" s="484">
        <f t="shared" si="4"/>
        <v>1954939.8037668585</v>
      </c>
      <c r="K118" s="484">
        <f t="shared" si="4"/>
        <v>6136488.5028835004</v>
      </c>
      <c r="L118" s="484">
        <f t="shared" si="4"/>
        <v>5968984.2732533999</v>
      </c>
      <c r="M118" s="484">
        <f t="shared" si="4"/>
        <v>669004.04571137496</v>
      </c>
      <c r="N118" s="484">
        <f t="shared" si="4"/>
        <v>467725.70891983336</v>
      </c>
      <c r="O118" s="484">
        <f t="shared" si="4"/>
        <v>271944.4087945667</v>
      </c>
      <c r="P118" s="33">
        <f t="shared" si="5"/>
        <v>36540512.959685288</v>
      </c>
      <c r="Q118" s="131">
        <f t="shared" si="6"/>
        <v>808</v>
      </c>
    </row>
    <row r="119" spans="1:17">
      <c r="A119" s="131">
        <f t="shared" si="7"/>
        <v>809</v>
      </c>
      <c r="B119" s="150" t="s">
        <v>120</v>
      </c>
      <c r="C119" s="156">
        <f>'1-BaseTRR'!$F$2</f>
        <v>2022</v>
      </c>
      <c r="D119" s="484">
        <f t="shared" si="4"/>
        <v>0</v>
      </c>
      <c r="E119" s="484">
        <f t="shared" si="4"/>
        <v>322634.04387650004</v>
      </c>
      <c r="F119" s="484">
        <f t="shared" si="4"/>
        <v>494328.40549274994</v>
      </c>
      <c r="G119" s="484">
        <f t="shared" si="4"/>
        <v>171207.15278941666</v>
      </c>
      <c r="H119" s="484">
        <f t="shared" si="4"/>
        <v>20027896.404033665</v>
      </c>
      <c r="I119" s="484">
        <f t="shared" si="4"/>
        <v>49815.542835941662</v>
      </c>
      <c r="J119" s="484">
        <f t="shared" si="4"/>
        <v>1977669.2187839581</v>
      </c>
      <c r="K119" s="484">
        <f t="shared" si="4"/>
        <v>6203624.446502299</v>
      </c>
      <c r="L119" s="484">
        <f t="shared" si="4"/>
        <v>5997661.3373864004</v>
      </c>
      <c r="M119" s="484">
        <f t="shared" si="4"/>
        <v>669036.26649401663</v>
      </c>
      <c r="N119" s="484">
        <f t="shared" si="4"/>
        <v>467775.77337300003</v>
      </c>
      <c r="O119" s="484">
        <f t="shared" si="4"/>
        <v>278535.91630561667</v>
      </c>
      <c r="P119" s="33">
        <f t="shared" si="5"/>
        <v>36660184.507873565</v>
      </c>
      <c r="Q119" s="131">
        <f t="shared" si="6"/>
        <v>809</v>
      </c>
    </row>
    <row r="120" spans="1:17">
      <c r="A120" s="131">
        <f t="shared" si="7"/>
        <v>810</v>
      </c>
      <c r="B120" s="150" t="s">
        <v>121</v>
      </c>
      <c r="C120" s="156">
        <f>'1-BaseTRR'!$F$2</f>
        <v>2022</v>
      </c>
      <c r="D120" s="484">
        <f t="shared" si="4"/>
        <v>0</v>
      </c>
      <c r="E120" s="484">
        <f t="shared" si="4"/>
        <v>322668.37319725001</v>
      </c>
      <c r="F120" s="484">
        <f t="shared" si="4"/>
        <v>494515.2690730833</v>
      </c>
      <c r="G120" s="484">
        <f t="shared" si="4"/>
        <v>173541.62580286668</v>
      </c>
      <c r="H120" s="484">
        <f t="shared" si="4"/>
        <v>20018196.160882264</v>
      </c>
      <c r="I120" s="484">
        <f t="shared" si="4"/>
        <v>49815.548261874996</v>
      </c>
      <c r="J120" s="484">
        <f t="shared" si="4"/>
        <v>2009907.2457478663</v>
      </c>
      <c r="K120" s="484">
        <f t="shared" si="4"/>
        <v>6248985.0649757991</v>
      </c>
      <c r="L120" s="484">
        <f t="shared" si="4"/>
        <v>6087062.9152364014</v>
      </c>
      <c r="M120" s="484">
        <f t="shared" si="4"/>
        <v>669032.8671829917</v>
      </c>
      <c r="N120" s="484">
        <f t="shared" si="4"/>
        <v>467685.43238116667</v>
      </c>
      <c r="O120" s="484">
        <f t="shared" si="4"/>
        <v>279043.18853775004</v>
      </c>
      <c r="P120" s="33">
        <f t="shared" si="5"/>
        <v>36820453.691279314</v>
      </c>
      <c r="Q120" s="131">
        <f t="shared" si="6"/>
        <v>810</v>
      </c>
    </row>
    <row r="121" spans="1:17">
      <c r="A121" s="131">
        <f t="shared" si="7"/>
        <v>811</v>
      </c>
      <c r="B121" s="159" t="s">
        <v>111</v>
      </c>
      <c r="C121" s="160">
        <f>'1-BaseTRR'!$F$2</f>
        <v>2022</v>
      </c>
      <c r="D121" s="470">
        <f t="shared" si="4"/>
        <v>0</v>
      </c>
      <c r="E121" s="470">
        <f t="shared" si="4"/>
        <v>321881.68004493142</v>
      </c>
      <c r="F121" s="470">
        <f t="shared" si="4"/>
        <v>493345.7189914757</v>
      </c>
      <c r="G121" s="470">
        <f t="shared" si="4"/>
        <v>179072.31504462054</v>
      </c>
      <c r="H121" s="470">
        <f t="shared" si="4"/>
        <v>20108258.538154226</v>
      </c>
      <c r="I121" s="470">
        <f t="shared" si="4"/>
        <v>49815.551495720698</v>
      </c>
      <c r="J121" s="470">
        <f t="shared" si="4"/>
        <v>2035079.4092805774</v>
      </c>
      <c r="K121" s="470">
        <f t="shared" si="4"/>
        <v>6264254.5417079581</v>
      </c>
      <c r="L121" s="470">
        <f t="shared" si="4"/>
        <v>6097510.5002394812</v>
      </c>
      <c r="M121" s="470">
        <f t="shared" si="4"/>
        <v>667275.32570903283</v>
      </c>
      <c r="N121" s="470">
        <f t="shared" si="4"/>
        <v>467475.83414159605</v>
      </c>
      <c r="O121" s="470">
        <f t="shared" si="4"/>
        <v>288826.55309254042</v>
      </c>
      <c r="P121" s="470">
        <f t="shared" si="5"/>
        <v>36972795.967902154</v>
      </c>
      <c r="Q121" s="131">
        <f t="shared" si="6"/>
        <v>811</v>
      </c>
    </row>
    <row r="122" spans="1:17">
      <c r="A122" s="131">
        <f t="shared" si="7"/>
        <v>812</v>
      </c>
      <c r="B122" s="169" t="s">
        <v>354</v>
      </c>
      <c r="C122" s="169"/>
      <c r="D122" s="490">
        <f>SUM(D110:D121)</f>
        <v>0</v>
      </c>
      <c r="E122" s="490">
        <f t="shared" ref="E122:P122" si="8">SUM(E110:E121)</f>
        <v>3862489.4137731814</v>
      </c>
      <c r="F122" s="490">
        <f t="shared" si="8"/>
        <v>5928404.9889903087</v>
      </c>
      <c r="G122" s="490">
        <f t="shared" si="8"/>
        <v>1967760.4794136372</v>
      </c>
      <c r="H122" s="490">
        <f t="shared" si="8"/>
        <v>238639281.58669934</v>
      </c>
      <c r="I122" s="490">
        <f t="shared" si="8"/>
        <v>597730.80818332906</v>
      </c>
      <c r="J122" s="490">
        <f t="shared" si="8"/>
        <v>23771591.170733437</v>
      </c>
      <c r="K122" s="490">
        <f t="shared" si="8"/>
        <v>72474314.084734961</v>
      </c>
      <c r="L122" s="490">
        <f t="shared" si="8"/>
        <v>69265316.322372884</v>
      </c>
      <c r="M122" s="490">
        <f t="shared" si="8"/>
        <v>8001196.807949774</v>
      </c>
      <c r="N122" s="490">
        <f t="shared" si="8"/>
        <v>5623419.381633847</v>
      </c>
      <c r="O122" s="490">
        <f t="shared" si="8"/>
        <v>3220651.9627926731</v>
      </c>
      <c r="P122" s="490">
        <f t="shared" si="8"/>
        <v>433352157.00727737</v>
      </c>
      <c r="Q122" s="131">
        <f t="shared" si="6"/>
        <v>812</v>
      </c>
    </row>
    <row r="123" spans="1:17">
      <c r="A123" s="27"/>
      <c r="B123" s="17"/>
      <c r="C123" s="17"/>
      <c r="D123" s="17"/>
      <c r="E123" s="17"/>
      <c r="F123" s="17"/>
      <c r="G123" s="17"/>
      <c r="H123" s="17"/>
      <c r="I123" s="17"/>
      <c r="J123" s="17"/>
      <c r="K123" s="17"/>
      <c r="L123" s="17"/>
    </row>
    <row r="124" spans="1:17">
      <c r="A124" s="27"/>
      <c r="B124" s="17"/>
      <c r="C124" s="17"/>
      <c r="D124" s="17"/>
      <c r="E124" s="17"/>
      <c r="F124" s="17"/>
      <c r="G124" s="17"/>
      <c r="H124" s="17"/>
      <c r="I124" s="17"/>
      <c r="J124" s="17"/>
      <c r="K124" s="17"/>
      <c r="L124" s="17"/>
    </row>
    <row r="125" spans="1:17">
      <c r="B125" s="118" t="s">
        <v>449</v>
      </c>
      <c r="C125" s="144"/>
      <c r="D125" s="144"/>
      <c r="E125" s="144"/>
      <c r="F125" s="144"/>
      <c r="G125" s="144"/>
      <c r="H125" s="144"/>
      <c r="I125" s="144"/>
      <c r="J125" s="144"/>
      <c r="K125" s="144"/>
      <c r="L125" s="144"/>
      <c r="M125" s="54"/>
      <c r="N125" s="54"/>
      <c r="O125" s="54"/>
      <c r="P125" s="54"/>
    </row>
    <row r="126" spans="1:17">
      <c r="B126" t="s">
        <v>450</v>
      </c>
    </row>
    <row r="128" spans="1:17">
      <c r="A128" s="119" t="s">
        <v>122</v>
      </c>
      <c r="B128" s="17"/>
      <c r="C128" s="17"/>
      <c r="D128" s="17"/>
      <c r="E128" s="17"/>
      <c r="F128" s="17"/>
      <c r="G128" s="17"/>
      <c r="H128" s="17"/>
      <c r="I128" s="17"/>
      <c r="J128" s="17"/>
      <c r="K128" s="17"/>
      <c r="L128" s="17"/>
      <c r="Q128" s="119" t="str">
        <f>A128</f>
        <v>Line</v>
      </c>
    </row>
    <row r="129" spans="1:17">
      <c r="A129" s="131">
        <v>900</v>
      </c>
      <c r="B129" s="4" t="s">
        <v>451</v>
      </c>
      <c r="C129" s="17"/>
      <c r="D129" s="17"/>
      <c r="F129" s="424">
        <f>+P122</f>
        <v>433352157.00727737</v>
      </c>
      <c r="G129" s="17" t="s">
        <v>1161</v>
      </c>
      <c r="H129" s="17"/>
      <c r="I129" s="17"/>
      <c r="J129" s="17"/>
      <c r="K129" s="17"/>
      <c r="L129" s="17"/>
      <c r="Q129" s="131">
        <f t="shared" ref="Q129:Q131" si="9">A129</f>
        <v>900</v>
      </c>
    </row>
    <row r="130" spans="1:17">
      <c r="A130" s="131">
        <f>+A129+1</f>
        <v>901</v>
      </c>
      <c r="B130" s="233" t="s">
        <v>452</v>
      </c>
      <c r="C130" s="221"/>
      <c r="D130" s="221"/>
      <c r="E130" s="234"/>
      <c r="F130" s="486">
        <f>+O15</f>
        <v>432288531.10536373</v>
      </c>
      <c r="G130" s="17" t="s">
        <v>1162</v>
      </c>
      <c r="H130" s="17"/>
      <c r="I130" s="17"/>
      <c r="J130" s="17"/>
      <c r="K130" s="17"/>
      <c r="L130" s="17"/>
      <c r="Q130" s="131">
        <f t="shared" si="9"/>
        <v>901</v>
      </c>
    </row>
    <row r="131" spans="1:17">
      <c r="A131" s="131">
        <f>+A130+1</f>
        <v>902</v>
      </c>
      <c r="B131" s="12" t="s">
        <v>453</v>
      </c>
      <c r="E131" s="17"/>
      <c r="F131" s="353">
        <f>+F129-F130</f>
        <v>1063625.9019136429</v>
      </c>
      <c r="G131" s="17" t="s">
        <v>1070</v>
      </c>
      <c r="H131" s="12"/>
      <c r="I131" s="12"/>
      <c r="J131" s="12"/>
      <c r="K131" s="12"/>
      <c r="L131" s="142"/>
      <c r="M131" s="8"/>
      <c r="N131" s="142"/>
      <c r="O131" s="142"/>
      <c r="P131" s="142"/>
      <c r="Q131" s="131">
        <f t="shared" si="9"/>
        <v>902</v>
      </c>
    </row>
    <row r="132" spans="1:17">
      <c r="B132" s="131"/>
      <c r="C132" s="122"/>
      <c r="D132" s="122"/>
    </row>
    <row r="133" spans="1:17">
      <c r="B133" s="131"/>
      <c r="C133" s="122"/>
      <c r="D133" s="122"/>
    </row>
    <row r="134" spans="1:17">
      <c r="B134" s="16" t="s">
        <v>125</v>
      </c>
      <c r="C134" s="122"/>
      <c r="D134" s="122"/>
    </row>
    <row r="135" spans="1:17">
      <c r="B135" s="819" t="s">
        <v>1879</v>
      </c>
      <c r="C135" s="819"/>
      <c r="D135" s="819"/>
      <c r="E135" s="819"/>
      <c r="F135" s="819"/>
      <c r="G135" s="819"/>
      <c r="H135" s="819"/>
      <c r="I135" s="819"/>
      <c r="J135" s="819"/>
      <c r="K135" s="819"/>
      <c r="L135" s="819"/>
      <c r="M135" s="819"/>
      <c r="N135" s="819"/>
      <c r="O135" s="819"/>
      <c r="P135" s="819"/>
    </row>
    <row r="136" spans="1:17">
      <c r="B136" s="819"/>
      <c r="C136" s="819"/>
      <c r="D136" s="819"/>
      <c r="E136" s="819"/>
      <c r="F136" s="819"/>
      <c r="G136" s="819"/>
      <c r="H136" s="819"/>
      <c r="I136" s="819"/>
      <c r="J136" s="819"/>
      <c r="K136" s="819"/>
      <c r="L136" s="819"/>
      <c r="M136" s="819"/>
      <c r="N136" s="819"/>
      <c r="O136" s="819"/>
      <c r="P136" s="819"/>
    </row>
    <row r="137" spans="1:17">
      <c r="B137" s="819" t="s">
        <v>1880</v>
      </c>
      <c r="C137" s="819"/>
      <c r="D137" s="819"/>
      <c r="E137" s="819"/>
      <c r="F137" s="819"/>
      <c r="G137" s="819"/>
      <c r="H137" s="819"/>
      <c r="I137" s="819"/>
      <c r="J137" s="819"/>
      <c r="K137" s="819"/>
      <c r="L137" s="819"/>
      <c r="M137" s="819"/>
      <c r="N137" s="819"/>
      <c r="O137" s="819"/>
      <c r="P137" s="819"/>
    </row>
    <row r="138" spans="1:17">
      <c r="B138" s="819" t="s">
        <v>1863</v>
      </c>
      <c r="C138" s="819"/>
      <c r="D138" s="819"/>
      <c r="E138" s="819"/>
      <c r="F138" s="819"/>
      <c r="G138" s="819"/>
      <c r="H138" s="819"/>
      <c r="I138" s="819"/>
      <c r="J138" s="819"/>
      <c r="K138" s="819"/>
      <c r="L138" s="819"/>
      <c r="M138" s="819"/>
      <c r="N138" s="819"/>
      <c r="O138" s="819"/>
      <c r="P138" s="819"/>
    </row>
    <row r="139" spans="1:17">
      <c r="B139" s="819" t="s">
        <v>1864</v>
      </c>
      <c r="C139" s="819"/>
      <c r="D139" s="819"/>
      <c r="E139" s="819"/>
      <c r="F139" s="819"/>
      <c r="G139" s="819"/>
      <c r="H139" s="819"/>
      <c r="I139" s="819"/>
      <c r="J139" s="819"/>
      <c r="K139" s="819"/>
      <c r="L139" s="819"/>
      <c r="M139" s="819"/>
      <c r="N139" s="819"/>
      <c r="O139" s="819"/>
      <c r="P139" s="819"/>
    </row>
    <row r="140" spans="1:17">
      <c r="B140" s="819"/>
      <c r="C140" s="819"/>
      <c r="D140" s="819"/>
      <c r="E140" s="819"/>
      <c r="F140" s="819"/>
      <c r="G140" s="819"/>
      <c r="H140" s="819"/>
      <c r="I140" s="819"/>
      <c r="J140" s="819"/>
      <c r="K140" s="819"/>
      <c r="L140" s="819"/>
      <c r="M140" s="819"/>
      <c r="N140" s="819"/>
      <c r="O140" s="819"/>
      <c r="P140" s="819"/>
    </row>
  </sheetData>
  <mergeCells count="7">
    <mergeCell ref="B139:P139"/>
    <mergeCell ref="B140:P140"/>
    <mergeCell ref="B64:P64"/>
    <mergeCell ref="B135:P135"/>
    <mergeCell ref="B136:P136"/>
    <mergeCell ref="B137:P137"/>
    <mergeCell ref="B138:P138"/>
  </mergeCells>
  <printOptions horizontalCentered="1"/>
  <pageMargins left="1" right="1" top="1" bottom="1" header="0.5" footer="0.5"/>
  <pageSetup scale="41" fitToHeight="0" orientation="landscape" r:id="rId1"/>
  <headerFooter>
    <oddHeader xml:space="preserve">&amp;C&amp;"-,Bold"Pacific Gas and Electric Company
Formula Rate Model
Schedule &amp;A&amp;R&amp;8Docket No. ER19-13-000, et al- Annual Update RY2024
&amp;F
</oddHeader>
  </headerFooter>
  <rowBreaks count="1" manualBreakCount="1">
    <brk id="66" max="16383" man="1"/>
  </rowBreaks>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Q82"/>
  <sheetViews>
    <sheetView tabSelected="1" view="pageBreakPreview" topLeftCell="A52" zoomScale="90" zoomScaleNormal="70" zoomScaleSheetLayoutView="90" zoomScalePageLayoutView="55" workbookViewId="0">
      <selection activeCell="C59" activeCellId="1" sqref="L63 C59"/>
    </sheetView>
  </sheetViews>
  <sheetFormatPr defaultColWidth="8.81640625" defaultRowHeight="14.5"/>
  <cols>
    <col min="1" max="1" width="6.7265625" style="8" bestFit="1" customWidth="1"/>
    <col min="2" max="2" width="8.81640625" customWidth="1"/>
    <col min="3" max="3" width="13" style="6" customWidth="1"/>
    <col min="4" max="4" width="13" customWidth="1"/>
    <col min="5" max="5" width="66.1796875" bestFit="1" customWidth="1"/>
    <col min="6" max="6" width="18.26953125" customWidth="1"/>
    <col min="7" max="7" width="7.7265625" customWidth="1"/>
    <col min="8" max="8" width="21.54296875" bestFit="1" customWidth="1"/>
    <col min="9" max="9" width="17.26953125" customWidth="1"/>
    <col min="10" max="10" width="21.7265625" bestFit="1" customWidth="1"/>
    <col min="11" max="11" width="10" customWidth="1"/>
    <col min="12" max="12" width="13" customWidth="1"/>
    <col min="13" max="14" width="16.7265625" customWidth="1"/>
    <col min="15" max="15" width="10.54296875" customWidth="1"/>
    <col min="16" max="16" width="11" customWidth="1"/>
    <col min="17" max="17" width="6.7265625" bestFit="1" customWidth="1"/>
    <col min="18" max="18" width="14.453125" customWidth="1"/>
  </cols>
  <sheetData>
    <row r="1" spans="1:17">
      <c r="B1" s="142" t="s">
        <v>1486</v>
      </c>
      <c r="P1" s="15" t="str">
        <f>CONCATENATE("Rate Year: ",'1-BaseTRR'!$F$1)</f>
        <v>Rate Year: 2024</v>
      </c>
    </row>
    <row r="2" spans="1:17">
      <c r="B2" s="142"/>
    </row>
    <row r="3" spans="1:17">
      <c r="B3" s="57" t="s">
        <v>1675</v>
      </c>
      <c r="C3" s="53"/>
      <c r="D3" s="57"/>
      <c r="E3" s="54"/>
      <c r="F3" s="54"/>
      <c r="G3" s="54"/>
      <c r="H3" s="54"/>
      <c r="I3" s="54"/>
      <c r="J3" s="54"/>
      <c r="K3" s="54"/>
      <c r="L3" s="54"/>
      <c r="M3" s="54"/>
      <c r="N3" s="54"/>
      <c r="O3" s="54"/>
      <c r="P3" s="54"/>
    </row>
    <row r="4" spans="1:17">
      <c r="B4" s="12"/>
      <c r="D4" s="12"/>
    </row>
    <row r="5" spans="1:17">
      <c r="B5" s="8"/>
      <c r="C5" s="8"/>
      <c r="D5" s="8"/>
      <c r="E5" s="30"/>
      <c r="F5" s="685" t="s">
        <v>98</v>
      </c>
      <c r="G5" s="685" t="s">
        <v>99</v>
      </c>
      <c r="H5" s="685" t="s">
        <v>100</v>
      </c>
      <c r="I5" s="685" t="s">
        <v>101</v>
      </c>
      <c r="J5" s="685" t="s">
        <v>102</v>
      </c>
      <c r="K5" s="685" t="s">
        <v>103</v>
      </c>
      <c r="L5" s="685" t="s">
        <v>104</v>
      </c>
      <c r="M5" s="685" t="s">
        <v>105</v>
      </c>
      <c r="N5" s="685" t="s">
        <v>106</v>
      </c>
      <c r="O5" s="685" t="s">
        <v>266</v>
      </c>
      <c r="P5" s="685" t="s">
        <v>267</v>
      </c>
      <c r="Q5" s="30"/>
    </row>
    <row r="6" spans="1:17" s="223" customFormat="1" ht="29">
      <c r="A6" s="690"/>
      <c r="B6" s="690"/>
      <c r="C6" s="162"/>
      <c r="D6" s="690"/>
      <c r="E6" s="162"/>
      <c r="F6" s="153" t="s">
        <v>1676</v>
      </c>
      <c r="G6" s="162"/>
      <c r="H6" s="162" t="s">
        <v>1677</v>
      </c>
      <c r="I6" s="153" t="s">
        <v>1678</v>
      </c>
      <c r="J6" s="162" t="s">
        <v>1679</v>
      </c>
      <c r="K6" s="162"/>
      <c r="L6" s="162"/>
      <c r="M6" s="162" t="s">
        <v>1680</v>
      </c>
      <c r="N6" s="162"/>
      <c r="O6" s="162"/>
      <c r="P6" s="162"/>
      <c r="Q6" s="162"/>
    </row>
    <row r="7" spans="1:17">
      <c r="B7" s="12"/>
      <c r="D7" s="12"/>
    </row>
    <row r="8" spans="1:17">
      <c r="F8" s="8" t="s">
        <v>545</v>
      </c>
      <c r="G8" s="824" t="s">
        <v>568</v>
      </c>
      <c r="H8" s="824"/>
      <c r="I8" s="8" t="s">
        <v>544</v>
      </c>
      <c r="J8" s="8" t="s">
        <v>567</v>
      </c>
      <c r="K8" s="686" t="s">
        <v>566</v>
      </c>
      <c r="L8" s="8" t="s">
        <v>565</v>
      </c>
      <c r="M8" s="825" t="s">
        <v>564</v>
      </c>
      <c r="N8" s="825"/>
    </row>
    <row r="9" spans="1:17">
      <c r="A9" s="13" t="s">
        <v>122</v>
      </c>
      <c r="B9" s="13" t="s">
        <v>1681</v>
      </c>
      <c r="C9" s="13" t="s">
        <v>323</v>
      </c>
      <c r="D9" s="13" t="s">
        <v>412</v>
      </c>
      <c r="E9" s="13" t="s">
        <v>541</v>
      </c>
      <c r="F9" s="243" t="s">
        <v>543</v>
      </c>
      <c r="G9" s="243" t="s">
        <v>563</v>
      </c>
      <c r="H9" s="682" t="s">
        <v>559</v>
      </c>
      <c r="I9" s="243" t="s">
        <v>542</v>
      </c>
      <c r="J9" s="243" t="s">
        <v>562</v>
      </c>
      <c r="K9" s="687" t="s">
        <v>561</v>
      </c>
      <c r="L9" s="243" t="s">
        <v>560</v>
      </c>
      <c r="M9" s="243" t="s">
        <v>559</v>
      </c>
      <c r="N9" s="243" t="s">
        <v>558</v>
      </c>
      <c r="O9" s="243" t="s">
        <v>557</v>
      </c>
      <c r="P9" s="243" t="s">
        <v>556</v>
      </c>
      <c r="Q9" s="13" t="str">
        <f t="shared" ref="Q9:Q19" si="0">A9</f>
        <v>Line</v>
      </c>
    </row>
    <row r="10" spans="1:17">
      <c r="A10" s="8">
        <v>100</v>
      </c>
      <c r="B10" t="str">
        <f t="shared" ref="B10:B19" si="1">IF(RIGHT(E10,4)="CPUC","ETC","ETP")</f>
        <v>ETP</v>
      </c>
      <c r="C10" s="6">
        <v>352.01</v>
      </c>
      <c r="D10" t="str">
        <f t="shared" ref="D10:D19" si="2">IF(LEN(C10)&gt;=6,"ETP"&amp;LEFT(C10,3)&amp;RIGHT(C10,2),"ETP"&amp;LEFT(C10,3)&amp;"00")</f>
        <v>ETP35201</v>
      </c>
      <c r="E10" t="s">
        <v>474</v>
      </c>
      <c r="F10" s="488">
        <f>'7-PlantInService'!F$24</f>
        <v>363199302.32501286</v>
      </c>
      <c r="G10" s="242">
        <v>-20</v>
      </c>
      <c r="H10" s="471">
        <f t="shared" ref="H10:H19" si="3">+F10*G10/100</f>
        <v>-72639860.465002581</v>
      </c>
      <c r="I10" s="488">
        <f>'10-AccDep'!F$26</f>
        <v>117568898.20387341</v>
      </c>
      <c r="J10" s="471">
        <f t="shared" ref="J10:J19" si="4">+F10-H10-I10</f>
        <v>318270264.58614206</v>
      </c>
      <c r="K10" s="6" t="s">
        <v>1665</v>
      </c>
      <c r="L10" s="235">
        <v>57.45</v>
      </c>
      <c r="M10" s="471">
        <f t="shared" ref="M10:M19" si="5">N10*F10</f>
        <v>5920148.6278977087</v>
      </c>
      <c r="N10" s="29">
        <v>1.6299999999999999E-2</v>
      </c>
      <c r="O10" s="29">
        <v>1.325E-2</v>
      </c>
      <c r="P10" s="29">
        <v>3.0500000000000002E-3</v>
      </c>
      <c r="Q10" s="8">
        <f t="shared" si="0"/>
        <v>100</v>
      </c>
    </row>
    <row r="11" spans="1:17">
      <c r="A11" s="8">
        <f t="shared" ref="A11:A19" si="6">+A10+1</f>
        <v>101</v>
      </c>
      <c r="B11" t="str">
        <f t="shared" si="1"/>
        <v>ETP</v>
      </c>
      <c r="C11" s="6">
        <v>352.02</v>
      </c>
      <c r="D11" t="str">
        <f t="shared" si="2"/>
        <v>ETP35202</v>
      </c>
      <c r="E11" t="s">
        <v>555</v>
      </c>
      <c r="F11" s="488">
        <f>'7-PlantInService'!G$24</f>
        <v>125371515.78386503</v>
      </c>
      <c r="G11" s="242">
        <v>-20</v>
      </c>
      <c r="H11" s="471">
        <f>+F11*G11/100</f>
        <v>-25074303.156773005</v>
      </c>
      <c r="I11" s="488">
        <f>'10-AccDep'!G$26</f>
        <v>21404561.380631234</v>
      </c>
      <c r="J11" s="471">
        <f t="shared" si="4"/>
        <v>129041257.5600068</v>
      </c>
      <c r="K11" s="6" t="s">
        <v>1665</v>
      </c>
      <c r="L11" s="235">
        <v>63.8</v>
      </c>
      <c r="M11" s="471">
        <f t="shared" si="5"/>
        <v>2148867.7805354465</v>
      </c>
      <c r="N11" s="29">
        <v>1.7139999999999999E-2</v>
      </c>
      <c r="O11" s="29">
        <v>1.414E-2</v>
      </c>
      <c r="P11" s="29">
        <v>3.0000000000000001E-3</v>
      </c>
      <c r="Q11" s="8">
        <f t="shared" si="0"/>
        <v>101</v>
      </c>
    </row>
    <row r="12" spans="1:17">
      <c r="A12" s="8">
        <f t="shared" si="6"/>
        <v>102</v>
      </c>
      <c r="B12" t="str">
        <f t="shared" si="1"/>
        <v>ETP</v>
      </c>
      <c r="C12" s="6">
        <v>353.01</v>
      </c>
      <c r="D12" t="str">
        <f t="shared" si="2"/>
        <v>ETP35301</v>
      </c>
      <c r="E12" t="s">
        <v>554</v>
      </c>
      <c r="F12" s="488">
        <f>'7-PlantInService'!H$24</f>
        <v>7706774272.0488892</v>
      </c>
      <c r="G12" s="242">
        <v>-60</v>
      </c>
      <c r="H12" s="471">
        <f t="shared" si="3"/>
        <v>-4624064563.2293339</v>
      </c>
      <c r="I12" s="488">
        <f>'10-AccDep'!H$26</f>
        <v>1911313358.9848199</v>
      </c>
      <c r="J12" s="471">
        <f t="shared" si="4"/>
        <v>10419525476.293404</v>
      </c>
      <c r="K12" s="6" t="s">
        <v>1666</v>
      </c>
      <c r="L12" s="235">
        <v>37.869999999999997</v>
      </c>
      <c r="M12" s="471">
        <f t="shared" si="5"/>
        <v>241299102.45785069</v>
      </c>
      <c r="N12" s="29">
        <v>3.1309999999999998E-2</v>
      </c>
      <c r="O12" s="29">
        <v>2.128E-2</v>
      </c>
      <c r="P12" s="29">
        <v>1.0030000000000001E-2</v>
      </c>
      <c r="Q12" s="8">
        <f t="shared" si="0"/>
        <v>102</v>
      </c>
    </row>
    <row r="13" spans="1:17">
      <c r="A13" s="8">
        <f t="shared" si="6"/>
        <v>103</v>
      </c>
      <c r="B13" t="str">
        <f t="shared" si="1"/>
        <v>ETP</v>
      </c>
      <c r="C13" s="6">
        <v>353.02</v>
      </c>
      <c r="D13" t="str">
        <f t="shared" si="2"/>
        <v>ETP35302</v>
      </c>
      <c r="E13" t="s">
        <v>553</v>
      </c>
      <c r="F13" s="488">
        <f>'7-PlantInService'!I$24</f>
        <v>35989561.586312369</v>
      </c>
      <c r="G13" s="242">
        <v>-5</v>
      </c>
      <c r="H13" s="471">
        <f t="shared" si="3"/>
        <v>-1799478.0793156184</v>
      </c>
      <c r="I13" s="488">
        <f>'10-AccDep'!I$26</f>
        <v>17062249.820212372</v>
      </c>
      <c r="J13" s="471">
        <f t="shared" si="4"/>
        <v>20726789.845415615</v>
      </c>
      <c r="K13" s="6" t="s">
        <v>1667</v>
      </c>
      <c r="L13" s="235">
        <v>34.299999999999997</v>
      </c>
      <c r="M13" s="471">
        <f t="shared" si="5"/>
        <v>597786.6179486484</v>
      </c>
      <c r="N13" s="29">
        <v>1.661E-2</v>
      </c>
      <c r="O13" s="29">
        <v>1.5440000000000001E-2</v>
      </c>
      <c r="P13" s="29">
        <v>1.17E-3</v>
      </c>
      <c r="Q13" s="8">
        <f t="shared" si="0"/>
        <v>103</v>
      </c>
    </row>
    <row r="14" spans="1:17">
      <c r="A14" s="8">
        <f t="shared" si="6"/>
        <v>104</v>
      </c>
      <c r="B14" t="str">
        <f t="shared" si="1"/>
        <v>ETP</v>
      </c>
      <c r="C14" s="6">
        <v>354</v>
      </c>
      <c r="D14" t="str">
        <f t="shared" si="2"/>
        <v>ETP35400</v>
      </c>
      <c r="E14" t="s">
        <v>552</v>
      </c>
      <c r="F14" s="488">
        <f>'7-PlantInService'!J$24</f>
        <v>1062242405.8880787</v>
      </c>
      <c r="G14" s="242">
        <v>-100</v>
      </c>
      <c r="H14" s="471">
        <f t="shared" si="3"/>
        <v>-1062242405.8880786</v>
      </c>
      <c r="I14" s="488">
        <f>'10-AccDep'!J$26</f>
        <v>355281587.71733022</v>
      </c>
      <c r="J14" s="471">
        <f>+F14-H14-I14</f>
        <v>1769203224.0588272</v>
      </c>
      <c r="K14" s="6" t="s">
        <v>1668</v>
      </c>
      <c r="L14" s="235">
        <v>57.03</v>
      </c>
      <c r="M14" s="471">
        <f>N14*F14</f>
        <v>24420952.911366928</v>
      </c>
      <c r="N14" s="29">
        <v>2.299E-2</v>
      </c>
      <c r="O14" s="29">
        <v>1.188E-2</v>
      </c>
      <c r="P14" s="29">
        <v>1.111E-2</v>
      </c>
      <c r="Q14" s="8">
        <f t="shared" si="0"/>
        <v>104</v>
      </c>
    </row>
    <row r="15" spans="1:17">
      <c r="A15" s="8">
        <f t="shared" si="6"/>
        <v>105</v>
      </c>
      <c r="B15" t="str">
        <f t="shared" si="1"/>
        <v>ETP</v>
      </c>
      <c r="C15" s="6">
        <v>355</v>
      </c>
      <c r="D15" t="str">
        <f t="shared" si="2"/>
        <v>ETP35500</v>
      </c>
      <c r="E15" t="s">
        <v>551</v>
      </c>
      <c r="F15" s="488">
        <f>'7-PlantInService'!K$24</f>
        <v>2381845833.3490334</v>
      </c>
      <c r="G15" s="242">
        <v>-80</v>
      </c>
      <c r="H15" s="471">
        <f t="shared" si="3"/>
        <v>-1905476666.6792266</v>
      </c>
      <c r="I15" s="488">
        <f>'10-AccDep'!K$26</f>
        <v>461317046.56149071</v>
      </c>
      <c r="J15" s="471">
        <f t="shared" si="4"/>
        <v>3826005453.4667697</v>
      </c>
      <c r="K15" s="6" t="s">
        <v>1669</v>
      </c>
      <c r="L15" s="235">
        <v>46.49</v>
      </c>
      <c r="M15" s="471">
        <f t="shared" si="5"/>
        <v>75171054.500495493</v>
      </c>
      <c r="N15" s="29">
        <v>3.1559999999999998E-2</v>
      </c>
      <c r="O15" s="29">
        <v>1.7139999999999999E-2</v>
      </c>
      <c r="P15" s="29">
        <v>1.4420000000000001E-2</v>
      </c>
      <c r="Q15" s="8">
        <f t="shared" si="0"/>
        <v>105</v>
      </c>
    </row>
    <row r="16" spans="1:17">
      <c r="A16" s="8">
        <f t="shared" si="6"/>
        <v>106</v>
      </c>
      <c r="B16" t="str">
        <f t="shared" si="1"/>
        <v>ETP</v>
      </c>
      <c r="C16" s="6">
        <v>356</v>
      </c>
      <c r="D16" t="str">
        <f t="shared" si="2"/>
        <v>ETP35600</v>
      </c>
      <c r="E16" t="s">
        <v>550</v>
      </c>
      <c r="F16" s="488">
        <f>'7-PlantInService'!L$24</f>
        <v>2686127973.6737804</v>
      </c>
      <c r="G16" s="242">
        <v>-110</v>
      </c>
      <c r="H16" s="471">
        <f>+F16*G16/100</f>
        <v>-2954740771.0411587</v>
      </c>
      <c r="I16" s="488">
        <f>'10-AccDep'!L$26</f>
        <v>492520870.19000018</v>
      </c>
      <c r="J16" s="471">
        <f t="shared" si="4"/>
        <v>5148347874.5249386</v>
      </c>
      <c r="K16" s="6" t="s">
        <v>1670</v>
      </c>
      <c r="L16" s="235">
        <v>51.91</v>
      </c>
      <c r="M16" s="471">
        <f t="shared" si="5"/>
        <v>73170126.002873778</v>
      </c>
      <c r="N16" s="29">
        <v>2.724E-2</v>
      </c>
      <c r="O16" s="29">
        <v>1.3610000000000001E-2</v>
      </c>
      <c r="P16" s="29">
        <v>1.363E-2</v>
      </c>
      <c r="Q16" s="8">
        <f t="shared" si="0"/>
        <v>106</v>
      </c>
    </row>
    <row r="17" spans="1:17">
      <c r="A17" s="8">
        <f t="shared" si="6"/>
        <v>107</v>
      </c>
      <c r="B17" t="str">
        <f t="shared" si="1"/>
        <v>ETP</v>
      </c>
      <c r="C17" s="6">
        <v>357</v>
      </c>
      <c r="D17" t="str">
        <f t="shared" si="2"/>
        <v>ETP35700</v>
      </c>
      <c r="E17" t="s">
        <v>549</v>
      </c>
      <c r="F17" s="488">
        <f>'7-PlantInService'!M$24</f>
        <v>523695481.2628119</v>
      </c>
      <c r="G17" s="242">
        <v>0</v>
      </c>
      <c r="H17" s="471">
        <f t="shared" si="3"/>
        <v>0</v>
      </c>
      <c r="I17" s="488">
        <f>'10-AccDep'!M$26</f>
        <v>118165189.37856817</v>
      </c>
      <c r="J17" s="471">
        <f t="shared" si="4"/>
        <v>405530291.88424373</v>
      </c>
      <c r="K17" s="6" t="s">
        <v>1671</v>
      </c>
      <c r="L17" s="235">
        <v>54.8</v>
      </c>
      <c r="M17" s="471">
        <f t="shared" si="5"/>
        <v>8007303.9085083939</v>
      </c>
      <c r="N17" s="29">
        <v>1.529E-2</v>
      </c>
      <c r="O17" s="29">
        <v>1.524E-2</v>
      </c>
      <c r="P17" s="29">
        <v>5.0000000000000002E-5</v>
      </c>
      <c r="Q17" s="8">
        <f t="shared" si="0"/>
        <v>107</v>
      </c>
    </row>
    <row r="18" spans="1:17">
      <c r="A18" s="8">
        <f t="shared" si="6"/>
        <v>108</v>
      </c>
      <c r="B18" t="str">
        <f t="shared" si="1"/>
        <v>ETP</v>
      </c>
      <c r="C18" s="6">
        <v>358</v>
      </c>
      <c r="D18" t="str">
        <f t="shared" si="2"/>
        <v>ETP35800</v>
      </c>
      <c r="E18" t="s">
        <v>548</v>
      </c>
      <c r="F18" s="488">
        <f>'7-PlantInService'!N$24</f>
        <v>281894975.36176646</v>
      </c>
      <c r="G18" s="242">
        <v>-10</v>
      </c>
      <c r="H18" s="471">
        <f t="shared" si="3"/>
        <v>-28189497.536176644</v>
      </c>
      <c r="I18" s="488">
        <f>'10-AccDep'!N$26</f>
        <v>86487992.5917968</v>
      </c>
      <c r="J18" s="471">
        <f t="shared" si="4"/>
        <v>223596480.30614626</v>
      </c>
      <c r="K18" s="6" t="s">
        <v>1672</v>
      </c>
      <c r="L18" s="235">
        <v>43.69</v>
      </c>
      <c r="M18" s="471">
        <f t="shared" si="5"/>
        <v>5609710.0096991528</v>
      </c>
      <c r="N18" s="29">
        <v>1.9900000000000001E-2</v>
      </c>
      <c r="O18" s="29">
        <v>1.7639999999999999E-2</v>
      </c>
      <c r="P18" s="29">
        <v>2.2599999999999999E-3</v>
      </c>
      <c r="Q18" s="8">
        <f t="shared" si="0"/>
        <v>108</v>
      </c>
    </row>
    <row r="19" spans="1:17">
      <c r="A19" s="8">
        <f t="shared" si="6"/>
        <v>109</v>
      </c>
      <c r="B19" t="str">
        <f t="shared" si="1"/>
        <v>ETP</v>
      </c>
      <c r="C19" s="6">
        <v>359</v>
      </c>
      <c r="D19" t="str">
        <f t="shared" si="2"/>
        <v>ETP35900</v>
      </c>
      <c r="E19" t="s">
        <v>547</v>
      </c>
      <c r="F19" s="684">
        <f>'7-PlantInService'!O$24</f>
        <v>186139561.6063633</v>
      </c>
      <c r="G19" s="688">
        <v>-10</v>
      </c>
      <c r="H19" s="470">
        <f t="shared" si="3"/>
        <v>-18613956.160636328</v>
      </c>
      <c r="I19" s="684">
        <f>'10-AccDep'!O$26</f>
        <v>13340697.811998196</v>
      </c>
      <c r="J19" s="470">
        <f t="shared" si="4"/>
        <v>191412819.95500144</v>
      </c>
      <c r="K19" s="683" t="s">
        <v>1673</v>
      </c>
      <c r="L19" s="689">
        <v>52.76</v>
      </c>
      <c r="M19" s="470">
        <f t="shared" si="5"/>
        <v>3465918.6371104848</v>
      </c>
      <c r="N19" s="411">
        <v>1.8620000000000001E-2</v>
      </c>
      <c r="O19" s="411">
        <v>1.6459999999999999E-2</v>
      </c>
      <c r="P19" s="411">
        <v>2.16E-3</v>
      </c>
      <c r="Q19" s="8">
        <f t="shared" si="0"/>
        <v>109</v>
      </c>
    </row>
    <row r="20" spans="1:17">
      <c r="F20" s="484"/>
      <c r="G20" s="242"/>
      <c r="H20" s="489"/>
      <c r="I20" s="484"/>
      <c r="J20" s="489"/>
      <c r="L20" s="240"/>
      <c r="M20" s="489"/>
      <c r="N20" s="240"/>
    </row>
    <row r="21" spans="1:17">
      <c r="A21" s="8">
        <f>+A19+1</f>
        <v>110</v>
      </c>
      <c r="C21" s="14" t="s">
        <v>546</v>
      </c>
      <c r="D21" s="12"/>
      <c r="F21" s="487">
        <f>SUM(F10:F19)</f>
        <v>15353280882.885914</v>
      </c>
      <c r="G21" s="157"/>
      <c r="H21" s="487">
        <f>SUM(H10:H19)</f>
        <v>-10692841502.235703</v>
      </c>
      <c r="I21" s="487">
        <f>SUM(I10:I19)</f>
        <v>3594462452.6407208</v>
      </c>
      <c r="J21" s="487">
        <f>SUM(J10:J19)</f>
        <v>22451659932.480892</v>
      </c>
      <c r="K21" s="157"/>
      <c r="L21" s="157"/>
      <c r="M21" s="487">
        <f>SUM(M10:M19)</f>
        <v>439810971.45428675</v>
      </c>
      <c r="N21" s="239">
        <f>+M21/F21</f>
        <v>2.864605779110951E-2</v>
      </c>
      <c r="O21" s="28">
        <v>1.83E-2</v>
      </c>
      <c r="P21" s="28">
        <f>N21-O21</f>
        <v>1.034605779110951E-2</v>
      </c>
      <c r="Q21" s="8">
        <f>A21</f>
        <v>110</v>
      </c>
    </row>
    <row r="22" spans="1:17">
      <c r="C22" s="14"/>
      <c r="D22" s="12"/>
      <c r="F22" s="238"/>
      <c r="H22" s="237"/>
      <c r="I22" s="238"/>
      <c r="J22" s="237"/>
      <c r="L22" s="236"/>
      <c r="M22" s="237"/>
      <c r="O22" s="120" t="s">
        <v>414</v>
      </c>
      <c r="Q22" s="8"/>
    </row>
    <row r="24" spans="1:17">
      <c r="B24" s="57" t="s">
        <v>1674</v>
      </c>
      <c r="C24" s="53"/>
      <c r="D24" s="54"/>
      <c r="E24" s="54"/>
      <c r="F24" s="54"/>
      <c r="G24" s="54"/>
      <c r="H24" s="54"/>
      <c r="I24" s="54"/>
      <c r="J24" s="54"/>
      <c r="K24" s="54"/>
      <c r="L24" s="54"/>
      <c r="M24" s="54"/>
      <c r="N24" s="54"/>
      <c r="O24" s="54"/>
      <c r="P24" s="54"/>
    </row>
    <row r="26" spans="1:17">
      <c r="D26" s="8"/>
      <c r="F26" s="8" t="s">
        <v>1682</v>
      </c>
    </row>
    <row r="27" spans="1:17">
      <c r="A27" s="13" t="s">
        <v>122</v>
      </c>
      <c r="B27" s="13" t="s">
        <v>1681</v>
      </c>
      <c r="C27" s="13" t="s">
        <v>323</v>
      </c>
      <c r="D27" s="13" t="s">
        <v>412</v>
      </c>
      <c r="E27" s="13" t="s">
        <v>541</v>
      </c>
      <c r="F27" s="168" t="s">
        <v>1683</v>
      </c>
      <c r="Q27" s="13" t="str">
        <f t="shared" ref="Q27:Q74" si="7">A27</f>
        <v>Line</v>
      </c>
    </row>
    <row r="28" spans="1:17">
      <c r="A28" s="8">
        <v>200</v>
      </c>
      <c r="D28" t="s">
        <v>540</v>
      </c>
      <c r="E28" t="s">
        <v>539</v>
      </c>
      <c r="F28" s="235">
        <v>0</v>
      </c>
      <c r="Q28" s="8">
        <f t="shared" si="7"/>
        <v>200</v>
      </c>
    </row>
    <row r="29" spans="1:17">
      <c r="A29" s="8">
        <f t="shared" ref="A29:A76" si="8">A28+1</f>
        <v>201</v>
      </c>
      <c r="D29" t="s">
        <v>538</v>
      </c>
      <c r="E29" t="s">
        <v>537</v>
      </c>
      <c r="F29" s="235">
        <v>0</v>
      </c>
      <c r="Q29" s="8">
        <f t="shared" si="7"/>
        <v>201</v>
      </c>
    </row>
    <row r="30" spans="1:17">
      <c r="A30" s="8">
        <f t="shared" si="8"/>
        <v>202</v>
      </c>
      <c r="D30" t="s">
        <v>1849</v>
      </c>
      <c r="E30" t="s">
        <v>1850</v>
      </c>
      <c r="F30" s="235">
        <v>3.39</v>
      </c>
      <c r="Q30" s="8">
        <f t="shared" si="7"/>
        <v>202</v>
      </c>
    </row>
    <row r="31" spans="1:17">
      <c r="A31" s="8">
        <f t="shared" si="8"/>
        <v>203</v>
      </c>
      <c r="D31" t="s">
        <v>536</v>
      </c>
      <c r="E31" t="s">
        <v>535</v>
      </c>
      <c r="F31" s="235">
        <v>17.36</v>
      </c>
      <c r="Q31" s="8">
        <f t="shared" si="7"/>
        <v>203</v>
      </c>
    </row>
    <row r="32" spans="1:17">
      <c r="A32" s="8">
        <f t="shared" si="8"/>
        <v>204</v>
      </c>
      <c r="D32" t="s">
        <v>534</v>
      </c>
      <c r="E32" t="s">
        <v>533</v>
      </c>
      <c r="F32" s="235">
        <v>9.01</v>
      </c>
      <c r="Q32" s="8">
        <f t="shared" si="7"/>
        <v>204</v>
      </c>
    </row>
    <row r="33" spans="1:17">
      <c r="A33" s="8">
        <f t="shared" si="8"/>
        <v>205</v>
      </c>
      <c r="D33" t="s">
        <v>532</v>
      </c>
      <c r="E33" t="s">
        <v>531</v>
      </c>
      <c r="F33" s="235">
        <v>0</v>
      </c>
      <c r="Q33" s="8">
        <f t="shared" si="7"/>
        <v>205</v>
      </c>
    </row>
    <row r="34" spans="1:17">
      <c r="A34" s="8">
        <f t="shared" si="8"/>
        <v>206</v>
      </c>
      <c r="D34" t="s">
        <v>530</v>
      </c>
      <c r="E34" t="s">
        <v>476</v>
      </c>
      <c r="F34" s="235">
        <v>2.58</v>
      </c>
      <c r="Q34" s="8">
        <f t="shared" si="7"/>
        <v>206</v>
      </c>
    </row>
    <row r="35" spans="1:17">
      <c r="A35" s="8">
        <f t="shared" si="8"/>
        <v>207</v>
      </c>
      <c r="D35" t="s">
        <v>529</v>
      </c>
      <c r="E35" t="s">
        <v>474</v>
      </c>
      <c r="F35" s="235">
        <v>1.97</v>
      </c>
      <c r="Q35" s="8">
        <f t="shared" si="7"/>
        <v>207</v>
      </c>
    </row>
    <row r="36" spans="1:17">
      <c r="A36" s="8">
        <f t="shared" si="8"/>
        <v>208</v>
      </c>
      <c r="D36" t="s">
        <v>1851</v>
      </c>
      <c r="E36" t="s">
        <v>1852</v>
      </c>
      <c r="F36" s="235">
        <v>20</v>
      </c>
      <c r="Q36" s="8">
        <f t="shared" si="7"/>
        <v>208</v>
      </c>
    </row>
    <row r="37" spans="1:17">
      <c r="A37" s="8">
        <f t="shared" si="8"/>
        <v>209</v>
      </c>
      <c r="D37" t="s">
        <v>528</v>
      </c>
      <c r="E37" t="s">
        <v>527</v>
      </c>
      <c r="F37" s="235">
        <v>27.31</v>
      </c>
      <c r="Q37" s="8">
        <f t="shared" si="7"/>
        <v>209</v>
      </c>
    </row>
    <row r="38" spans="1:17">
      <c r="A38" s="8">
        <f t="shared" si="8"/>
        <v>210</v>
      </c>
      <c r="D38" t="s">
        <v>526</v>
      </c>
      <c r="E38" t="s">
        <v>525</v>
      </c>
      <c r="F38" s="235">
        <v>14.17</v>
      </c>
      <c r="Q38" s="8">
        <f t="shared" si="7"/>
        <v>210</v>
      </c>
    </row>
    <row r="39" spans="1:17">
      <c r="A39" s="8">
        <f t="shared" si="8"/>
        <v>211</v>
      </c>
      <c r="D39" t="s">
        <v>524</v>
      </c>
      <c r="E39" t="s">
        <v>472</v>
      </c>
      <c r="F39" s="235">
        <v>7.5</v>
      </c>
      <c r="Q39" s="8">
        <f t="shared" si="7"/>
        <v>211</v>
      </c>
    </row>
    <row r="40" spans="1:17">
      <c r="A40" s="8">
        <f t="shared" si="8"/>
        <v>212</v>
      </c>
      <c r="D40" t="s">
        <v>523</v>
      </c>
      <c r="E40" t="s">
        <v>522</v>
      </c>
      <c r="F40" s="235">
        <v>27.31</v>
      </c>
      <c r="Q40" s="8">
        <f t="shared" si="7"/>
        <v>212</v>
      </c>
    </row>
    <row r="41" spans="1:17">
      <c r="A41" s="8">
        <f t="shared" si="8"/>
        <v>213</v>
      </c>
      <c r="D41" t="s">
        <v>521</v>
      </c>
      <c r="E41" t="s">
        <v>520</v>
      </c>
      <c r="F41" s="235">
        <v>1.36</v>
      </c>
      <c r="Q41" s="8">
        <f t="shared" si="7"/>
        <v>213</v>
      </c>
    </row>
    <row r="42" spans="1:17">
      <c r="A42" s="8">
        <f t="shared" si="8"/>
        <v>214</v>
      </c>
      <c r="D42" t="s">
        <v>519</v>
      </c>
      <c r="E42" t="s">
        <v>518</v>
      </c>
      <c r="F42" s="235">
        <v>13.48</v>
      </c>
      <c r="Q42" s="8">
        <f t="shared" si="7"/>
        <v>214</v>
      </c>
    </row>
    <row r="43" spans="1:17">
      <c r="A43" s="8">
        <f t="shared" si="8"/>
        <v>215</v>
      </c>
      <c r="D43" t="s">
        <v>517</v>
      </c>
      <c r="E43" t="s">
        <v>516</v>
      </c>
      <c r="F43" s="235">
        <v>9.92</v>
      </c>
      <c r="Q43" s="8">
        <f t="shared" si="7"/>
        <v>215</v>
      </c>
    </row>
    <row r="44" spans="1:17">
      <c r="A44" s="8">
        <f t="shared" si="8"/>
        <v>216</v>
      </c>
      <c r="D44" t="s">
        <v>515</v>
      </c>
      <c r="E44" t="s">
        <v>514</v>
      </c>
      <c r="F44" s="235">
        <v>10.130000000000001</v>
      </c>
      <c r="Q44" s="8">
        <f t="shared" si="7"/>
        <v>216</v>
      </c>
    </row>
    <row r="45" spans="1:17">
      <c r="A45" s="8">
        <f t="shared" si="8"/>
        <v>217</v>
      </c>
      <c r="D45" t="s">
        <v>513</v>
      </c>
      <c r="E45" t="s">
        <v>512</v>
      </c>
      <c r="F45" s="235">
        <v>10.11</v>
      </c>
      <c r="Q45" s="8">
        <f t="shared" si="7"/>
        <v>217</v>
      </c>
    </row>
    <row r="46" spans="1:17">
      <c r="A46" s="8">
        <f t="shared" si="8"/>
        <v>218</v>
      </c>
      <c r="D46" t="s">
        <v>511</v>
      </c>
      <c r="E46" t="s">
        <v>510</v>
      </c>
      <c r="F46" s="235">
        <v>9.1</v>
      </c>
      <c r="Q46" s="8">
        <f t="shared" si="7"/>
        <v>218</v>
      </c>
    </row>
    <row r="47" spans="1:17">
      <c r="A47" s="8">
        <f t="shared" si="8"/>
        <v>219</v>
      </c>
      <c r="D47" t="s">
        <v>509</v>
      </c>
      <c r="E47" t="s">
        <v>508</v>
      </c>
      <c r="F47" s="235">
        <v>6.8199999999999994</v>
      </c>
      <c r="Q47" s="8">
        <f t="shared" si="7"/>
        <v>219</v>
      </c>
    </row>
    <row r="48" spans="1:17">
      <c r="A48" s="8">
        <f t="shared" si="8"/>
        <v>220</v>
      </c>
      <c r="D48" t="s">
        <v>507</v>
      </c>
      <c r="E48" t="s">
        <v>506</v>
      </c>
      <c r="F48" s="235">
        <v>4.1500000000000004</v>
      </c>
      <c r="Q48" s="8">
        <f t="shared" si="7"/>
        <v>220</v>
      </c>
    </row>
    <row r="49" spans="1:17">
      <c r="A49" s="8">
        <f t="shared" si="8"/>
        <v>221</v>
      </c>
      <c r="D49" t="s">
        <v>505</v>
      </c>
      <c r="E49" t="s">
        <v>504</v>
      </c>
      <c r="F49" s="235">
        <v>3.07</v>
      </c>
      <c r="Q49" s="8">
        <f t="shared" si="7"/>
        <v>221</v>
      </c>
    </row>
    <row r="50" spans="1:17">
      <c r="A50" s="8">
        <f t="shared" si="8"/>
        <v>222</v>
      </c>
      <c r="D50" t="s">
        <v>503</v>
      </c>
      <c r="E50" t="s">
        <v>502</v>
      </c>
      <c r="F50" s="235">
        <v>6.25</v>
      </c>
      <c r="Q50" s="8">
        <f t="shared" si="7"/>
        <v>222</v>
      </c>
    </row>
    <row r="51" spans="1:17">
      <c r="A51" s="8">
        <f t="shared" si="8"/>
        <v>223</v>
      </c>
      <c r="D51" t="s">
        <v>501</v>
      </c>
      <c r="E51" t="s">
        <v>500</v>
      </c>
      <c r="F51" s="235">
        <v>3.34</v>
      </c>
      <c r="Q51" s="8">
        <f t="shared" si="7"/>
        <v>223</v>
      </c>
    </row>
    <row r="52" spans="1:17">
      <c r="A52" s="8">
        <f t="shared" si="8"/>
        <v>224</v>
      </c>
      <c r="D52" t="s">
        <v>499</v>
      </c>
      <c r="E52" t="s">
        <v>468</v>
      </c>
      <c r="F52" s="235">
        <v>7.77</v>
      </c>
      <c r="Q52" s="8">
        <f t="shared" si="7"/>
        <v>224</v>
      </c>
    </row>
    <row r="53" spans="1:17">
      <c r="A53" s="8">
        <f t="shared" si="8"/>
        <v>225</v>
      </c>
      <c r="D53" t="s">
        <v>498</v>
      </c>
      <c r="E53" t="s">
        <v>466</v>
      </c>
      <c r="F53" s="235">
        <v>6.45</v>
      </c>
      <c r="Q53" s="8">
        <f t="shared" si="7"/>
        <v>225</v>
      </c>
    </row>
    <row r="54" spans="1:17">
      <c r="A54" s="8">
        <f t="shared" si="8"/>
        <v>226</v>
      </c>
      <c r="D54" t="s">
        <v>497</v>
      </c>
      <c r="E54" t="s">
        <v>496</v>
      </c>
      <c r="F54" s="235">
        <v>14.45</v>
      </c>
      <c r="Q54" s="8">
        <f t="shared" si="7"/>
        <v>226</v>
      </c>
    </row>
    <row r="55" spans="1:17">
      <c r="A55" s="8">
        <f t="shared" si="8"/>
        <v>227</v>
      </c>
      <c r="D55" t="s">
        <v>495</v>
      </c>
      <c r="E55" t="s">
        <v>494</v>
      </c>
      <c r="F55" s="235">
        <v>20.47</v>
      </c>
      <c r="Q55" s="8">
        <f t="shared" si="7"/>
        <v>227</v>
      </c>
    </row>
    <row r="56" spans="1:17">
      <c r="A56" s="8">
        <f t="shared" si="8"/>
        <v>228</v>
      </c>
      <c r="D56" t="s">
        <v>493</v>
      </c>
      <c r="E56" t="s">
        <v>492</v>
      </c>
      <c r="F56" s="235">
        <v>15.25</v>
      </c>
      <c r="Q56" s="8">
        <f t="shared" si="7"/>
        <v>228</v>
      </c>
    </row>
    <row r="57" spans="1:17">
      <c r="A57" s="8">
        <f t="shared" si="8"/>
        <v>229</v>
      </c>
      <c r="D57" t="s">
        <v>491</v>
      </c>
      <c r="E57" t="s">
        <v>490</v>
      </c>
      <c r="F57" s="235">
        <v>14.61</v>
      </c>
      <c r="Q57" s="8">
        <f t="shared" si="7"/>
        <v>229</v>
      </c>
    </row>
    <row r="58" spans="1:17">
      <c r="A58" s="8">
        <f t="shared" si="8"/>
        <v>230</v>
      </c>
      <c r="D58" t="s">
        <v>489</v>
      </c>
      <c r="E58" t="s">
        <v>488</v>
      </c>
      <c r="F58" s="235">
        <v>4.79</v>
      </c>
      <c r="Q58" s="8">
        <f t="shared" si="7"/>
        <v>230</v>
      </c>
    </row>
    <row r="59" spans="1:17">
      <c r="A59" s="8">
        <f t="shared" si="8"/>
        <v>231</v>
      </c>
      <c r="D59" t="s">
        <v>487</v>
      </c>
      <c r="E59" t="s">
        <v>486</v>
      </c>
      <c r="F59" s="235">
        <v>5.14</v>
      </c>
      <c r="Q59" s="8">
        <f t="shared" si="7"/>
        <v>231</v>
      </c>
    </row>
    <row r="60" spans="1:17">
      <c r="A60" s="8">
        <f t="shared" si="8"/>
        <v>232</v>
      </c>
      <c r="D60" t="s">
        <v>485</v>
      </c>
      <c r="E60" t="s">
        <v>484</v>
      </c>
      <c r="F60" s="235">
        <v>0.83</v>
      </c>
      <c r="Q60" s="8">
        <f t="shared" si="7"/>
        <v>232</v>
      </c>
    </row>
    <row r="61" spans="1:17">
      <c r="A61" s="8">
        <f t="shared" si="8"/>
        <v>233</v>
      </c>
      <c r="D61" t="s">
        <v>483</v>
      </c>
      <c r="E61" t="s">
        <v>462</v>
      </c>
      <c r="F61" s="235">
        <v>4.87</v>
      </c>
      <c r="Q61" s="8">
        <f t="shared" si="7"/>
        <v>233</v>
      </c>
    </row>
    <row r="62" spans="1:17">
      <c r="A62" s="8">
        <f t="shared" si="8"/>
        <v>234</v>
      </c>
      <c r="D62" t="s">
        <v>482</v>
      </c>
      <c r="E62" t="s">
        <v>460</v>
      </c>
      <c r="F62" s="235">
        <v>5.36</v>
      </c>
      <c r="Q62" s="8">
        <f t="shared" si="7"/>
        <v>234</v>
      </c>
    </row>
    <row r="63" spans="1:17">
      <c r="A63" s="8">
        <f t="shared" si="8"/>
        <v>235</v>
      </c>
      <c r="D63" t="s">
        <v>481</v>
      </c>
      <c r="E63" t="s">
        <v>480</v>
      </c>
      <c r="F63" s="235">
        <v>0.21</v>
      </c>
      <c r="Q63" s="8">
        <f t="shared" si="7"/>
        <v>235</v>
      </c>
    </row>
    <row r="64" spans="1:17">
      <c r="A64" s="8">
        <f t="shared" si="8"/>
        <v>236</v>
      </c>
      <c r="D64" t="s">
        <v>479</v>
      </c>
      <c r="E64" t="s">
        <v>478</v>
      </c>
      <c r="F64" s="235">
        <v>0</v>
      </c>
      <c r="Q64" s="8">
        <f t="shared" si="7"/>
        <v>236</v>
      </c>
    </row>
    <row r="65" spans="1:17">
      <c r="A65" s="8">
        <f t="shared" si="8"/>
        <v>237</v>
      </c>
      <c r="D65" t="s">
        <v>477</v>
      </c>
      <c r="E65" t="s">
        <v>476</v>
      </c>
      <c r="F65" s="235">
        <v>2.99</v>
      </c>
      <c r="Q65" s="8">
        <f t="shared" si="7"/>
        <v>237</v>
      </c>
    </row>
    <row r="66" spans="1:17">
      <c r="A66" s="8">
        <f t="shared" si="8"/>
        <v>238</v>
      </c>
      <c r="D66" t="s">
        <v>475</v>
      </c>
      <c r="E66" t="s">
        <v>474</v>
      </c>
      <c r="F66" s="235">
        <v>1.58</v>
      </c>
      <c r="Q66" s="8">
        <f t="shared" si="7"/>
        <v>238</v>
      </c>
    </row>
    <row r="67" spans="1:17">
      <c r="A67" s="8">
        <f t="shared" si="8"/>
        <v>239</v>
      </c>
      <c r="D67" t="s">
        <v>473</v>
      </c>
      <c r="E67" t="s">
        <v>472</v>
      </c>
      <c r="F67" s="235">
        <v>5.93</v>
      </c>
      <c r="Q67" s="8">
        <f t="shared" si="7"/>
        <v>239</v>
      </c>
    </row>
    <row r="68" spans="1:17">
      <c r="A68" s="8">
        <f t="shared" si="8"/>
        <v>240</v>
      </c>
      <c r="D68" t="s">
        <v>471</v>
      </c>
      <c r="E68" t="s">
        <v>470</v>
      </c>
      <c r="F68" s="235">
        <v>3.94</v>
      </c>
      <c r="Q68" s="8">
        <f t="shared" si="7"/>
        <v>240</v>
      </c>
    </row>
    <row r="69" spans="1:17">
      <c r="A69" s="8">
        <f t="shared" si="8"/>
        <v>241</v>
      </c>
      <c r="D69" t="s">
        <v>469</v>
      </c>
      <c r="E69" t="s">
        <v>468</v>
      </c>
      <c r="F69" s="235">
        <v>4.74</v>
      </c>
      <c r="Q69" s="8">
        <f t="shared" si="7"/>
        <v>241</v>
      </c>
    </row>
    <row r="70" spans="1:17">
      <c r="A70" s="8">
        <f t="shared" si="8"/>
        <v>242</v>
      </c>
      <c r="D70" t="s">
        <v>467</v>
      </c>
      <c r="E70" t="s">
        <v>466</v>
      </c>
      <c r="F70" s="235">
        <v>7.89</v>
      </c>
      <c r="Q70" s="8">
        <f t="shared" si="7"/>
        <v>242</v>
      </c>
    </row>
    <row r="71" spans="1:17">
      <c r="A71" s="8">
        <f t="shared" si="8"/>
        <v>243</v>
      </c>
      <c r="D71" t="s">
        <v>465</v>
      </c>
      <c r="E71" t="s">
        <v>464</v>
      </c>
      <c r="F71" s="235">
        <v>6.92</v>
      </c>
      <c r="Q71" s="8">
        <f t="shared" si="7"/>
        <v>243</v>
      </c>
    </row>
    <row r="72" spans="1:17">
      <c r="A72" s="8">
        <f t="shared" si="8"/>
        <v>244</v>
      </c>
      <c r="D72" t="s">
        <v>463</v>
      </c>
      <c r="E72" t="s">
        <v>462</v>
      </c>
      <c r="F72" s="235">
        <v>4.96</v>
      </c>
      <c r="Q72" s="8">
        <f t="shared" si="7"/>
        <v>244</v>
      </c>
    </row>
    <row r="73" spans="1:17">
      <c r="A73" s="8">
        <f t="shared" si="8"/>
        <v>245</v>
      </c>
      <c r="D73" t="s">
        <v>461</v>
      </c>
      <c r="E73" t="s">
        <v>460</v>
      </c>
      <c r="F73" s="235">
        <v>6.8499999999999988</v>
      </c>
      <c r="Q73" s="8">
        <f t="shared" si="7"/>
        <v>245</v>
      </c>
    </row>
    <row r="74" spans="1:17">
      <c r="A74" s="8">
        <f t="shared" si="8"/>
        <v>246</v>
      </c>
      <c r="D74" t="s">
        <v>459</v>
      </c>
      <c r="E74" t="s">
        <v>458</v>
      </c>
      <c r="F74" s="235">
        <v>2.4</v>
      </c>
      <c r="Q74" s="8">
        <f t="shared" si="7"/>
        <v>246</v>
      </c>
    </row>
    <row r="75" spans="1:17">
      <c r="A75" s="8">
        <f t="shared" si="8"/>
        <v>247</v>
      </c>
      <c r="D75" t="s">
        <v>457</v>
      </c>
      <c r="E75" t="s">
        <v>456</v>
      </c>
      <c r="F75" s="235">
        <v>0</v>
      </c>
      <c r="Q75" s="8"/>
    </row>
    <row r="76" spans="1:17">
      <c r="A76" s="8">
        <f t="shared" si="8"/>
        <v>248</v>
      </c>
      <c r="D76" t="s">
        <v>455</v>
      </c>
      <c r="E76" t="s">
        <v>454</v>
      </c>
      <c r="F76" s="235">
        <v>20.420000000000002</v>
      </c>
      <c r="Q76" s="8"/>
    </row>
    <row r="78" spans="1:17">
      <c r="B78" s="357" t="s">
        <v>125</v>
      </c>
      <c r="C78"/>
    </row>
    <row r="79" spans="1:17">
      <c r="B79" s="6" t="s">
        <v>1602</v>
      </c>
      <c r="C79"/>
    </row>
    <row r="80" spans="1:17">
      <c r="B80" s="17" t="s">
        <v>1719</v>
      </c>
      <c r="C80" s="17"/>
      <c r="D80" s="17"/>
      <c r="E80" s="17"/>
      <c r="F80" s="17"/>
      <c r="G80" s="17"/>
      <c r="H80" s="17"/>
      <c r="I80" s="17"/>
      <c r="J80" s="17"/>
      <c r="K80" s="17"/>
      <c r="L80" s="17"/>
      <c r="M80" s="17"/>
      <c r="N80" s="17"/>
      <c r="O80" s="17"/>
      <c r="P80" s="17"/>
    </row>
    <row r="81" spans="2:16" ht="15" customHeight="1">
      <c r="B81" s="17" t="s">
        <v>1603</v>
      </c>
      <c r="C81" s="17"/>
      <c r="D81" s="17"/>
      <c r="E81" s="17"/>
      <c r="F81" s="17"/>
      <c r="G81" s="17"/>
      <c r="H81" s="17"/>
      <c r="I81" s="17"/>
      <c r="J81" s="17"/>
      <c r="K81" s="17"/>
      <c r="L81" s="17"/>
      <c r="M81" s="17"/>
      <c r="N81" s="17"/>
      <c r="O81" s="17"/>
      <c r="P81" s="17"/>
    </row>
    <row r="82" spans="2:16">
      <c r="B82" s="17" t="s">
        <v>1853</v>
      </c>
      <c r="C82" s="17"/>
      <c r="D82" s="17"/>
      <c r="E82" s="17"/>
      <c r="F82" s="17"/>
      <c r="G82" s="17"/>
      <c r="H82" s="17"/>
      <c r="I82" s="17"/>
      <c r="J82" s="17"/>
      <c r="K82" s="17"/>
      <c r="L82" s="17"/>
      <c r="M82" s="17"/>
      <c r="N82" s="17"/>
      <c r="O82" s="17"/>
      <c r="P82" s="17"/>
    </row>
  </sheetData>
  <mergeCells count="2">
    <mergeCell ref="G8:H8"/>
    <mergeCell ref="M8:N8"/>
  </mergeCells>
  <printOptions horizontalCentered="1"/>
  <pageMargins left="1" right="1" top="1" bottom="1" header="0.5" footer="0.5"/>
  <pageSetup scale="41"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74"/>
  <sheetViews>
    <sheetView tabSelected="1" view="pageBreakPreview" topLeftCell="D41" zoomScaleNormal="85" zoomScaleSheetLayoutView="100" zoomScalePageLayoutView="55" workbookViewId="0">
      <selection activeCell="C59" activeCellId="1" sqref="L63 C59"/>
    </sheetView>
  </sheetViews>
  <sheetFormatPr defaultColWidth="9.1796875" defaultRowHeight="14.5"/>
  <cols>
    <col min="1" max="1" width="5.453125" customWidth="1"/>
    <col min="2" max="2" width="27.453125" customWidth="1"/>
    <col min="3" max="3" width="18.81640625" customWidth="1"/>
    <col min="4" max="4" width="25.54296875" customWidth="1"/>
    <col min="5" max="5" width="19.26953125" customWidth="1"/>
    <col min="6" max="6" width="20" customWidth="1"/>
    <col min="7" max="7" width="20.453125" customWidth="1"/>
    <col min="8" max="9" width="17.81640625" customWidth="1"/>
    <col min="10" max="10" width="8.1796875" customWidth="1"/>
    <col min="11" max="11" width="4.54296875" bestFit="1" customWidth="1"/>
    <col min="12" max="14" width="12.7265625" customWidth="1"/>
    <col min="15" max="15" width="2.453125" customWidth="1"/>
    <col min="16" max="18" width="12.7265625" customWidth="1"/>
  </cols>
  <sheetData>
    <row r="1" spans="1:12">
      <c r="B1" s="142" t="s">
        <v>569</v>
      </c>
      <c r="I1" s="15" t="str">
        <f>CONCATENATE("Prior Year: ",'1-BaseTRR'!$F$2)</f>
        <v>Prior Year: 2022</v>
      </c>
    </row>
    <row r="2" spans="1:12">
      <c r="B2" s="117" t="s">
        <v>193</v>
      </c>
      <c r="C2" s="49"/>
      <c r="I2" s="15"/>
    </row>
    <row r="4" spans="1:12">
      <c r="B4" s="118" t="s">
        <v>570</v>
      </c>
      <c r="C4" s="54"/>
      <c r="D4" s="54"/>
      <c r="E4" s="54"/>
      <c r="F4" s="54"/>
      <c r="G4" s="54"/>
      <c r="H4" s="54"/>
      <c r="I4" s="54"/>
    </row>
    <row r="5" spans="1:12">
      <c r="B5" s="17" t="s">
        <v>571</v>
      </c>
      <c r="D5" s="244"/>
      <c r="E5" s="245"/>
    </row>
    <row r="6" spans="1:12">
      <c r="D6" s="244"/>
      <c r="E6" s="245"/>
    </row>
    <row r="7" spans="1:12">
      <c r="D7" s="122" t="s">
        <v>98</v>
      </c>
      <c r="E7" s="122" t="s">
        <v>99</v>
      </c>
      <c r="F7" s="122" t="s">
        <v>100</v>
      </c>
      <c r="G7" s="122" t="s">
        <v>101</v>
      </c>
      <c r="H7" s="122"/>
    </row>
    <row r="8" spans="1:12" ht="29">
      <c r="B8" s="246"/>
      <c r="C8" s="153"/>
      <c r="D8" s="196" t="s">
        <v>123</v>
      </c>
      <c r="E8" s="247" t="s">
        <v>124</v>
      </c>
      <c r="F8" s="246" t="s">
        <v>1071</v>
      </c>
      <c r="G8" s="246" t="s">
        <v>1072</v>
      </c>
    </row>
    <row r="9" spans="1:12">
      <c r="D9" s="248"/>
      <c r="E9" s="245"/>
      <c r="F9" s="249"/>
      <c r="G9" s="249"/>
    </row>
    <row r="10" spans="1:12">
      <c r="D10" s="250" t="s">
        <v>572</v>
      </c>
      <c r="E10" s="250" t="s">
        <v>354</v>
      </c>
      <c r="F10" s="249"/>
      <c r="G10" s="249"/>
    </row>
    <row r="11" spans="1:12">
      <c r="B11" s="251"/>
      <c r="C11" s="252"/>
      <c r="D11" s="250" t="s">
        <v>573</v>
      </c>
      <c r="E11" s="250" t="s">
        <v>368</v>
      </c>
      <c r="F11" s="250" t="s">
        <v>380</v>
      </c>
      <c r="G11" s="250" t="s">
        <v>381</v>
      </c>
    </row>
    <row r="12" spans="1:12">
      <c r="A12" s="253" t="s">
        <v>574</v>
      </c>
      <c r="B12" s="254" t="s">
        <v>81</v>
      </c>
      <c r="C12" s="254" t="s">
        <v>109</v>
      </c>
      <c r="D12" s="254" t="s">
        <v>575</v>
      </c>
      <c r="E12" s="254" t="s">
        <v>576</v>
      </c>
      <c r="F12" s="254" t="s">
        <v>428</v>
      </c>
      <c r="G12" s="254" t="s">
        <v>428</v>
      </c>
      <c r="J12" s="253" t="str">
        <f t="shared" ref="J12:J26" si="0">A12</f>
        <v xml:space="preserve">Line </v>
      </c>
    </row>
    <row r="13" spans="1:12">
      <c r="A13" s="131">
        <v>100</v>
      </c>
      <c r="B13" s="252" t="s">
        <v>111</v>
      </c>
      <c r="C13" s="255">
        <f>'1-BaseTRR'!$F$2-1</f>
        <v>2021</v>
      </c>
      <c r="D13" s="491">
        <v>552298301.95000005</v>
      </c>
      <c r="E13" s="491">
        <v>90974457</v>
      </c>
      <c r="F13" s="492">
        <f>+E13*'24-Allocators'!$C$43</f>
        <v>31176410.413270708</v>
      </c>
      <c r="G13" s="492">
        <f>+E13*'24-Allocators'!$C$44</f>
        <v>59798046.586729288</v>
      </c>
      <c r="I13" s="33"/>
      <c r="J13" s="131">
        <f t="shared" si="0"/>
        <v>100</v>
      </c>
      <c r="L13" s="33"/>
    </row>
    <row r="14" spans="1:12">
      <c r="A14" s="131">
        <f t="shared" ref="A14:A26" si="1">A13+1</f>
        <v>101</v>
      </c>
      <c r="B14" s="252" t="s">
        <v>112</v>
      </c>
      <c r="C14" s="255">
        <f>'1-BaseTRR'!$F$2</f>
        <v>2022</v>
      </c>
      <c r="D14" s="352">
        <v>564783471.21000004</v>
      </c>
      <c r="E14" s="352">
        <v>91924105.826703519</v>
      </c>
      <c r="F14" s="492">
        <f>+E14*'24-Allocators'!$C$43</f>
        <v>31501849.471068986</v>
      </c>
      <c r="G14" s="492">
        <f>+E14*'24-Allocators'!$C$44</f>
        <v>60422256.355634533</v>
      </c>
      <c r="I14" s="33"/>
      <c r="J14" s="131">
        <f t="shared" si="0"/>
        <v>101</v>
      </c>
      <c r="L14" s="33"/>
    </row>
    <row r="15" spans="1:12">
      <c r="A15" s="131">
        <f t="shared" si="1"/>
        <v>102</v>
      </c>
      <c r="B15" s="252" t="s">
        <v>113</v>
      </c>
      <c r="C15" s="255">
        <f>'1-BaseTRR'!$F$2</f>
        <v>2022</v>
      </c>
      <c r="D15" s="352">
        <v>574682220.38</v>
      </c>
      <c r="E15" s="352">
        <v>91973233.488113105</v>
      </c>
      <c r="F15" s="492">
        <f>+E15*'24-Allocators'!$C$43</f>
        <v>31518685.231185142</v>
      </c>
      <c r="G15" s="492">
        <f>+E15*'24-Allocators'!$C$44</f>
        <v>60454548.256927967</v>
      </c>
      <c r="I15" s="33"/>
      <c r="J15" s="131">
        <f t="shared" si="0"/>
        <v>102</v>
      </c>
      <c r="L15" s="33"/>
    </row>
    <row r="16" spans="1:12">
      <c r="A16" s="131">
        <f t="shared" si="1"/>
        <v>103</v>
      </c>
      <c r="B16" s="252" t="s">
        <v>114</v>
      </c>
      <c r="C16" s="255">
        <f>'1-BaseTRR'!$F$2</f>
        <v>2022</v>
      </c>
      <c r="D16" s="352">
        <v>588948416.83000004</v>
      </c>
      <c r="E16" s="352">
        <v>91947227.717747748</v>
      </c>
      <c r="F16" s="492">
        <f>+E16*'24-Allocators'!$C$43</f>
        <v>31509773.206900965</v>
      </c>
      <c r="G16" s="492">
        <f>+E16*'24-Allocators'!$C$44</f>
        <v>60437454.510846779</v>
      </c>
      <c r="I16" s="33"/>
      <c r="J16" s="131">
        <f t="shared" si="0"/>
        <v>103</v>
      </c>
      <c r="L16" s="33"/>
    </row>
    <row r="17" spans="1:12">
      <c r="A17" s="131">
        <f t="shared" si="1"/>
        <v>104</v>
      </c>
      <c r="B17" s="252" t="s">
        <v>115</v>
      </c>
      <c r="C17" s="255">
        <f>'1-BaseTRR'!$F$2</f>
        <v>2022</v>
      </c>
      <c r="D17" s="352">
        <v>604137329.42999995</v>
      </c>
      <c r="E17" s="352">
        <v>92350284.12729232</v>
      </c>
      <c r="F17" s="492">
        <f>+E17*'24-Allocators'!$C$43</f>
        <v>31647898.263735995</v>
      </c>
      <c r="G17" s="492">
        <f>+E17*'24-Allocators'!$C$44</f>
        <v>60702385.863556325</v>
      </c>
      <c r="I17" s="33"/>
      <c r="J17" s="131">
        <f t="shared" si="0"/>
        <v>104</v>
      </c>
      <c r="L17" s="33"/>
    </row>
    <row r="18" spans="1:12">
      <c r="A18" s="131">
        <f t="shared" si="1"/>
        <v>105</v>
      </c>
      <c r="B18" s="252" t="s">
        <v>89</v>
      </c>
      <c r="C18" s="255">
        <f>'1-BaseTRR'!$F$2</f>
        <v>2022</v>
      </c>
      <c r="D18" s="352">
        <v>615409861.60000002</v>
      </c>
      <c r="E18" s="352">
        <v>89109405.309533373</v>
      </c>
      <c r="F18" s="492">
        <f>+E18*'24-Allocators'!$C$43</f>
        <v>30537268.187404476</v>
      </c>
      <c r="G18" s="492">
        <f>+E18*'24-Allocators'!$C$44</f>
        <v>58572137.122128896</v>
      </c>
      <c r="I18" s="33"/>
      <c r="J18" s="131">
        <f t="shared" si="0"/>
        <v>105</v>
      </c>
      <c r="L18" s="33"/>
    </row>
    <row r="19" spans="1:12">
      <c r="A19" s="131">
        <f t="shared" si="1"/>
        <v>106</v>
      </c>
      <c r="B19" s="252" t="s">
        <v>272</v>
      </c>
      <c r="C19" s="255">
        <f>'1-BaseTRR'!$F$2</f>
        <v>2022</v>
      </c>
      <c r="D19" s="352">
        <v>614743669.75</v>
      </c>
      <c r="E19" s="352">
        <v>88120388.332757458</v>
      </c>
      <c r="F19" s="492">
        <f>+E19*'24-Allocators'!$C$43</f>
        <v>30198337.896524496</v>
      </c>
      <c r="G19" s="492">
        <f>+E19*'24-Allocators'!$C$44</f>
        <v>57922050.436232962</v>
      </c>
      <c r="I19" s="33"/>
      <c r="J19" s="131">
        <f t="shared" si="0"/>
        <v>106</v>
      </c>
      <c r="L19" s="33"/>
    </row>
    <row r="20" spans="1:12">
      <c r="A20" s="131">
        <f t="shared" si="1"/>
        <v>107</v>
      </c>
      <c r="B20" s="252" t="s">
        <v>117</v>
      </c>
      <c r="C20" s="255">
        <f>'1-BaseTRR'!$F$2</f>
        <v>2022</v>
      </c>
      <c r="D20" s="352">
        <v>626365737.22000003</v>
      </c>
      <c r="E20" s="352">
        <v>90877743.007042557</v>
      </c>
      <c r="F20" s="492">
        <f>+E20*'24-Allocators'!$C$43</f>
        <v>31143267.097700853</v>
      </c>
      <c r="G20" s="492">
        <f>+E20*'24-Allocators'!$C$44</f>
        <v>59734475.909341708</v>
      </c>
      <c r="I20" s="33"/>
      <c r="J20" s="131">
        <f t="shared" si="0"/>
        <v>107</v>
      </c>
      <c r="L20" s="33"/>
    </row>
    <row r="21" spans="1:12">
      <c r="A21" s="131">
        <f t="shared" si="1"/>
        <v>108</v>
      </c>
      <c r="B21" s="252" t="s">
        <v>118</v>
      </c>
      <c r="C21" s="255">
        <f>'1-BaseTRR'!$F$2</f>
        <v>2022</v>
      </c>
      <c r="D21" s="352">
        <v>654666817.51999998</v>
      </c>
      <c r="E21" s="352">
        <v>96836444.267532155</v>
      </c>
      <c r="F21" s="492">
        <f>+E21*'24-Allocators'!$C$43</f>
        <v>33185278.912369855</v>
      </c>
      <c r="G21" s="492">
        <f>+E21*'24-Allocators'!$C$44</f>
        <v>63651165.3551623</v>
      </c>
      <c r="I21" s="33"/>
      <c r="J21" s="131">
        <f t="shared" si="0"/>
        <v>108</v>
      </c>
      <c r="L21" s="33"/>
    </row>
    <row r="22" spans="1:12">
      <c r="A22" s="131">
        <f t="shared" si="1"/>
        <v>109</v>
      </c>
      <c r="B22" s="252"/>
      <c r="C22" s="255">
        <f>'1-BaseTRR'!$F$2</f>
        <v>2022</v>
      </c>
      <c r="D22" s="352">
        <v>666037933.67999995</v>
      </c>
      <c r="E22" s="352">
        <v>95538068.619820923</v>
      </c>
      <c r="F22" s="492">
        <f>+E22*'24-Allocators'!$C$43</f>
        <v>32740333.22763066</v>
      </c>
      <c r="G22" s="492">
        <f>+E22*'24-Allocators'!$C$44</f>
        <v>62797735.392190263</v>
      </c>
      <c r="I22" s="33"/>
      <c r="J22" s="131">
        <f t="shared" si="0"/>
        <v>109</v>
      </c>
      <c r="L22" s="33"/>
    </row>
    <row r="23" spans="1:12">
      <c r="A23" s="131">
        <f t="shared" si="1"/>
        <v>110</v>
      </c>
      <c r="B23" s="252" t="s">
        <v>120</v>
      </c>
      <c r="C23" s="255">
        <f>'1-BaseTRR'!$F$2</f>
        <v>2022</v>
      </c>
      <c r="D23" s="352">
        <v>682317106.79999995</v>
      </c>
      <c r="E23" s="352">
        <v>97328713.598736972</v>
      </c>
      <c r="F23" s="492">
        <f>+E23*'24-Allocators'!$C$43</f>
        <v>33353976.711835783</v>
      </c>
      <c r="G23" s="492">
        <f>+E23*'24-Allocators'!$C$44</f>
        <v>63974736.886901192</v>
      </c>
      <c r="I23" s="33"/>
      <c r="J23" s="131">
        <f t="shared" si="0"/>
        <v>110</v>
      </c>
      <c r="L23" s="33"/>
    </row>
    <row r="24" spans="1:12">
      <c r="A24" s="131">
        <f t="shared" si="1"/>
        <v>111</v>
      </c>
      <c r="B24" s="252" t="s">
        <v>121</v>
      </c>
      <c r="C24" s="255">
        <f>'1-BaseTRR'!$F$2</f>
        <v>2022</v>
      </c>
      <c r="D24" s="352">
        <v>720967137.90999997</v>
      </c>
      <c r="E24" s="444">
        <v>103100374.97713721</v>
      </c>
      <c r="F24" s="492">
        <f>+E24*'24-Allocators'!$C$43</f>
        <v>35331891.060908839</v>
      </c>
      <c r="G24" s="492">
        <f>+E24*'24-Allocators'!$C$44</f>
        <v>67768483.916228369</v>
      </c>
      <c r="I24" s="33"/>
      <c r="J24" s="131">
        <f t="shared" si="0"/>
        <v>111</v>
      </c>
      <c r="L24" s="33"/>
    </row>
    <row r="25" spans="1:12">
      <c r="A25" s="131">
        <f t="shared" si="1"/>
        <v>112</v>
      </c>
      <c r="B25" s="256" t="s">
        <v>111</v>
      </c>
      <c r="C25" s="257">
        <f>'1-BaseTRR'!$F$2</f>
        <v>2022</v>
      </c>
      <c r="D25" s="786">
        <v>751427248.86000001</v>
      </c>
      <c r="E25" s="493">
        <v>107423252.17511886</v>
      </c>
      <c r="F25" s="494">
        <f>+E25*'24-Allocators'!$C$43</f>
        <v>36813315.60725645</v>
      </c>
      <c r="G25" s="494">
        <f>+E25*'24-Allocators'!$C$44</f>
        <v>70609936.567862406</v>
      </c>
      <c r="I25" s="33"/>
      <c r="J25" s="131">
        <f t="shared" si="0"/>
        <v>112</v>
      </c>
      <c r="L25" s="33"/>
    </row>
    <row r="26" spans="1:12">
      <c r="A26" s="131">
        <f t="shared" si="1"/>
        <v>113</v>
      </c>
      <c r="B26" s="258" t="s">
        <v>355</v>
      </c>
      <c r="C26" s="258"/>
      <c r="D26" s="353">
        <f>SUM(D13:D25)/13</f>
        <v>632060404.08769226</v>
      </c>
      <c r="E26" s="548">
        <f t="shared" ref="E26:G26" si="2">SUM(E13:E25)/13</f>
        <v>94423361.419041246</v>
      </c>
      <c r="F26" s="548">
        <f t="shared" si="2"/>
        <v>32358329.63752256</v>
      </c>
      <c r="G26" s="548">
        <f t="shared" si="2"/>
        <v>62065031.78151869</v>
      </c>
      <c r="J26" s="131">
        <f t="shared" si="0"/>
        <v>113</v>
      </c>
    </row>
    <row r="27" spans="1:12">
      <c r="C27" s="17"/>
    </row>
    <row r="28" spans="1:12">
      <c r="C28" s="17"/>
    </row>
    <row r="29" spans="1:12">
      <c r="B29" s="118"/>
      <c r="C29" s="54"/>
      <c r="D29" s="54"/>
      <c r="E29" s="54"/>
      <c r="F29" s="54"/>
      <c r="G29" s="54"/>
      <c r="H29" s="54"/>
      <c r="I29" s="54"/>
    </row>
    <row r="30" spans="1:12" ht="15" customHeight="1">
      <c r="B30" s="826" t="s">
        <v>1662</v>
      </c>
      <c r="C30" s="826"/>
      <c r="D30" s="826"/>
      <c r="E30" s="826"/>
      <c r="F30" s="826"/>
      <c r="G30" s="826"/>
      <c r="H30" s="826"/>
      <c r="I30" s="826"/>
      <c r="J30" s="259"/>
    </row>
    <row r="31" spans="1:12">
      <c r="B31" s="826"/>
      <c r="C31" s="826"/>
      <c r="D31" s="826"/>
      <c r="E31" s="826"/>
      <c r="F31" s="826"/>
      <c r="G31" s="826"/>
      <c r="H31" s="826"/>
      <c r="I31" s="826"/>
      <c r="J31" s="259"/>
    </row>
    <row r="32" spans="1:12">
      <c r="B32" s="259"/>
      <c r="C32" s="259"/>
      <c r="D32" s="259"/>
      <c r="E32" s="259"/>
      <c r="F32" s="259"/>
      <c r="G32" s="827"/>
      <c r="H32" s="827"/>
      <c r="I32" s="827"/>
    </row>
    <row r="33" spans="1:18">
      <c r="B33" s="122" t="s">
        <v>98</v>
      </c>
      <c r="C33" s="122" t="s">
        <v>99</v>
      </c>
      <c r="D33" s="122" t="s">
        <v>100</v>
      </c>
      <c r="E33" s="122" t="s">
        <v>101</v>
      </c>
      <c r="F33" s="122" t="s">
        <v>102</v>
      </c>
      <c r="G33" s="122" t="s">
        <v>103</v>
      </c>
      <c r="H33" s="122" t="s">
        <v>104</v>
      </c>
      <c r="I33" s="122" t="s">
        <v>105</v>
      </c>
      <c r="J33" s="122"/>
    </row>
    <row r="34" spans="1:18">
      <c r="B34" s="140" t="s">
        <v>580</v>
      </c>
      <c r="C34" s="122"/>
      <c r="D34" s="260" t="s">
        <v>2033</v>
      </c>
      <c r="E34" s="140" t="s">
        <v>166</v>
      </c>
      <c r="F34" s="140" t="s">
        <v>581</v>
      </c>
      <c r="G34" s="140" t="s">
        <v>214</v>
      </c>
      <c r="H34" s="140" t="s">
        <v>215</v>
      </c>
      <c r="I34" s="140" t="s">
        <v>168</v>
      </c>
    </row>
    <row r="35" spans="1:18" ht="15" customHeight="1">
      <c r="E35" s="261" t="s">
        <v>582</v>
      </c>
      <c r="G35" s="828" t="s">
        <v>583</v>
      </c>
      <c r="H35" s="828"/>
      <c r="I35" s="828"/>
    </row>
    <row r="36" spans="1:18" ht="27.75" customHeight="1">
      <c r="A36" s="253" t="s">
        <v>122</v>
      </c>
      <c r="B36" s="253" t="s">
        <v>81</v>
      </c>
      <c r="C36" s="253" t="s">
        <v>109</v>
      </c>
      <c r="D36" s="253" t="s">
        <v>1702</v>
      </c>
      <c r="E36" s="253" t="s">
        <v>584</v>
      </c>
      <c r="F36" s="253" t="s">
        <v>585</v>
      </c>
      <c r="G36" s="253" t="s">
        <v>586</v>
      </c>
      <c r="H36" s="253" t="s">
        <v>587</v>
      </c>
      <c r="I36" s="253" t="s">
        <v>588</v>
      </c>
      <c r="J36" s="262" t="str">
        <f t="shared" ref="J36:J49" si="3">A36</f>
        <v>Line</v>
      </c>
    </row>
    <row r="37" spans="1:18">
      <c r="A37" s="131">
        <v>200</v>
      </c>
      <c r="B37" s="252" t="s">
        <v>111</v>
      </c>
      <c r="C37" s="255">
        <f>'1-BaseTRR'!$F$2-1</f>
        <v>2021</v>
      </c>
      <c r="D37" s="352">
        <v>520256194.68000007</v>
      </c>
      <c r="E37" s="352">
        <v>36907971.290000007</v>
      </c>
      <c r="F37" s="33">
        <f t="shared" ref="F37:F49" si="4">+D37-E37</f>
        <v>483348223.39000005</v>
      </c>
      <c r="G37" s="570">
        <v>5341192.0999999996</v>
      </c>
      <c r="H37" s="570">
        <v>329276041.40999997</v>
      </c>
      <c r="I37" s="570">
        <v>148730989.88</v>
      </c>
      <c r="J37" s="131">
        <f t="shared" si="3"/>
        <v>200</v>
      </c>
      <c r="L37" s="263"/>
      <c r="M37" s="263"/>
      <c r="N37" s="263"/>
      <c r="O37" s="263"/>
      <c r="P37" s="264"/>
      <c r="Q37" s="265"/>
      <c r="R37" s="265"/>
    </row>
    <row r="38" spans="1:18">
      <c r="A38" s="131">
        <f t="shared" ref="A38:A49" si="5">A37+1</f>
        <v>201</v>
      </c>
      <c r="B38" s="252" t="s">
        <v>112</v>
      </c>
      <c r="C38" s="255">
        <f>'1-BaseTRR'!$F$2</f>
        <v>2022</v>
      </c>
      <c r="D38" s="352">
        <v>503762533.92999995</v>
      </c>
      <c r="E38" s="352">
        <v>38798087.750000007</v>
      </c>
      <c r="F38" s="33">
        <f t="shared" si="4"/>
        <v>464964446.17999995</v>
      </c>
      <c r="G38" s="570">
        <v>2786956.73</v>
      </c>
      <c r="H38" s="570">
        <v>275211805.38</v>
      </c>
      <c r="I38" s="570">
        <v>186965684.06999999</v>
      </c>
      <c r="J38" s="131">
        <f t="shared" si="3"/>
        <v>201</v>
      </c>
      <c r="L38" s="263"/>
      <c r="M38" s="263"/>
      <c r="N38" s="263"/>
      <c r="O38" s="263"/>
      <c r="P38" s="264"/>
      <c r="Q38" s="265"/>
      <c r="R38" s="265"/>
    </row>
    <row r="39" spans="1:18">
      <c r="A39" s="131">
        <f t="shared" si="5"/>
        <v>202</v>
      </c>
      <c r="B39" s="252" t="s">
        <v>113</v>
      </c>
      <c r="C39" s="255">
        <f>'1-BaseTRR'!$F$2</f>
        <v>2022</v>
      </c>
      <c r="D39" s="352">
        <v>423722926.08000004</v>
      </c>
      <c r="E39" s="352">
        <v>13382736.170000006</v>
      </c>
      <c r="F39" s="33">
        <f t="shared" si="4"/>
        <v>410340189.91000003</v>
      </c>
      <c r="G39" s="570">
        <v>573395.49</v>
      </c>
      <c r="H39" s="570">
        <v>221147569.35000002</v>
      </c>
      <c r="I39" s="570">
        <v>188619225.07000002</v>
      </c>
      <c r="J39" s="131">
        <f t="shared" si="3"/>
        <v>202</v>
      </c>
      <c r="L39" s="263"/>
      <c r="M39" s="263"/>
      <c r="N39" s="263"/>
      <c r="O39" s="263"/>
      <c r="P39" s="264"/>
      <c r="Q39" s="265"/>
      <c r="R39" s="265"/>
    </row>
    <row r="40" spans="1:18">
      <c r="A40" s="131">
        <f t="shared" si="5"/>
        <v>203</v>
      </c>
      <c r="B40" s="252" t="s">
        <v>114</v>
      </c>
      <c r="C40" s="255">
        <f>'1-BaseTRR'!$F$2</f>
        <v>2022</v>
      </c>
      <c r="D40" s="352">
        <v>370427559.17999995</v>
      </c>
      <c r="E40" s="352">
        <v>5552604.5500000054</v>
      </c>
      <c r="F40" s="33">
        <f t="shared" si="4"/>
        <v>364874954.62999994</v>
      </c>
      <c r="G40" s="570">
        <v>22333895.199999999</v>
      </c>
      <c r="H40" s="570">
        <v>167083333.31999999</v>
      </c>
      <c r="I40" s="570">
        <v>175457726.10999998</v>
      </c>
      <c r="J40" s="131">
        <f t="shared" si="3"/>
        <v>203</v>
      </c>
      <c r="L40" s="263"/>
      <c r="M40" s="263"/>
      <c r="N40" s="263"/>
      <c r="O40" s="263"/>
      <c r="P40" s="264"/>
      <c r="Q40" s="265"/>
      <c r="R40" s="265"/>
    </row>
    <row r="41" spans="1:18">
      <c r="A41" s="131">
        <f t="shared" si="5"/>
        <v>204</v>
      </c>
      <c r="B41" s="252" t="s">
        <v>115</v>
      </c>
      <c r="C41" s="255">
        <f>'1-BaseTRR'!$F$2</f>
        <v>2022</v>
      </c>
      <c r="D41" s="352">
        <v>801359203.52999997</v>
      </c>
      <c r="E41" s="352">
        <v>5299740.7500000056</v>
      </c>
      <c r="F41" s="33">
        <f t="shared" si="4"/>
        <v>796059462.77999997</v>
      </c>
      <c r="G41" s="570">
        <v>26738852.169999998</v>
      </c>
      <c r="H41" s="570">
        <v>489152894.16000003</v>
      </c>
      <c r="I41" s="570">
        <v>280167716.44999999</v>
      </c>
      <c r="J41" s="131">
        <f t="shared" si="3"/>
        <v>204</v>
      </c>
      <c r="L41" s="263"/>
      <c r="M41" s="263"/>
      <c r="N41" s="263"/>
      <c r="O41" s="263"/>
      <c r="P41" s="264"/>
      <c r="Q41" s="265"/>
      <c r="R41" s="265"/>
    </row>
    <row r="42" spans="1:18">
      <c r="A42" s="131">
        <f t="shared" si="5"/>
        <v>205</v>
      </c>
      <c r="B42" s="252" t="s">
        <v>89</v>
      </c>
      <c r="C42" s="255">
        <f>'1-BaseTRR'!$F$2</f>
        <v>2022</v>
      </c>
      <c r="D42" s="352">
        <v>671198935.00999987</v>
      </c>
      <c r="E42" s="352">
        <v>5046876.9500000058</v>
      </c>
      <c r="F42" s="33">
        <f t="shared" si="4"/>
        <v>666152058.05999982</v>
      </c>
      <c r="G42" s="570">
        <v>26679849.780000001</v>
      </c>
      <c r="H42" s="570">
        <v>413909530.95999992</v>
      </c>
      <c r="I42" s="570">
        <v>225562677.31999996</v>
      </c>
      <c r="J42" s="131">
        <f t="shared" si="3"/>
        <v>205</v>
      </c>
      <c r="L42" s="263"/>
      <c r="M42" s="263"/>
      <c r="N42" s="263"/>
      <c r="O42" s="263"/>
      <c r="P42" s="264"/>
      <c r="Q42" s="265"/>
      <c r="R42" s="265"/>
    </row>
    <row r="43" spans="1:18">
      <c r="A43" s="131">
        <f t="shared" si="5"/>
        <v>206</v>
      </c>
      <c r="B43" s="252" t="s">
        <v>272</v>
      </c>
      <c r="C43" s="255">
        <f>'1-BaseTRR'!$F$2</f>
        <v>2022</v>
      </c>
      <c r="D43" s="352">
        <v>559367164.83999991</v>
      </c>
      <c r="E43" s="352">
        <v>6571160.4900000058</v>
      </c>
      <c r="F43" s="33">
        <f t="shared" si="4"/>
        <v>552796004.3499999</v>
      </c>
      <c r="G43" s="570">
        <v>23791903.09</v>
      </c>
      <c r="H43" s="570">
        <v>339101911.19999999</v>
      </c>
      <c r="I43" s="570">
        <v>189902190.06</v>
      </c>
      <c r="J43" s="131">
        <f t="shared" si="3"/>
        <v>206</v>
      </c>
      <c r="L43" s="263"/>
      <c r="M43" s="263"/>
      <c r="N43" s="263"/>
      <c r="O43" s="263"/>
      <c r="P43" s="264"/>
      <c r="Q43" s="265"/>
      <c r="R43" s="265"/>
    </row>
    <row r="44" spans="1:18">
      <c r="A44" s="131">
        <f t="shared" si="5"/>
        <v>207</v>
      </c>
      <c r="B44" s="252" t="s">
        <v>117</v>
      </c>
      <c r="C44" s="255">
        <f>'1-BaseTRR'!$F$2</f>
        <v>2022</v>
      </c>
      <c r="D44" s="352">
        <v>1010206675.9399998</v>
      </c>
      <c r="E44" s="352">
        <v>6318296.6900000051</v>
      </c>
      <c r="F44" s="33">
        <f t="shared" si="4"/>
        <v>1003888379.2499998</v>
      </c>
      <c r="G44" s="570">
        <v>20903956.399999999</v>
      </c>
      <c r="H44" s="570">
        <v>765544291.39999998</v>
      </c>
      <c r="I44" s="570">
        <v>217440131.44999996</v>
      </c>
      <c r="J44" s="131">
        <f t="shared" si="3"/>
        <v>207</v>
      </c>
      <c r="L44" s="263"/>
      <c r="M44" s="263"/>
      <c r="N44" s="263"/>
      <c r="O44" s="263"/>
      <c r="P44" s="264"/>
      <c r="Q44" s="265"/>
      <c r="R44" s="265"/>
    </row>
    <row r="45" spans="1:18">
      <c r="A45" s="131">
        <f t="shared" si="5"/>
        <v>208</v>
      </c>
      <c r="B45" s="252" t="s">
        <v>118</v>
      </c>
      <c r="C45" s="255">
        <f>'1-BaseTRR'!$F$2</f>
        <v>2022</v>
      </c>
      <c r="D45" s="352">
        <v>930491659.18999994</v>
      </c>
      <c r="E45" s="352">
        <v>7871449.6000000052</v>
      </c>
      <c r="F45" s="33">
        <f t="shared" si="4"/>
        <v>922620209.58999991</v>
      </c>
      <c r="G45" s="570">
        <v>18016009.710000001</v>
      </c>
      <c r="H45" s="570">
        <v>690736671.63999999</v>
      </c>
      <c r="I45" s="570">
        <v>213867528.24000001</v>
      </c>
      <c r="J45" s="131">
        <f t="shared" si="3"/>
        <v>208</v>
      </c>
      <c r="L45" s="263"/>
      <c r="M45" s="263"/>
      <c r="N45" s="263"/>
      <c r="O45" s="263"/>
      <c r="P45" s="264"/>
      <c r="Q45" s="265"/>
      <c r="R45" s="265"/>
    </row>
    <row r="46" spans="1:18">
      <c r="A46" s="131">
        <f t="shared" si="5"/>
        <v>209</v>
      </c>
      <c r="B46" s="252" t="s">
        <v>119</v>
      </c>
      <c r="C46" s="255">
        <f>'1-BaseTRR'!$F$2</f>
        <v>2022</v>
      </c>
      <c r="D46" s="352">
        <v>834413543.45999992</v>
      </c>
      <c r="E46" s="352">
        <v>9623467.9700000044</v>
      </c>
      <c r="F46" s="33">
        <f t="shared" si="4"/>
        <v>824790075.48999989</v>
      </c>
      <c r="G46" s="570">
        <v>15128063.020000001</v>
      </c>
      <c r="H46" s="570">
        <v>615929051.87999988</v>
      </c>
      <c r="I46" s="570">
        <v>193732960.59000003</v>
      </c>
      <c r="J46" s="131">
        <f t="shared" si="3"/>
        <v>209</v>
      </c>
      <c r="L46" s="263"/>
      <c r="M46" s="263"/>
      <c r="N46" s="263"/>
      <c r="O46" s="263"/>
      <c r="P46" s="264"/>
      <c r="Q46" s="265"/>
      <c r="R46" s="265"/>
    </row>
    <row r="47" spans="1:18">
      <c r="A47" s="131">
        <f t="shared" si="5"/>
        <v>210</v>
      </c>
      <c r="B47" s="252" t="s">
        <v>120</v>
      </c>
      <c r="C47" s="255">
        <f>'1-BaseTRR'!$F$2</f>
        <v>2022</v>
      </c>
      <c r="D47" s="352">
        <v>743906227.23000014</v>
      </c>
      <c r="E47" s="352">
        <v>9370604.1700000055</v>
      </c>
      <c r="F47" s="33">
        <f t="shared" si="4"/>
        <v>734535623.06000018</v>
      </c>
      <c r="G47" s="570">
        <v>12240116.329999998</v>
      </c>
      <c r="H47" s="570">
        <v>541121432.12</v>
      </c>
      <c r="I47" s="570">
        <v>181174074.61000007</v>
      </c>
      <c r="J47" s="131">
        <f t="shared" si="3"/>
        <v>210</v>
      </c>
      <c r="L47" s="263"/>
      <c r="M47" s="263"/>
      <c r="N47" s="263"/>
      <c r="O47" s="263"/>
      <c r="P47" s="264"/>
      <c r="Q47" s="265"/>
      <c r="R47" s="265"/>
    </row>
    <row r="48" spans="1:18">
      <c r="A48" s="131">
        <f t="shared" si="5"/>
        <v>211</v>
      </c>
      <c r="B48" s="252" t="s">
        <v>121</v>
      </c>
      <c r="C48" s="255">
        <f>'1-BaseTRR'!$F$2</f>
        <v>2022</v>
      </c>
      <c r="D48" s="352">
        <v>673741745.99000001</v>
      </c>
      <c r="E48" s="352">
        <v>9117740.3700000048</v>
      </c>
      <c r="F48" s="33">
        <f t="shared" si="4"/>
        <v>664624005.62</v>
      </c>
      <c r="G48" s="570">
        <v>9352169.6400000006</v>
      </c>
      <c r="H48" s="570">
        <v>466313812.36000001</v>
      </c>
      <c r="I48" s="570">
        <v>188958023.62</v>
      </c>
      <c r="J48" s="131">
        <f t="shared" si="3"/>
        <v>211</v>
      </c>
      <c r="L48" s="263"/>
      <c r="M48" s="263"/>
      <c r="N48" s="263"/>
      <c r="O48" s="263"/>
      <c r="P48" s="264"/>
      <c r="Q48" s="265"/>
      <c r="R48" s="265"/>
    </row>
    <row r="49" spans="1:18">
      <c r="A49" s="131">
        <f t="shared" si="5"/>
        <v>212</v>
      </c>
      <c r="B49" s="251" t="s">
        <v>111</v>
      </c>
      <c r="C49" s="255">
        <f>'1-BaseTRR'!$F$2</f>
        <v>2022</v>
      </c>
      <c r="D49" s="352">
        <v>570965644.62</v>
      </c>
      <c r="E49" s="352">
        <v>10875252.010000005</v>
      </c>
      <c r="F49" s="33">
        <f t="shared" si="4"/>
        <v>560090392.61000001</v>
      </c>
      <c r="G49" s="570">
        <v>6464222.9500000002</v>
      </c>
      <c r="H49" s="570">
        <v>391506192.60000002</v>
      </c>
      <c r="I49" s="570">
        <v>162119977.06</v>
      </c>
      <c r="J49" s="131">
        <f t="shared" si="3"/>
        <v>212</v>
      </c>
      <c r="L49" s="263"/>
      <c r="M49" s="263"/>
      <c r="N49" s="263"/>
      <c r="O49" s="263"/>
      <c r="P49" s="264"/>
      <c r="Q49" s="265"/>
      <c r="R49" s="265"/>
    </row>
    <row r="50" spans="1:18">
      <c r="A50" s="131"/>
      <c r="B50" s="251"/>
      <c r="C50" s="255"/>
      <c r="D50" s="20"/>
      <c r="E50" s="20"/>
      <c r="F50" s="20"/>
      <c r="G50" s="266"/>
      <c r="H50" s="266"/>
      <c r="I50" s="266"/>
      <c r="J50" s="131"/>
      <c r="L50" s="263"/>
      <c r="M50" s="263"/>
      <c r="N50" s="263"/>
      <c r="O50" s="263"/>
      <c r="P50" s="264"/>
      <c r="Q50" s="265"/>
      <c r="R50" s="265"/>
    </row>
    <row r="51" spans="1:18">
      <c r="B51" s="251"/>
      <c r="C51" s="255"/>
      <c r="D51" s="267"/>
      <c r="E51" s="20"/>
      <c r="F51" s="267"/>
      <c r="G51" s="35"/>
      <c r="H51" s="30"/>
      <c r="J51" s="131"/>
    </row>
    <row r="52" spans="1:18">
      <c r="A52" s="131"/>
      <c r="C52" s="255"/>
      <c r="D52" s="267"/>
      <c r="E52" s="20"/>
      <c r="F52" s="267"/>
      <c r="G52" s="8"/>
      <c r="H52" s="167" t="s">
        <v>1628</v>
      </c>
      <c r="I52" s="8"/>
      <c r="J52" s="131"/>
    </row>
    <row r="53" spans="1:18">
      <c r="A53" s="131"/>
      <c r="B53" s="258" t="s">
        <v>1703</v>
      </c>
      <c r="C53" s="255"/>
      <c r="D53" s="267"/>
      <c r="E53" s="20"/>
      <c r="F53" s="267"/>
      <c r="G53" s="514" t="s">
        <v>589</v>
      </c>
      <c r="H53" s="514" t="s">
        <v>590</v>
      </c>
      <c r="I53" s="243" t="s">
        <v>591</v>
      </c>
      <c r="J53" s="131"/>
    </row>
    <row r="54" spans="1:18">
      <c r="A54" s="131">
        <f>A49+1</f>
        <v>213</v>
      </c>
      <c r="B54" s="251" t="s">
        <v>143</v>
      </c>
      <c r="C54" s="268" t="s">
        <v>1364</v>
      </c>
      <c r="D54" s="267"/>
      <c r="E54" s="20"/>
      <c r="F54" s="267"/>
      <c r="G54" s="512">
        <f>'24-Allocators'!C29</f>
        <v>0.16085587413428787</v>
      </c>
      <c r="H54" s="515">
        <f>'24-Allocators'!C56</f>
        <v>0.12179514612484499</v>
      </c>
      <c r="I54" s="513">
        <f>'24-Allocators'!C24</f>
        <v>9.5754660785216397E-2</v>
      </c>
      <c r="J54" s="131">
        <f>A54</f>
        <v>213</v>
      </c>
    </row>
    <row r="55" spans="1:18">
      <c r="B55" s="251"/>
      <c r="C55" s="255"/>
      <c r="D55" s="267"/>
      <c r="E55" s="20"/>
      <c r="F55" s="267"/>
      <c r="G55" s="35"/>
      <c r="J55" s="131"/>
    </row>
    <row r="56" spans="1:18" ht="29.25" customHeight="1">
      <c r="A56" s="131">
        <f>+A54+1</f>
        <v>214</v>
      </c>
      <c r="B56" s="258" t="s">
        <v>592</v>
      </c>
      <c r="C56" s="154" t="str">
        <f>"(Sum Line "&amp;A37&amp;" to Line "&amp;A49&amp;") / 13"</f>
        <v>(Sum Line 200 to Line 212) / 13</v>
      </c>
      <c r="D56" s="495">
        <f t="shared" ref="D56:I56" si="6">AVERAGE(D37:D49)</f>
        <v>662601539.51384604</v>
      </c>
      <c r="E56" s="495">
        <f t="shared" si="6"/>
        <v>12671999.135384623</v>
      </c>
      <c r="F56" s="495">
        <f t="shared" si="6"/>
        <v>649929540.37846148</v>
      </c>
      <c r="G56" s="495">
        <f t="shared" si="6"/>
        <v>14642352.508461539</v>
      </c>
      <c r="H56" s="495">
        <f t="shared" si="6"/>
        <v>438925733.67538458</v>
      </c>
      <c r="I56" s="495">
        <f t="shared" si="6"/>
        <v>196361454.19461536</v>
      </c>
      <c r="J56" s="131">
        <f>A56</f>
        <v>214</v>
      </c>
      <c r="L56" s="20"/>
    </row>
    <row r="57" spans="1:18">
      <c r="A57" s="131">
        <f>A56+1</f>
        <v>215</v>
      </c>
      <c r="B57" s="251" t="s">
        <v>593</v>
      </c>
      <c r="C57" s="27" t="str">
        <f>"Line "&amp;A54&amp;" * Line "&amp;A56&amp;""</f>
        <v>Line 213 * Line 214</v>
      </c>
      <c r="D57" s="496"/>
      <c r="E57" s="496"/>
      <c r="F57" s="496">
        <f>+G57+H57+I57</f>
        <v>74616856</v>
      </c>
      <c r="G57" s="495">
        <f>ROUND(G56*G54,0)</f>
        <v>2355308</v>
      </c>
      <c r="H57" s="495">
        <f>ROUND(H56*H54,0)</f>
        <v>53459024</v>
      </c>
      <c r="I57" s="495">
        <f>ROUND(I56*I54,0)</f>
        <v>18802524</v>
      </c>
      <c r="J57" s="131">
        <f>A57</f>
        <v>215</v>
      </c>
      <c r="L57" s="20"/>
    </row>
    <row r="58" spans="1:18">
      <c r="B58" s="251"/>
      <c r="C58" s="248"/>
      <c r="D58" s="267"/>
      <c r="E58" s="267"/>
      <c r="F58" s="267"/>
      <c r="G58" s="267"/>
      <c r="H58" s="267"/>
      <c r="I58" s="267"/>
      <c r="J58" s="131"/>
    </row>
    <row r="59" spans="1:18">
      <c r="A59" s="131">
        <f>A57+1</f>
        <v>216</v>
      </c>
      <c r="B59" s="258" t="s">
        <v>594</v>
      </c>
      <c r="C59" s="248" t="str">
        <f>"Line "&amp;A49&amp;""</f>
        <v>Line 212</v>
      </c>
      <c r="D59" s="495">
        <f t="shared" ref="D59:I59" si="7">+D49</f>
        <v>570965644.62</v>
      </c>
      <c r="E59" s="495">
        <f t="shared" si="7"/>
        <v>10875252.010000005</v>
      </c>
      <c r="F59" s="495">
        <f t="shared" si="7"/>
        <v>560090392.61000001</v>
      </c>
      <c r="G59" s="495">
        <f t="shared" si="7"/>
        <v>6464222.9500000002</v>
      </c>
      <c r="H59" s="495">
        <f t="shared" si="7"/>
        <v>391506192.60000002</v>
      </c>
      <c r="I59" s="495">
        <f t="shared" si="7"/>
        <v>162119977.06</v>
      </c>
      <c r="J59" s="131">
        <f>A59</f>
        <v>216</v>
      </c>
      <c r="L59" s="20"/>
    </row>
    <row r="60" spans="1:18">
      <c r="A60" s="131">
        <f>A59+1</f>
        <v>217</v>
      </c>
      <c r="B60" s="251" t="s">
        <v>593</v>
      </c>
      <c r="C60" s="27" t="str">
        <f>"Line "&amp;A54&amp;" * Line "&amp;A59&amp;""</f>
        <v>Line 213 * Line 216</v>
      </c>
      <c r="D60" s="495"/>
      <c r="E60" s="495"/>
      <c r="F60" s="496">
        <f>+G60+H60+I60</f>
        <v>64247105</v>
      </c>
      <c r="G60" s="495">
        <f>ROUND(G59*G54,0)</f>
        <v>1039808</v>
      </c>
      <c r="H60" s="495">
        <f>ROUND(H59*H54,0)</f>
        <v>47683554</v>
      </c>
      <c r="I60" s="495">
        <f>ROUND(I59*I54,0)</f>
        <v>15523743</v>
      </c>
      <c r="J60" s="131">
        <f>A60</f>
        <v>217</v>
      </c>
      <c r="L60" s="20"/>
    </row>
    <row r="61" spans="1:18">
      <c r="A61" s="131"/>
      <c r="B61" s="258"/>
      <c r="C61" s="255"/>
      <c r="D61" s="267"/>
      <c r="E61" s="267"/>
      <c r="F61" s="267"/>
      <c r="G61" s="267"/>
      <c r="H61" s="267"/>
      <c r="I61" s="267"/>
      <c r="J61" s="131"/>
      <c r="L61" s="20"/>
    </row>
    <row r="62" spans="1:18">
      <c r="A62" s="131"/>
      <c r="B62" s="258" t="s">
        <v>125</v>
      </c>
      <c r="C62" s="255"/>
      <c r="D62" s="267"/>
      <c r="E62" s="267"/>
      <c r="F62" s="267"/>
      <c r="G62" s="267"/>
      <c r="H62" s="267"/>
      <c r="I62" s="267"/>
      <c r="J62" s="131"/>
      <c r="L62" s="20"/>
    </row>
    <row r="63" spans="1:18">
      <c r="A63" s="131"/>
      <c r="B63" s="251" t="s">
        <v>1463</v>
      </c>
      <c r="C63" s="255"/>
      <c r="D63" s="267"/>
      <c r="E63" s="267"/>
      <c r="F63" s="267"/>
      <c r="G63" s="267"/>
      <c r="H63" s="267"/>
      <c r="I63" s="267"/>
      <c r="J63" s="131"/>
      <c r="L63" s="20"/>
    </row>
    <row r="64" spans="1:18">
      <c r="A64" s="131"/>
      <c r="B64" s="251" t="s">
        <v>595</v>
      </c>
      <c r="C64" s="255"/>
      <c r="D64" s="267"/>
      <c r="E64" s="267"/>
      <c r="F64" s="267"/>
      <c r="G64" s="267"/>
      <c r="H64" s="267"/>
      <c r="I64" s="267"/>
      <c r="J64" s="131"/>
      <c r="L64" s="20"/>
    </row>
    <row r="65" spans="1:12">
      <c r="A65" s="131"/>
      <c r="B65" s="251" t="s">
        <v>596</v>
      </c>
      <c r="C65" s="255"/>
      <c r="D65" s="267"/>
      <c r="E65" s="267"/>
      <c r="F65" s="267"/>
      <c r="G65" s="267"/>
      <c r="H65" s="267"/>
      <c r="I65" s="267"/>
      <c r="J65" s="131"/>
      <c r="L65" s="20"/>
    </row>
    <row r="66" spans="1:12">
      <c r="A66" s="131"/>
      <c r="B66" s="251" t="s">
        <v>597</v>
      </c>
      <c r="C66" s="255"/>
      <c r="D66" s="267"/>
      <c r="E66" s="267"/>
      <c r="F66" s="267"/>
      <c r="G66" s="267"/>
      <c r="H66" s="267"/>
      <c r="I66" s="267"/>
      <c r="J66" s="131"/>
      <c r="L66" s="20"/>
    </row>
    <row r="67" spans="1:12">
      <c r="A67" s="131"/>
      <c r="B67" s="251" t="s">
        <v>598</v>
      </c>
      <c r="C67" s="255"/>
      <c r="D67" s="267"/>
      <c r="E67" s="267"/>
      <c r="F67" s="267"/>
      <c r="G67" s="267"/>
      <c r="H67" s="267"/>
      <c r="I67" s="267"/>
      <c r="J67" s="131"/>
      <c r="L67" s="20"/>
    </row>
    <row r="68" spans="1:12">
      <c r="A68" s="131"/>
      <c r="B68" s="251" t="s">
        <v>599</v>
      </c>
      <c r="C68" s="255"/>
      <c r="D68" s="267"/>
      <c r="E68" s="267"/>
      <c r="F68" s="267"/>
      <c r="G68" s="267"/>
      <c r="H68" s="267"/>
      <c r="I68" s="267"/>
      <c r="J68" s="131"/>
      <c r="L68" s="20"/>
    </row>
    <row r="69" spans="1:12">
      <c r="B69" s="251" t="s">
        <v>600</v>
      </c>
    </row>
    <row r="72" spans="1:12">
      <c r="H72" s="21"/>
    </row>
    <row r="74" spans="1:12">
      <c r="H74" s="269"/>
    </row>
  </sheetData>
  <mergeCells count="3">
    <mergeCell ref="B30:I31"/>
    <mergeCell ref="G32:I32"/>
    <mergeCell ref="G35:I35"/>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43"/>
  <sheetViews>
    <sheetView view="pageBreakPreview" zoomScale="115" zoomScaleSheetLayoutView="115" workbookViewId="0">
      <selection activeCell="L63" sqref="L63"/>
    </sheetView>
  </sheetViews>
  <sheetFormatPr defaultRowHeight="14.5"/>
  <cols>
    <col min="1" max="1" width="30.26953125" bestFit="1" customWidth="1"/>
    <col min="2" max="2" width="100.54296875" bestFit="1" customWidth="1"/>
  </cols>
  <sheetData>
    <row r="1" spans="1:2">
      <c r="A1" s="809" t="s">
        <v>159</v>
      </c>
      <c r="B1" s="809"/>
    </row>
    <row r="2" spans="1:2">
      <c r="A2" s="809" t="s">
        <v>238</v>
      </c>
      <c r="B2" s="809"/>
    </row>
    <row r="3" spans="1:2">
      <c r="A3" s="809" t="s">
        <v>241</v>
      </c>
      <c r="B3" s="809"/>
    </row>
    <row r="4" spans="1:2">
      <c r="A4" s="809" t="s">
        <v>242</v>
      </c>
      <c r="B4" s="809"/>
    </row>
    <row r="6" spans="1:2">
      <c r="A6" s="809" t="s">
        <v>1163</v>
      </c>
      <c r="B6" s="809"/>
    </row>
    <row r="8" spans="1:2">
      <c r="A8" s="8" t="s">
        <v>1164</v>
      </c>
      <c r="B8" s="8" t="s">
        <v>127</v>
      </c>
    </row>
    <row r="9" spans="1:2">
      <c r="A9" t="s">
        <v>1165</v>
      </c>
      <c r="B9" t="s">
        <v>1195</v>
      </c>
    </row>
    <row r="10" spans="1:2">
      <c r="A10" t="s">
        <v>1166</v>
      </c>
      <c r="B10" t="s">
        <v>150</v>
      </c>
    </row>
    <row r="11" spans="1:2">
      <c r="A11" t="s">
        <v>1167</v>
      </c>
      <c r="B11" t="s">
        <v>80</v>
      </c>
    </row>
    <row r="12" spans="1:2">
      <c r="A12" t="s">
        <v>1168</v>
      </c>
      <c r="B12" t="s">
        <v>165</v>
      </c>
    </row>
    <row r="13" spans="1:2">
      <c r="A13" t="s">
        <v>1169</v>
      </c>
      <c r="B13" t="s">
        <v>243</v>
      </c>
    </row>
    <row r="14" spans="1:2">
      <c r="A14" t="s">
        <v>1170</v>
      </c>
      <c r="B14" t="s">
        <v>264</v>
      </c>
    </row>
    <row r="15" spans="1:2">
      <c r="A15" t="s">
        <v>1171</v>
      </c>
      <c r="B15" t="s">
        <v>46</v>
      </c>
    </row>
    <row r="16" spans="1:2">
      <c r="A16" t="s">
        <v>1172</v>
      </c>
      <c r="B16" t="s">
        <v>37</v>
      </c>
    </row>
    <row r="17" spans="1:2">
      <c r="A17" t="s">
        <v>1173</v>
      </c>
      <c r="B17" t="s">
        <v>1159</v>
      </c>
    </row>
    <row r="18" spans="1:2">
      <c r="A18" t="s">
        <v>442</v>
      </c>
      <c r="B18" t="s">
        <v>338</v>
      </c>
    </row>
    <row r="19" spans="1:2">
      <c r="A19" t="s">
        <v>1174</v>
      </c>
      <c r="B19" t="s">
        <v>384</v>
      </c>
    </row>
    <row r="20" spans="1:2">
      <c r="A20" t="s">
        <v>1175</v>
      </c>
      <c r="B20" t="s">
        <v>385</v>
      </c>
    </row>
    <row r="21" spans="1:2">
      <c r="A21" t="s">
        <v>1176</v>
      </c>
      <c r="B21" t="s">
        <v>415</v>
      </c>
    </row>
    <row r="22" spans="1:2">
      <c r="A22" t="s">
        <v>1177</v>
      </c>
      <c r="B22" t="s">
        <v>426</v>
      </c>
    </row>
    <row r="23" spans="1:2">
      <c r="A23" t="s">
        <v>1178</v>
      </c>
      <c r="B23" t="s">
        <v>1196</v>
      </c>
    </row>
    <row r="24" spans="1:2">
      <c r="A24" t="s">
        <v>1179</v>
      </c>
      <c r="B24" t="s">
        <v>569</v>
      </c>
    </row>
    <row r="25" spans="1:2">
      <c r="A25" t="s">
        <v>1180</v>
      </c>
      <c r="B25" t="s">
        <v>601</v>
      </c>
    </row>
    <row r="26" spans="1:2">
      <c r="A26" t="s">
        <v>1181</v>
      </c>
      <c r="B26" t="s">
        <v>667</v>
      </c>
    </row>
    <row r="27" spans="1:2">
      <c r="A27" t="s">
        <v>1462</v>
      </c>
      <c r="B27" t="s">
        <v>1441</v>
      </c>
    </row>
    <row r="28" spans="1:2">
      <c r="A28" t="s">
        <v>1619</v>
      </c>
      <c r="B28" t="s">
        <v>717</v>
      </c>
    </row>
    <row r="29" spans="1:2">
      <c r="A29" t="s">
        <v>1620</v>
      </c>
      <c r="B29" t="s">
        <v>1855</v>
      </c>
    </row>
    <row r="30" spans="1:2">
      <c r="A30" t="s">
        <v>1856</v>
      </c>
      <c r="B30" t="s">
        <v>1855</v>
      </c>
    </row>
    <row r="31" spans="1:2">
      <c r="A31" t="s">
        <v>1182</v>
      </c>
      <c r="B31" t="s">
        <v>746</v>
      </c>
    </row>
    <row r="32" spans="1:2">
      <c r="A32" t="s">
        <v>1183</v>
      </c>
      <c r="B32" t="s">
        <v>800</v>
      </c>
    </row>
    <row r="33" spans="1:2">
      <c r="A33" t="s">
        <v>1184</v>
      </c>
      <c r="B33" t="s">
        <v>70</v>
      </c>
    </row>
    <row r="34" spans="1:2">
      <c r="A34" t="s">
        <v>1185</v>
      </c>
      <c r="B34" t="s">
        <v>868</v>
      </c>
    </row>
    <row r="35" spans="1:2">
      <c r="A35" t="s">
        <v>1186</v>
      </c>
      <c r="B35" t="s">
        <v>872</v>
      </c>
    </row>
    <row r="36" spans="1:2">
      <c r="A36" t="s">
        <v>1187</v>
      </c>
      <c r="B36" t="s">
        <v>881</v>
      </c>
    </row>
    <row r="37" spans="1:2">
      <c r="A37" t="s">
        <v>1188</v>
      </c>
      <c r="B37" t="s">
        <v>906</v>
      </c>
    </row>
    <row r="38" spans="1:2">
      <c r="A38" t="s">
        <v>1189</v>
      </c>
      <c r="B38" t="s">
        <v>916</v>
      </c>
    </row>
    <row r="39" spans="1:2">
      <c r="A39" t="s">
        <v>1190</v>
      </c>
      <c r="B39" t="s">
        <v>927</v>
      </c>
    </row>
    <row r="40" spans="1:2">
      <c r="A40" t="s">
        <v>1191</v>
      </c>
      <c r="B40" t="s">
        <v>935</v>
      </c>
    </row>
    <row r="41" spans="1:2">
      <c r="A41" t="s">
        <v>1192</v>
      </c>
      <c r="B41" t="s">
        <v>941</v>
      </c>
    </row>
    <row r="42" spans="1:2">
      <c r="A42" t="s">
        <v>1193</v>
      </c>
      <c r="B42" t="s">
        <v>1125</v>
      </c>
    </row>
    <row r="43" spans="1:2">
      <c r="A43" t="s">
        <v>1194</v>
      </c>
      <c r="B43" t="s">
        <v>996</v>
      </c>
    </row>
  </sheetData>
  <mergeCells count="5">
    <mergeCell ref="A6:B6"/>
    <mergeCell ref="A1:B1"/>
    <mergeCell ref="A2:B2"/>
    <mergeCell ref="A3:B3"/>
    <mergeCell ref="A4:B4"/>
  </mergeCells>
  <printOptions horizontalCentered="1"/>
  <pageMargins left="1" right="1" top="1" bottom="1" header="0.5" footer="0.5"/>
  <pageSetup scale="88" fitToHeight="0" orientation="landscape"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P188"/>
  <sheetViews>
    <sheetView tabSelected="1" view="pageBreakPreview" topLeftCell="A150" zoomScale="70" zoomScaleNormal="70" zoomScaleSheetLayoutView="70" zoomScalePageLayoutView="55" workbookViewId="0">
      <selection activeCell="C59" activeCellId="1" sqref="L63 C59"/>
    </sheetView>
  </sheetViews>
  <sheetFormatPr defaultColWidth="9.1796875" defaultRowHeight="14.5"/>
  <cols>
    <col min="1" max="1" width="6.7265625" bestFit="1" customWidth="1"/>
    <col min="2" max="2" width="9.54296875" customWidth="1"/>
    <col min="3" max="3" width="54.453125" customWidth="1"/>
    <col min="4" max="4" width="25.1796875" customWidth="1"/>
    <col min="5" max="5" width="28.26953125" customWidth="1"/>
    <col min="6" max="6" width="30.1796875" customWidth="1"/>
    <col min="7" max="7" width="25.26953125" customWidth="1"/>
    <col min="8" max="8" width="22.26953125" customWidth="1"/>
    <col min="9" max="9" width="53.54296875" bestFit="1" customWidth="1"/>
    <col min="10" max="10" width="34.7265625" customWidth="1"/>
    <col min="11" max="11" width="19.26953125" bestFit="1" customWidth="1"/>
    <col min="12" max="12" width="15" customWidth="1"/>
    <col min="13" max="13" width="18.7265625" customWidth="1"/>
    <col min="14" max="16" width="9.1796875" customWidth="1"/>
    <col min="17" max="17" width="11.453125" bestFit="1" customWidth="1"/>
  </cols>
  <sheetData>
    <row r="1" spans="1:14">
      <c r="B1" s="12" t="s">
        <v>601</v>
      </c>
      <c r="I1" s="15"/>
      <c r="M1" s="15" t="str">
        <f>CONCATENATE("Prior Year: ",'1-BaseTRR'!$F$2)</f>
        <v>Prior Year: 2022</v>
      </c>
    </row>
    <row r="2" spans="1:14">
      <c r="B2" s="117" t="s">
        <v>193</v>
      </c>
      <c r="C2" s="270"/>
      <c r="I2" s="15"/>
      <c r="J2" s="15"/>
    </row>
    <row r="3" spans="1:14">
      <c r="B3" s="142"/>
      <c r="C3" s="176"/>
      <c r="D3" s="176"/>
    </row>
    <row r="4" spans="1:14">
      <c r="B4" s="179" t="s">
        <v>602</v>
      </c>
      <c r="C4" s="180"/>
      <c r="D4" s="180"/>
      <c r="E4" s="54"/>
      <c r="F4" s="54"/>
      <c r="G4" s="54"/>
      <c r="H4" s="54"/>
      <c r="I4" s="54"/>
      <c r="J4" s="54"/>
      <c r="K4" s="54"/>
      <c r="L4" s="54"/>
      <c r="M4" s="54"/>
    </row>
    <row r="5" spans="1:14">
      <c r="B5" s="271" t="s">
        <v>603</v>
      </c>
      <c r="C5" s="176"/>
      <c r="D5" s="176"/>
    </row>
    <row r="6" spans="1:14">
      <c r="B6" s="177"/>
      <c r="C6" s="122" t="s">
        <v>98</v>
      </c>
      <c r="D6" s="122" t="s">
        <v>99</v>
      </c>
      <c r="E6" s="122" t="s">
        <v>100</v>
      </c>
    </row>
    <row r="7" spans="1:14">
      <c r="C7" s="176"/>
    </row>
    <row r="8" spans="1:14">
      <c r="A8" s="119" t="s">
        <v>122</v>
      </c>
      <c r="B8" s="177"/>
      <c r="C8" s="16" t="s">
        <v>604</v>
      </c>
      <c r="D8" s="119" t="s">
        <v>605</v>
      </c>
      <c r="E8" s="13" t="s">
        <v>54</v>
      </c>
      <c r="N8" s="119" t="str">
        <f t="shared" ref="N8:N13" si="0">A8</f>
        <v>Line</v>
      </c>
    </row>
    <row r="9" spans="1:14">
      <c r="A9" s="131">
        <v>100</v>
      </c>
      <c r="B9" s="177"/>
      <c r="C9" s="17" t="s">
        <v>606</v>
      </c>
      <c r="D9" s="424">
        <f>+D45</f>
        <v>512503867.28821051</v>
      </c>
      <c r="E9" s="18" t="str">
        <f>"Line "&amp;A45&amp;", Col. 2"</f>
        <v>Line 212, Col. 2</v>
      </c>
      <c r="N9" s="8">
        <f t="shared" si="0"/>
        <v>100</v>
      </c>
    </row>
    <row r="10" spans="1:14">
      <c r="A10" s="131">
        <f>A9+1</f>
        <v>101</v>
      </c>
      <c r="B10" s="177"/>
      <c r="C10" s="17" t="s">
        <v>607</v>
      </c>
      <c r="D10" s="424">
        <f>+D64</f>
        <v>-2074332357.7727153</v>
      </c>
      <c r="E10" s="18" t="str">
        <f>"Line "&amp;A64&amp;", Col. 2"</f>
        <v>Line 309, Col. 2</v>
      </c>
      <c r="N10" s="8">
        <f t="shared" si="0"/>
        <v>101</v>
      </c>
    </row>
    <row r="11" spans="1:14">
      <c r="A11" s="131">
        <f>A10+1</f>
        <v>102</v>
      </c>
      <c r="B11" s="177"/>
      <c r="C11" s="17" t="s">
        <v>608</v>
      </c>
      <c r="D11" s="424">
        <f>+D83</f>
        <v>0</v>
      </c>
      <c r="E11" s="18" t="str">
        <f>"Line "&amp;A83&amp;", Col. 2"</f>
        <v>Line 406, Col. 2</v>
      </c>
      <c r="I11" s="241"/>
      <c r="N11" s="8">
        <f t="shared" si="0"/>
        <v>102</v>
      </c>
    </row>
    <row r="12" spans="1:14">
      <c r="A12" s="131">
        <f>A11+1</f>
        <v>103</v>
      </c>
      <c r="B12" s="177"/>
      <c r="C12" s="17" t="s">
        <v>609</v>
      </c>
      <c r="D12" s="424">
        <f>+D99</f>
        <v>-4007558.0750401057</v>
      </c>
      <c r="E12" s="18" t="str">
        <f>"Line "&amp;A99&amp;", Col. 2"</f>
        <v>Line 505, Col. 2</v>
      </c>
      <c r="I12" s="241"/>
      <c r="N12" s="8">
        <f t="shared" si="0"/>
        <v>103</v>
      </c>
    </row>
    <row r="13" spans="1:14">
      <c r="A13" s="131">
        <f>A12+1</f>
        <v>104</v>
      </c>
      <c r="B13" s="177"/>
      <c r="C13" s="17" t="s">
        <v>610</v>
      </c>
      <c r="D13" s="425">
        <f>SUM(D9:D12)</f>
        <v>-1565836048.5595448</v>
      </c>
      <c r="E13" s="272" t="str">
        <f>"Sum of Lines "&amp;A9&amp;" to "&amp;A12&amp;""</f>
        <v>Sum of Lines 100 to 103</v>
      </c>
      <c r="N13" s="8">
        <f t="shared" si="0"/>
        <v>104</v>
      </c>
    </row>
    <row r="14" spans="1:14">
      <c r="A14" s="131"/>
      <c r="B14" s="177"/>
      <c r="G14" s="273"/>
      <c r="H14" s="35"/>
      <c r="I14" s="241"/>
      <c r="N14" s="8"/>
    </row>
    <row r="15" spans="1:14">
      <c r="A15" s="131"/>
      <c r="B15" s="271" t="s">
        <v>611</v>
      </c>
      <c r="G15" s="241"/>
      <c r="H15" s="274"/>
      <c r="I15" s="241"/>
      <c r="N15" s="8"/>
    </row>
    <row r="16" spans="1:14">
      <c r="A16" s="131"/>
      <c r="B16" s="177"/>
      <c r="D16" s="119" t="s">
        <v>612</v>
      </c>
      <c r="E16" s="13" t="s">
        <v>54</v>
      </c>
      <c r="G16" s="275"/>
      <c r="H16" s="241"/>
      <c r="I16" s="241"/>
      <c r="N16" s="8"/>
    </row>
    <row r="17" spans="1:14" ht="15" thickBot="1">
      <c r="A17" s="131">
        <f>A13+1</f>
        <v>105</v>
      </c>
      <c r="B17" s="177"/>
      <c r="C17" s="17" t="s">
        <v>610</v>
      </c>
      <c r="D17" s="696">
        <v>-1508728940.0507171</v>
      </c>
      <c r="E17" s="35" t="s">
        <v>1322</v>
      </c>
      <c r="G17" s="241"/>
      <c r="H17" s="241"/>
      <c r="I17" s="241"/>
      <c r="N17" s="8">
        <f>A17</f>
        <v>105</v>
      </c>
    </row>
    <row r="18" spans="1:14" ht="15" thickTop="1">
      <c r="A18" s="131"/>
      <c r="B18" s="177"/>
      <c r="F18" s="241"/>
      <c r="G18" s="241"/>
      <c r="H18" s="241"/>
      <c r="I18" s="241"/>
      <c r="N18" s="8"/>
    </row>
    <row r="19" spans="1:14">
      <c r="A19" s="131"/>
      <c r="B19" s="271" t="s">
        <v>613</v>
      </c>
      <c r="F19" s="241"/>
      <c r="G19" s="241"/>
      <c r="H19" s="241"/>
      <c r="I19" s="241"/>
      <c r="N19" s="8"/>
    </row>
    <row r="20" spans="1:14">
      <c r="A20" s="131"/>
      <c r="B20" s="176"/>
      <c r="D20" s="119" t="s">
        <v>614</v>
      </c>
      <c r="E20" s="13" t="s">
        <v>54</v>
      </c>
      <c r="G20" s="275"/>
      <c r="N20" s="8"/>
    </row>
    <row r="21" spans="1:14">
      <c r="A21" s="131">
        <f>A17+1</f>
        <v>106</v>
      </c>
      <c r="B21" s="176"/>
      <c r="C21" s="195" t="s">
        <v>615</v>
      </c>
      <c r="D21" s="440">
        <f>J124</f>
        <v>-1535183351.7320898</v>
      </c>
      <c r="E21" s="18" t="str">
        <f>"Line "&amp;A124&amp;", Col. 8"</f>
        <v>Line 614, Col. 8</v>
      </c>
      <c r="G21" s="241"/>
      <c r="N21" s="8">
        <f>A21</f>
        <v>106</v>
      </c>
    </row>
    <row r="22" spans="1:14">
      <c r="A22" s="131">
        <f>+A21+1</f>
        <v>107</v>
      </c>
      <c r="B22" s="176"/>
      <c r="C22" s="195" t="s">
        <v>1653</v>
      </c>
      <c r="D22" s="673">
        <v>0</v>
      </c>
      <c r="E22" s="18" t="s">
        <v>1655</v>
      </c>
      <c r="G22" s="241"/>
      <c r="N22" s="8">
        <f t="shared" ref="N22:N23" si="1">A22</f>
        <v>107</v>
      </c>
    </row>
    <row r="23" spans="1:14" ht="15" thickBot="1">
      <c r="A23" s="131">
        <f>+A22+1</f>
        <v>108</v>
      </c>
      <c r="B23" s="176"/>
      <c r="C23" s="195" t="s">
        <v>1654</v>
      </c>
      <c r="D23" s="674">
        <f>SUM(D21:D22)</f>
        <v>-1535183351.7320898</v>
      </c>
      <c r="E23" s="18" t="s">
        <v>1656</v>
      </c>
      <c r="G23" s="241"/>
      <c r="N23" s="8">
        <f t="shared" si="1"/>
        <v>108</v>
      </c>
    </row>
    <row r="24" spans="1:14" ht="15" thickTop="1">
      <c r="A24" s="131"/>
      <c r="B24" s="176"/>
      <c r="C24" s="195"/>
      <c r="D24" s="440"/>
      <c r="E24" s="18"/>
      <c r="G24" s="241"/>
      <c r="N24" s="8"/>
    </row>
    <row r="25" spans="1:14">
      <c r="A25" s="131"/>
      <c r="B25" s="176"/>
      <c r="C25" s="195"/>
      <c r="D25" s="440"/>
      <c r="E25" s="18"/>
      <c r="G25" s="241"/>
      <c r="N25" s="8"/>
    </row>
    <row r="26" spans="1:14">
      <c r="A26" s="131"/>
      <c r="B26" s="176"/>
      <c r="C26" s="276"/>
      <c r="D26" s="277"/>
      <c r="N26" s="8"/>
    </row>
    <row r="27" spans="1:14">
      <c r="A27" s="131"/>
      <c r="B27" s="179" t="s">
        <v>616</v>
      </c>
      <c r="C27" s="278"/>
      <c r="D27" s="279"/>
      <c r="E27" s="54"/>
      <c r="F27" s="54"/>
      <c r="G27" s="54"/>
      <c r="H27" s="54"/>
      <c r="I27" s="54"/>
      <c r="J27" s="54"/>
      <c r="K27" s="54"/>
      <c r="L27" s="54"/>
      <c r="M27" s="54"/>
      <c r="N27" s="30"/>
    </row>
    <row r="28" spans="1:14">
      <c r="A28" s="131"/>
      <c r="B28" s="177"/>
      <c r="C28" s="122" t="s">
        <v>98</v>
      </c>
      <c r="D28" s="122" t="s">
        <v>99</v>
      </c>
      <c r="E28" s="122" t="s">
        <v>100</v>
      </c>
      <c r="F28" s="122" t="s">
        <v>101</v>
      </c>
      <c r="G28" s="122" t="s">
        <v>102</v>
      </c>
      <c r="H28" s="122" t="s">
        <v>103</v>
      </c>
      <c r="I28" s="122" t="s">
        <v>104</v>
      </c>
      <c r="N28" s="30"/>
    </row>
    <row r="29" spans="1:14">
      <c r="A29" s="27"/>
      <c r="B29" s="1"/>
      <c r="C29" s="1"/>
      <c r="D29" s="1" t="s">
        <v>1286</v>
      </c>
      <c r="E29" s="1" t="s">
        <v>1710</v>
      </c>
      <c r="F29" s="1"/>
      <c r="G29" s="1" t="s">
        <v>434</v>
      </c>
      <c r="H29" s="1" t="s">
        <v>1707</v>
      </c>
      <c r="I29" s="280"/>
      <c r="N29" s="30"/>
    </row>
    <row r="30" spans="1:14">
      <c r="A30" s="119" t="s">
        <v>122</v>
      </c>
      <c r="B30" s="281" t="s">
        <v>618</v>
      </c>
      <c r="C30" s="281" t="s">
        <v>619</v>
      </c>
      <c r="D30" s="281" t="s">
        <v>1285</v>
      </c>
      <c r="E30" s="281" t="s">
        <v>1711</v>
      </c>
      <c r="F30" s="281" t="s">
        <v>620</v>
      </c>
      <c r="G30" s="281" t="s">
        <v>621</v>
      </c>
      <c r="H30" s="281" t="s">
        <v>622</v>
      </c>
      <c r="I30" s="281" t="s">
        <v>127</v>
      </c>
      <c r="J30" s="1" t="s">
        <v>294</v>
      </c>
      <c r="N30" s="119" t="str">
        <f>A30</f>
        <v>Line</v>
      </c>
    </row>
    <row r="31" spans="1:14">
      <c r="A31" s="131"/>
      <c r="B31" s="176" t="s">
        <v>623</v>
      </c>
      <c r="C31" s="176"/>
      <c r="D31" s="176"/>
      <c r="N31" s="8"/>
    </row>
    <row r="32" spans="1:14">
      <c r="A32" s="131">
        <v>200</v>
      </c>
      <c r="B32" s="282">
        <v>190</v>
      </c>
      <c r="C32" s="270" t="s">
        <v>1893</v>
      </c>
      <c r="D32" s="635">
        <f t="shared" ref="D32:D41" si="2">SUM(E32:H32)</f>
        <v>-265747491</v>
      </c>
      <c r="E32" s="426">
        <v>-265747491</v>
      </c>
      <c r="F32" s="352"/>
      <c r="G32" s="427"/>
      <c r="H32" s="427"/>
      <c r="I32" s="283" t="s">
        <v>1900</v>
      </c>
      <c r="J32" s="35" t="s">
        <v>1305</v>
      </c>
      <c r="N32" s="8">
        <f t="shared" ref="N32:N41" si="3">A32</f>
        <v>200</v>
      </c>
    </row>
    <row r="33" spans="1:14">
      <c r="A33" s="131">
        <f t="shared" ref="A33:A41" si="4">A32+1</f>
        <v>201</v>
      </c>
      <c r="B33" s="282">
        <v>190</v>
      </c>
      <c r="C33" s="270" t="s">
        <v>1894</v>
      </c>
      <c r="D33" s="635">
        <f t="shared" si="2"/>
        <v>51907982</v>
      </c>
      <c r="E33" s="426">
        <v>51907982</v>
      </c>
      <c r="F33" s="352"/>
      <c r="G33" s="427"/>
      <c r="H33" s="427"/>
      <c r="I33" s="283" t="s">
        <v>1900</v>
      </c>
      <c r="J33" s="35" t="s">
        <v>1306</v>
      </c>
      <c r="N33" s="8">
        <f t="shared" si="3"/>
        <v>201</v>
      </c>
    </row>
    <row r="34" spans="1:14">
      <c r="A34" s="131">
        <f t="shared" si="4"/>
        <v>202</v>
      </c>
      <c r="B34" s="282">
        <v>190</v>
      </c>
      <c r="C34" s="270" t="s">
        <v>1895</v>
      </c>
      <c r="D34" s="635">
        <f t="shared" si="2"/>
        <v>38055369</v>
      </c>
      <c r="E34" s="426">
        <v>11199258</v>
      </c>
      <c r="F34" s="352"/>
      <c r="G34" s="427"/>
      <c r="H34" s="427">
        <v>26856111</v>
      </c>
      <c r="I34" s="283" t="s">
        <v>1901</v>
      </c>
      <c r="J34" s="35" t="s">
        <v>1307</v>
      </c>
      <c r="N34" s="8">
        <f t="shared" si="3"/>
        <v>202</v>
      </c>
    </row>
    <row r="35" spans="1:14">
      <c r="A35" s="131">
        <f t="shared" si="4"/>
        <v>203</v>
      </c>
      <c r="B35" s="282">
        <v>190</v>
      </c>
      <c r="C35" s="270" t="s">
        <v>1896</v>
      </c>
      <c r="D35" s="635">
        <f t="shared" si="2"/>
        <v>67177504</v>
      </c>
      <c r="E35" s="426">
        <v>67177504</v>
      </c>
      <c r="F35" s="427"/>
      <c r="G35" s="427"/>
      <c r="H35" s="427"/>
      <c r="I35" s="283" t="s">
        <v>1900</v>
      </c>
      <c r="J35" s="35" t="s">
        <v>1308</v>
      </c>
      <c r="N35" s="8">
        <f t="shared" si="3"/>
        <v>203</v>
      </c>
    </row>
    <row r="36" spans="1:14">
      <c r="A36" s="131">
        <f t="shared" si="4"/>
        <v>204</v>
      </c>
      <c r="B36" s="282">
        <v>190</v>
      </c>
      <c r="C36" s="270" t="s">
        <v>624</v>
      </c>
      <c r="D36" s="635">
        <f t="shared" si="2"/>
        <v>1326120555</v>
      </c>
      <c r="E36" s="426">
        <v>1326120555</v>
      </c>
      <c r="F36" s="352"/>
      <c r="G36" s="427"/>
      <c r="H36" s="427"/>
      <c r="I36" s="283" t="s">
        <v>1900</v>
      </c>
      <c r="J36" s="35" t="s">
        <v>1309</v>
      </c>
      <c r="N36" s="8">
        <f t="shared" si="3"/>
        <v>204</v>
      </c>
    </row>
    <row r="37" spans="1:14" ht="15.75" customHeight="1">
      <c r="A37" s="131">
        <f t="shared" si="4"/>
        <v>205</v>
      </c>
      <c r="B37" s="282">
        <v>190</v>
      </c>
      <c r="C37" s="270" t="s">
        <v>1897</v>
      </c>
      <c r="D37" s="635">
        <f t="shared" si="2"/>
        <v>-352127944</v>
      </c>
      <c r="E37" s="426">
        <v>-351823303</v>
      </c>
      <c r="F37" s="352"/>
      <c r="G37" s="427">
        <v>-304641</v>
      </c>
      <c r="H37" s="427"/>
      <c r="I37" s="283" t="s">
        <v>1901</v>
      </c>
      <c r="J37" s="35" t="s">
        <v>1310</v>
      </c>
      <c r="N37" s="8">
        <f t="shared" si="3"/>
        <v>205</v>
      </c>
    </row>
    <row r="38" spans="1:14">
      <c r="A38" s="131">
        <f t="shared" si="4"/>
        <v>206</v>
      </c>
      <c r="B38" s="282">
        <v>190</v>
      </c>
      <c r="C38" s="270" t="s">
        <v>1898</v>
      </c>
      <c r="D38" s="635">
        <f t="shared" si="2"/>
        <v>7266371518</v>
      </c>
      <c r="E38" s="426">
        <f>7266371518-F38</f>
        <v>6773217926.010767</v>
      </c>
      <c r="F38" s="444">
        <f>493153.591989233*1000</f>
        <v>493153591.98923296</v>
      </c>
      <c r="G38" s="427"/>
      <c r="H38" s="427"/>
      <c r="I38" s="283" t="s">
        <v>1902</v>
      </c>
      <c r="J38" s="35" t="s">
        <v>1422</v>
      </c>
      <c r="N38" s="8">
        <f t="shared" si="3"/>
        <v>206</v>
      </c>
    </row>
    <row r="39" spans="1:14">
      <c r="A39" s="131">
        <f t="shared" si="4"/>
        <v>207</v>
      </c>
      <c r="B39" s="282">
        <v>190</v>
      </c>
      <c r="C39" s="270" t="s">
        <v>1899</v>
      </c>
      <c r="D39" s="635">
        <f t="shared" si="2"/>
        <v>0</v>
      </c>
      <c r="E39" s="426">
        <v>0</v>
      </c>
      <c r="F39" s="352"/>
      <c r="G39" s="427"/>
      <c r="H39" s="427"/>
      <c r="I39" s="283" t="s">
        <v>1900</v>
      </c>
      <c r="J39" s="35" t="s">
        <v>1311</v>
      </c>
      <c r="N39" s="8">
        <f t="shared" si="3"/>
        <v>207</v>
      </c>
    </row>
    <row r="40" spans="1:14">
      <c r="A40" s="131">
        <f t="shared" si="4"/>
        <v>208</v>
      </c>
      <c r="B40" s="282">
        <v>190</v>
      </c>
      <c r="C40" s="270" t="s">
        <v>1834</v>
      </c>
      <c r="D40" s="635">
        <f t="shared" si="2"/>
        <v>-80712788</v>
      </c>
      <c r="E40" s="426">
        <v>-20128773</v>
      </c>
      <c r="F40" s="352"/>
      <c r="G40" s="427">
        <v>-60584015</v>
      </c>
      <c r="H40" s="427"/>
      <c r="I40" s="283" t="s">
        <v>1901</v>
      </c>
      <c r="J40" s="35" t="s">
        <v>1312</v>
      </c>
      <c r="N40" s="8">
        <f t="shared" si="3"/>
        <v>208</v>
      </c>
    </row>
    <row r="41" spans="1:14">
      <c r="A41" s="131">
        <f t="shared" si="4"/>
        <v>209</v>
      </c>
      <c r="B41" s="282">
        <v>190</v>
      </c>
      <c r="C41" s="270" t="s">
        <v>84</v>
      </c>
      <c r="D41" s="635">
        <f t="shared" si="2"/>
        <v>2152134507</v>
      </c>
      <c r="E41" s="426">
        <f>2152134507-F41</f>
        <v>2123212884.4353395</v>
      </c>
      <c r="F41" s="352">
        <v>28921622.564660646</v>
      </c>
      <c r="G41" s="427"/>
      <c r="H41" s="427"/>
      <c r="I41" s="283" t="s">
        <v>1901</v>
      </c>
      <c r="J41" s="35" t="s">
        <v>1313</v>
      </c>
      <c r="N41" s="8">
        <f t="shared" si="3"/>
        <v>209</v>
      </c>
    </row>
    <row r="42" spans="1:14">
      <c r="A42" s="131"/>
      <c r="B42" s="284"/>
      <c r="C42" s="176"/>
      <c r="D42" s="183"/>
      <c r="E42" s="20"/>
      <c r="F42" s="20"/>
      <c r="G42" s="20"/>
      <c r="H42" s="20"/>
      <c r="I42" s="13"/>
      <c r="N42" s="8"/>
    </row>
    <row r="43" spans="1:14">
      <c r="A43" s="131">
        <f>+A41+1</f>
        <v>210</v>
      </c>
      <c r="B43" s="176"/>
      <c r="C43" s="176" t="s">
        <v>625</v>
      </c>
      <c r="D43" s="428">
        <f>SUM(D32:D41)</f>
        <v>10203179212</v>
      </c>
      <c r="E43" s="428">
        <f>SUM(E32:E41)</f>
        <v>9715136542.446106</v>
      </c>
      <c r="F43" s="429">
        <f>SUM(F32:F41)</f>
        <v>522075214.55389363</v>
      </c>
      <c r="G43" s="429">
        <f>SUM(G32:G41)</f>
        <v>-60888656</v>
      </c>
      <c r="H43" s="429">
        <f>SUM(H32:H41)</f>
        <v>26856111</v>
      </c>
      <c r="I43" s="35" t="str">
        <f>"Sum of Above Lines beginning on Line "&amp;A32&amp;""</f>
        <v>Sum of Above Lines beginning on Line 200</v>
      </c>
      <c r="N43" s="8">
        <f>A43</f>
        <v>210</v>
      </c>
    </row>
    <row r="44" spans="1:14">
      <c r="A44" s="131">
        <f>A43+1</f>
        <v>211</v>
      </c>
      <c r="B44" s="176"/>
      <c r="C44" s="176" t="s">
        <v>626</v>
      </c>
      <c r="D44" s="286"/>
      <c r="E44" s="286">
        <f>+D48-D43</f>
        <v>0</v>
      </c>
      <c r="F44" s="286"/>
      <c r="G44" s="309">
        <f>'24-Allocators'!C33</f>
        <v>0.21691306018708681</v>
      </c>
      <c r="H44" s="309">
        <f>'24-Allocators'!C23</f>
        <v>0.13539553206179952</v>
      </c>
      <c r="I44" s="287" t="s">
        <v>1268</v>
      </c>
      <c r="N44" s="8">
        <f>A44</f>
        <v>211</v>
      </c>
    </row>
    <row r="45" spans="1:14">
      <c r="A45" s="131">
        <f>+A44+1</f>
        <v>212</v>
      </c>
      <c r="B45" s="176"/>
      <c r="C45" s="177" t="s">
        <v>627</v>
      </c>
      <c r="D45" s="549">
        <f>SUM(F45:H45)</f>
        <v>512503867.28821051</v>
      </c>
      <c r="E45" s="429"/>
      <c r="F45" s="430">
        <f>+F43</f>
        <v>522075214.55389363</v>
      </c>
      <c r="G45" s="430">
        <f>+G43*G44</f>
        <v>-13207544.703638824</v>
      </c>
      <c r="H45" s="430">
        <f>+H43*H44</f>
        <v>3636197.4379557469</v>
      </c>
      <c r="I45" s="289" t="str">
        <f>CONCATENATE("Line ",A43," * ","Line ",A44," for Cols 5 and 6")</f>
        <v>Line 210 * Line 211 for Cols 5 and 6</v>
      </c>
      <c r="N45" s="8">
        <f>A45</f>
        <v>212</v>
      </c>
    </row>
    <row r="46" spans="1:14">
      <c r="A46" s="131"/>
      <c r="B46" s="176"/>
      <c r="C46" s="290" t="s">
        <v>628</v>
      </c>
      <c r="D46" s="286"/>
      <c r="E46" s="286"/>
      <c r="F46" s="286"/>
      <c r="G46" s="286"/>
      <c r="H46" s="286"/>
      <c r="I46" s="289"/>
      <c r="N46" s="8"/>
    </row>
    <row r="47" spans="1:14">
      <c r="A47" s="131"/>
      <c r="B47" s="176"/>
      <c r="C47" s="176"/>
      <c r="D47" s="285"/>
      <c r="E47" s="286"/>
      <c r="F47" s="286"/>
      <c r="G47" s="286"/>
      <c r="H47" s="286"/>
      <c r="I47" s="289"/>
      <c r="N47" s="8"/>
    </row>
    <row r="48" spans="1:14">
      <c r="A48" s="131">
        <f>+A45+1</f>
        <v>213</v>
      </c>
      <c r="B48" s="176"/>
      <c r="C48" s="176" t="s">
        <v>629</v>
      </c>
      <c r="D48" s="431">
        <v>10203179212</v>
      </c>
      <c r="E48" s="291" t="str">
        <f>CONCATENATE("Must match amount on Line ",A43," ",D28)</f>
        <v>Must match amount on Line 210 Col 2</v>
      </c>
      <c r="G48" s="286"/>
      <c r="H48" s="286"/>
      <c r="J48" s="289" t="s">
        <v>1269</v>
      </c>
      <c r="N48" s="8">
        <f>A48</f>
        <v>213</v>
      </c>
    </row>
    <row r="49" spans="1:14">
      <c r="A49" s="131"/>
      <c r="B49" s="176"/>
      <c r="C49" s="176"/>
      <c r="D49" s="292"/>
      <c r="E49" s="292"/>
      <c r="F49" s="292"/>
      <c r="G49" s="292"/>
      <c r="H49" s="292"/>
      <c r="I49" s="236"/>
      <c r="N49" s="8"/>
    </row>
    <row r="50" spans="1:14">
      <c r="A50" s="27"/>
      <c r="B50" s="179" t="s">
        <v>630</v>
      </c>
      <c r="C50" s="293"/>
      <c r="D50" s="294"/>
      <c r="E50" s="54"/>
      <c r="F50" s="54"/>
      <c r="G50" s="54"/>
      <c r="H50" s="54"/>
      <c r="I50" s="54"/>
      <c r="J50" s="54"/>
      <c r="K50" s="54"/>
      <c r="L50" s="54"/>
      <c r="M50" s="54"/>
      <c r="N50" s="8"/>
    </row>
    <row r="51" spans="1:14">
      <c r="A51" s="27"/>
      <c r="C51" s="122" t="s">
        <v>98</v>
      </c>
      <c r="D51" s="122" t="s">
        <v>99</v>
      </c>
      <c r="E51" s="122" t="s">
        <v>100</v>
      </c>
      <c r="F51" s="122" t="s">
        <v>101</v>
      </c>
      <c r="G51" s="122" t="s">
        <v>102</v>
      </c>
      <c r="H51" s="122" t="s">
        <v>103</v>
      </c>
      <c r="I51" s="122" t="s">
        <v>104</v>
      </c>
      <c r="N51" s="8"/>
    </row>
    <row r="52" spans="1:14">
      <c r="A52" s="27"/>
      <c r="B52" s="1"/>
      <c r="C52" s="1"/>
      <c r="D52" s="1" t="s">
        <v>1286</v>
      </c>
      <c r="E52" s="1" t="s">
        <v>1710</v>
      </c>
      <c r="F52" s="1"/>
      <c r="G52" s="1" t="s">
        <v>1708</v>
      </c>
      <c r="H52" s="1" t="s">
        <v>1709</v>
      </c>
      <c r="I52" s="280"/>
      <c r="N52" s="8"/>
    </row>
    <row r="53" spans="1:14">
      <c r="A53" s="119" t="s">
        <v>122</v>
      </c>
      <c r="B53" s="281" t="s">
        <v>631</v>
      </c>
      <c r="C53" s="281" t="s">
        <v>619</v>
      </c>
      <c r="D53" s="281" t="s">
        <v>1285</v>
      </c>
      <c r="E53" s="281" t="s">
        <v>1711</v>
      </c>
      <c r="F53" s="281" t="s">
        <v>620</v>
      </c>
      <c r="G53" s="281" t="s">
        <v>621</v>
      </c>
      <c r="H53" s="281" t="s">
        <v>622</v>
      </c>
      <c r="I53" s="281" t="s">
        <v>127</v>
      </c>
      <c r="N53" s="119" t="str">
        <f t="shared" ref="N53:N60" si="5">A53</f>
        <v>Line</v>
      </c>
    </row>
    <row r="54" spans="1:14">
      <c r="A54" s="131">
        <v>300</v>
      </c>
      <c r="B54" s="295">
        <v>282</v>
      </c>
      <c r="C54" s="91" t="s">
        <v>1903</v>
      </c>
      <c r="D54" s="636">
        <f t="shared" ref="D54:D60" si="6">SUM(E54:H54)</f>
        <v>-2095571016</v>
      </c>
      <c r="E54" s="427"/>
      <c r="F54" s="427">
        <v>-2095571016</v>
      </c>
      <c r="G54" s="427"/>
      <c r="H54" s="427"/>
      <c r="I54" s="283" t="s">
        <v>1902</v>
      </c>
      <c r="J54" s="35" t="s">
        <v>1314</v>
      </c>
      <c r="N54" s="8">
        <f t="shared" si="5"/>
        <v>300</v>
      </c>
    </row>
    <row r="55" spans="1:14">
      <c r="A55" s="131">
        <f t="shared" ref="A55:A60" si="7">A54+1</f>
        <v>301</v>
      </c>
      <c r="B55" s="295">
        <v>282</v>
      </c>
      <c r="C55" s="91" t="s">
        <v>1904</v>
      </c>
      <c r="D55" s="636">
        <f t="shared" si="6"/>
        <v>-8034316898</v>
      </c>
      <c r="E55" s="427">
        <v>-8034316898</v>
      </c>
      <c r="F55" s="427"/>
      <c r="G55" s="427"/>
      <c r="H55" s="427"/>
      <c r="I55" s="283" t="s">
        <v>1906</v>
      </c>
      <c r="J55" s="35"/>
      <c r="N55" s="8">
        <f t="shared" si="5"/>
        <v>301</v>
      </c>
    </row>
    <row r="56" spans="1:14">
      <c r="A56" s="131">
        <f t="shared" si="7"/>
        <v>302</v>
      </c>
      <c r="B56" s="295">
        <v>282</v>
      </c>
      <c r="C56" s="91" t="s">
        <v>1905</v>
      </c>
      <c r="D56" s="636">
        <f t="shared" si="6"/>
        <v>-497928581</v>
      </c>
      <c r="E56" s="427"/>
      <c r="F56" s="427"/>
      <c r="G56" s="427">
        <v>-497928581</v>
      </c>
      <c r="H56" s="427"/>
      <c r="I56" s="283" t="s">
        <v>1907</v>
      </c>
      <c r="J56" s="35" t="s">
        <v>1315</v>
      </c>
      <c r="N56" s="8">
        <f t="shared" si="5"/>
        <v>302</v>
      </c>
    </row>
    <row r="57" spans="1:14">
      <c r="A57" s="131">
        <f t="shared" si="7"/>
        <v>303</v>
      </c>
      <c r="B57" s="295"/>
      <c r="C57" s="91"/>
      <c r="D57" s="636">
        <f t="shared" si="6"/>
        <v>0</v>
      </c>
      <c r="E57" s="427"/>
      <c r="F57" s="427"/>
      <c r="G57" s="427"/>
      <c r="H57" s="427"/>
      <c r="I57" s="283"/>
      <c r="J57" s="35"/>
      <c r="N57" s="8">
        <f t="shared" si="5"/>
        <v>303</v>
      </c>
    </row>
    <row r="58" spans="1:14">
      <c r="A58" s="131">
        <f t="shared" si="7"/>
        <v>304</v>
      </c>
      <c r="B58" s="295"/>
      <c r="C58" s="91"/>
      <c r="D58" s="636">
        <f t="shared" si="6"/>
        <v>0</v>
      </c>
      <c r="E58" s="427"/>
      <c r="F58" s="427"/>
      <c r="G58" s="427"/>
      <c r="H58" s="427"/>
      <c r="I58" s="283"/>
      <c r="J58" s="35"/>
      <c r="N58" s="8">
        <f t="shared" si="5"/>
        <v>304</v>
      </c>
    </row>
    <row r="59" spans="1:14">
      <c r="A59" s="131">
        <f t="shared" si="7"/>
        <v>305</v>
      </c>
      <c r="B59" s="295"/>
      <c r="C59" s="91"/>
      <c r="D59" s="636">
        <f t="shared" si="6"/>
        <v>0</v>
      </c>
      <c r="E59" s="427"/>
      <c r="F59" s="427"/>
      <c r="G59" s="427"/>
      <c r="H59" s="427"/>
      <c r="I59" s="283"/>
      <c r="J59" s="35"/>
      <c r="N59" s="8">
        <f t="shared" si="5"/>
        <v>305</v>
      </c>
    </row>
    <row r="60" spans="1:14">
      <c r="A60" s="131">
        <f t="shared" si="7"/>
        <v>306</v>
      </c>
      <c r="B60" s="282"/>
      <c r="C60" s="270"/>
      <c r="D60" s="636">
        <f t="shared" si="6"/>
        <v>0</v>
      </c>
      <c r="E60" s="352"/>
      <c r="F60" s="352"/>
      <c r="G60" s="352"/>
      <c r="H60" s="352"/>
      <c r="I60" s="49"/>
      <c r="N60" s="8">
        <f t="shared" si="5"/>
        <v>306</v>
      </c>
    </row>
    <row r="61" spans="1:14">
      <c r="A61" s="131"/>
      <c r="B61" s="140"/>
      <c r="C61" s="17"/>
      <c r="D61" s="285"/>
      <c r="E61" s="20"/>
      <c r="F61" s="20"/>
      <c r="G61" s="20"/>
      <c r="H61" s="20"/>
      <c r="N61" s="8"/>
    </row>
    <row r="62" spans="1:14">
      <c r="A62" s="131">
        <f>+A60+1</f>
        <v>307</v>
      </c>
      <c r="B62" s="27"/>
      <c r="C62" s="17" t="s">
        <v>633</v>
      </c>
      <c r="D62" s="429">
        <f>SUM(D54:D60)</f>
        <v>-10627816495</v>
      </c>
      <c r="E62" s="429">
        <f>SUM(E54:E60)</f>
        <v>-8034316898</v>
      </c>
      <c r="F62" s="429">
        <f>SUM(F54:F60)</f>
        <v>-2095571016</v>
      </c>
      <c r="G62" s="429">
        <f>SUM(G54:G60)</f>
        <v>-497928581</v>
      </c>
      <c r="H62" s="429">
        <f>SUM(H54:H60)</f>
        <v>0</v>
      </c>
      <c r="I62" s="35" t="str">
        <f>"Sum of Above Lines beginning on Line "&amp;A54&amp;""</f>
        <v>Sum of Above Lines beginning on Line 300</v>
      </c>
      <c r="N62" s="8">
        <f>A62</f>
        <v>307</v>
      </c>
    </row>
    <row r="63" spans="1:14">
      <c r="A63" s="131">
        <f>+A62+1</f>
        <v>308</v>
      </c>
      <c r="B63" s="176"/>
      <c r="C63" s="176" t="s">
        <v>626</v>
      </c>
      <c r="D63" s="286"/>
      <c r="E63" s="286"/>
      <c r="F63" s="229">
        <f>+'24-Allocators'!C37</f>
        <v>0.95164401749843386</v>
      </c>
      <c r="G63" s="309">
        <f>'24-Allocators'!$C$29</f>
        <v>0.16085587413428787</v>
      </c>
      <c r="H63" s="309">
        <f>'24-Allocators'!$C$24</f>
        <v>9.5754660785216397E-2</v>
      </c>
      <c r="I63" s="287" t="s">
        <v>1704</v>
      </c>
      <c r="J63" s="17"/>
      <c r="N63" s="8">
        <f>A63</f>
        <v>308</v>
      </c>
    </row>
    <row r="64" spans="1:14">
      <c r="A64" s="131">
        <f>+A63+1</f>
        <v>309</v>
      </c>
      <c r="B64" s="176"/>
      <c r="C64" s="177" t="s">
        <v>634</v>
      </c>
      <c r="D64" s="549">
        <f>SUM(F64:H64)</f>
        <v>-2074332357.7727153</v>
      </c>
      <c r="E64" s="433"/>
      <c r="F64" s="441">
        <f>+F62*F63</f>
        <v>-1994237620.6195147</v>
      </c>
      <c r="G64" s="430">
        <f>+G62*G63</f>
        <v>-80094737.153200567</v>
      </c>
      <c r="H64" s="430">
        <f>+H62*H63</f>
        <v>0</v>
      </c>
      <c r="I64" s="289" t="str">
        <f>CONCATENATE("Line ",A62," * ","Line ",A63," for Cols 4 to 6")</f>
        <v>Line 307 * Line 308 for Cols 4 to 6</v>
      </c>
      <c r="J64" s="17"/>
      <c r="N64" s="8">
        <f>A64</f>
        <v>309</v>
      </c>
    </row>
    <row r="65" spans="1:14">
      <c r="A65" s="131"/>
      <c r="B65" s="176"/>
      <c r="C65" s="290" t="s">
        <v>628</v>
      </c>
      <c r="E65" s="286"/>
      <c r="F65" s="286"/>
      <c r="G65" s="286"/>
      <c r="H65" s="286"/>
      <c r="I65" s="289"/>
      <c r="J65" s="17"/>
      <c r="N65" s="8"/>
    </row>
    <row r="66" spans="1:14">
      <c r="A66" s="131"/>
      <c r="B66" s="176"/>
      <c r="D66" s="290"/>
      <c r="E66" s="286"/>
      <c r="F66" s="286"/>
      <c r="G66" s="286"/>
      <c r="H66" s="286"/>
      <c r="I66" s="289"/>
      <c r="J66" s="17"/>
      <c r="N66" s="8"/>
    </row>
    <row r="67" spans="1:14">
      <c r="A67" s="131">
        <f>+A64+1</f>
        <v>310</v>
      </c>
      <c r="B67" s="27"/>
      <c r="C67" s="176" t="s">
        <v>635</v>
      </c>
      <c r="D67" s="637">
        <v>-10627816495</v>
      </c>
      <c r="E67" s="291"/>
      <c r="F67" s="286"/>
      <c r="G67" s="286"/>
      <c r="H67" s="286"/>
      <c r="J67" s="18" t="s">
        <v>1984</v>
      </c>
      <c r="N67" s="8">
        <f>A67</f>
        <v>310</v>
      </c>
    </row>
    <row r="68" spans="1:14">
      <c r="A68" s="131">
        <f>A67+1</f>
        <v>311</v>
      </c>
      <c r="B68" s="27"/>
      <c r="C68" s="176" t="s">
        <v>1694</v>
      </c>
      <c r="D68" s="428"/>
      <c r="E68" s="291"/>
      <c r="F68" s="286"/>
      <c r="G68" s="286"/>
      <c r="H68" s="286"/>
      <c r="J68" s="18"/>
      <c r="N68" s="8">
        <f>A68</f>
        <v>311</v>
      </c>
    </row>
    <row r="69" spans="1:14" ht="15" thickBot="1">
      <c r="A69" s="131">
        <f>A68+1</f>
        <v>312</v>
      </c>
      <c r="B69" s="27"/>
      <c r="C69" s="176" t="s">
        <v>635</v>
      </c>
      <c r="D69" s="434">
        <f>SUM(D67:D68)</f>
        <v>-10627816495</v>
      </c>
      <c r="E69" s="291" t="str">
        <f>CONCATENATE("Must match amount on Line ",A62," ",D51)</f>
        <v>Must match amount on Line 307 Col 2</v>
      </c>
      <c r="F69" s="286"/>
      <c r="G69" s="286"/>
      <c r="H69" s="286"/>
      <c r="I69" s="236"/>
      <c r="J69" s="17"/>
      <c r="N69" s="8">
        <f>A69</f>
        <v>312</v>
      </c>
    </row>
    <row r="70" spans="1:14" ht="15" thickTop="1">
      <c r="A70" s="131"/>
      <c r="B70" s="27"/>
      <c r="C70" s="17"/>
      <c r="D70" s="285"/>
      <c r="E70" s="291"/>
      <c r="F70" s="286"/>
      <c r="G70" s="286"/>
      <c r="H70" s="286"/>
      <c r="I70" s="236"/>
      <c r="J70" s="17"/>
      <c r="N70" s="8"/>
    </row>
    <row r="71" spans="1:14">
      <c r="A71" s="27"/>
      <c r="B71" s="179" t="s">
        <v>636</v>
      </c>
      <c r="C71" s="180"/>
      <c r="D71" s="296"/>
      <c r="E71" s="59"/>
      <c r="F71" s="59"/>
      <c r="G71" s="59"/>
      <c r="H71" s="59"/>
      <c r="I71" s="54"/>
      <c r="J71" s="144"/>
      <c r="K71" s="54"/>
      <c r="L71" s="54"/>
      <c r="M71" s="54"/>
      <c r="N71" s="8"/>
    </row>
    <row r="72" spans="1:14">
      <c r="A72" s="27"/>
      <c r="B72" s="177"/>
      <c r="C72" s="122" t="s">
        <v>98</v>
      </c>
      <c r="D72" s="122" t="s">
        <v>99</v>
      </c>
      <c r="E72" s="122" t="s">
        <v>100</v>
      </c>
      <c r="F72" s="122" t="s">
        <v>101</v>
      </c>
      <c r="G72" s="122" t="s">
        <v>102</v>
      </c>
      <c r="H72" s="122" t="s">
        <v>103</v>
      </c>
      <c r="I72" s="122" t="s">
        <v>104</v>
      </c>
      <c r="J72" s="17"/>
      <c r="N72" s="8"/>
    </row>
    <row r="73" spans="1:14">
      <c r="A73" s="27"/>
      <c r="B73" s="1"/>
      <c r="C73" s="1"/>
      <c r="D73" s="1" t="s">
        <v>1286</v>
      </c>
      <c r="E73" s="1" t="s">
        <v>1710</v>
      </c>
      <c r="F73" s="297"/>
      <c r="G73" s="1" t="s">
        <v>1708</v>
      </c>
      <c r="H73" s="1" t="s">
        <v>1709</v>
      </c>
      <c r="I73" s="280"/>
      <c r="J73" s="17"/>
      <c r="N73" s="8"/>
    </row>
    <row r="74" spans="1:14">
      <c r="A74" s="119" t="s">
        <v>122</v>
      </c>
      <c r="B74" s="281" t="s">
        <v>637</v>
      </c>
      <c r="C74" s="281" t="s">
        <v>619</v>
      </c>
      <c r="D74" s="281" t="s">
        <v>1285</v>
      </c>
      <c r="E74" s="281" t="s">
        <v>1711</v>
      </c>
      <c r="F74" s="298" t="s">
        <v>620</v>
      </c>
      <c r="G74" s="298" t="s">
        <v>621</v>
      </c>
      <c r="H74" s="298" t="s">
        <v>622</v>
      </c>
      <c r="I74" s="281" t="s">
        <v>127</v>
      </c>
      <c r="J74" s="17"/>
      <c r="N74" s="119" t="str">
        <f>A74</f>
        <v>Line</v>
      </c>
    </row>
    <row r="75" spans="1:14">
      <c r="A75" s="131"/>
      <c r="B75" s="176" t="s">
        <v>623</v>
      </c>
      <c r="D75" s="20"/>
      <c r="E75" s="20"/>
      <c r="F75" s="20"/>
      <c r="G75" s="20"/>
      <c r="H75" s="20"/>
      <c r="J75" s="17"/>
      <c r="N75" s="8"/>
    </row>
    <row r="76" spans="1:14">
      <c r="A76" s="131">
        <v>400</v>
      </c>
      <c r="B76" s="295">
        <v>283</v>
      </c>
      <c r="C76" s="91" t="s">
        <v>1908</v>
      </c>
      <c r="D76" s="636">
        <f>SUM(E76:H76)</f>
        <v>-35791746</v>
      </c>
      <c r="E76" s="476">
        <v>-35791746</v>
      </c>
      <c r="F76" s="476"/>
      <c r="G76" s="476"/>
      <c r="H76" s="476"/>
      <c r="I76" s="283" t="s">
        <v>1900</v>
      </c>
      <c r="J76" s="18" t="s">
        <v>1985</v>
      </c>
      <c r="N76" s="8">
        <f>A76</f>
        <v>400</v>
      </c>
    </row>
    <row r="77" spans="1:14">
      <c r="A77" s="131">
        <f>A76+1</f>
        <v>401</v>
      </c>
      <c r="B77" s="295">
        <v>283</v>
      </c>
      <c r="C77" s="91" t="s">
        <v>1909</v>
      </c>
      <c r="D77" s="636">
        <f>SUM(E77:H77)</f>
        <v>-2322462756</v>
      </c>
      <c r="E77" s="476">
        <v>-2322462756</v>
      </c>
      <c r="F77" s="476"/>
      <c r="G77" s="476"/>
      <c r="H77" s="476"/>
      <c r="I77" s="283" t="s">
        <v>1910</v>
      </c>
      <c r="J77" s="18" t="s">
        <v>1986</v>
      </c>
      <c r="N77" s="8">
        <f>A77</f>
        <v>401</v>
      </c>
    </row>
    <row r="78" spans="1:14">
      <c r="A78" s="131">
        <f>A77+1</f>
        <v>402</v>
      </c>
      <c r="B78" s="295">
        <v>283</v>
      </c>
      <c r="C78" s="91" t="s">
        <v>84</v>
      </c>
      <c r="D78" s="636">
        <f>SUM(E78:H78)</f>
        <v>-421270881</v>
      </c>
      <c r="E78" s="476">
        <v>-421270881</v>
      </c>
      <c r="F78" s="476"/>
      <c r="G78" s="476"/>
      <c r="H78" s="476"/>
      <c r="I78" s="283" t="s">
        <v>1900</v>
      </c>
      <c r="J78" s="18" t="s">
        <v>1987</v>
      </c>
      <c r="N78" s="8">
        <f>A78</f>
        <v>402</v>
      </c>
    </row>
    <row r="79" spans="1:14">
      <c r="A79" s="131">
        <f>A78+1</f>
        <v>403</v>
      </c>
      <c r="B79" s="295"/>
      <c r="C79" s="91"/>
      <c r="D79" s="636"/>
      <c r="E79" s="476"/>
      <c r="F79" s="476"/>
      <c r="G79" s="476"/>
      <c r="H79" s="476"/>
      <c r="I79" s="283"/>
      <c r="J79" s="18"/>
      <c r="N79" s="8">
        <f>A79</f>
        <v>403</v>
      </c>
    </row>
    <row r="80" spans="1:14">
      <c r="A80" s="131"/>
      <c r="B80" s="116"/>
      <c r="C80" s="17"/>
      <c r="D80" s="164"/>
      <c r="E80" s="20"/>
      <c r="F80" s="20"/>
      <c r="G80" s="20"/>
      <c r="H80" s="20"/>
      <c r="J80" s="17"/>
      <c r="N80" s="8"/>
    </row>
    <row r="81" spans="1:14">
      <c r="A81" s="131">
        <f>A79+1</f>
        <v>404</v>
      </c>
      <c r="B81" s="17"/>
      <c r="C81" s="17" t="s">
        <v>638</v>
      </c>
      <c r="D81" s="429">
        <f>SUM(D76:D79)</f>
        <v>-2779525383</v>
      </c>
      <c r="E81" s="429">
        <f>SUM(E76:E79)</f>
        <v>-2779525383</v>
      </c>
      <c r="F81" s="429">
        <f>SUM(F76:F79)</f>
        <v>0</v>
      </c>
      <c r="G81" s="429">
        <f>SUM(G76:G79)</f>
        <v>0</v>
      </c>
      <c r="H81" s="429">
        <f>SUM(H76:H79)</f>
        <v>0</v>
      </c>
      <c r="I81" s="35" t="str">
        <f>"Sum of Above Lines beginning on Line "&amp;A76&amp;""</f>
        <v>Sum of Above Lines beginning on Line 400</v>
      </c>
      <c r="J81" s="17"/>
      <c r="N81" s="8">
        <f>A81</f>
        <v>404</v>
      </c>
    </row>
    <row r="82" spans="1:14">
      <c r="A82" s="131">
        <f>A81+1</f>
        <v>405</v>
      </c>
      <c r="B82" s="176"/>
      <c r="C82" s="176" t="s">
        <v>626</v>
      </c>
      <c r="D82" s="299"/>
      <c r="E82" s="299"/>
      <c r="F82" s="286"/>
      <c r="G82" s="309">
        <f>'24-Allocators'!$C$29</f>
        <v>0.16085587413428787</v>
      </c>
      <c r="H82" s="309">
        <f>'24-Allocators'!$C$24</f>
        <v>9.5754660785216397E-2</v>
      </c>
      <c r="I82" s="287" t="s">
        <v>1073</v>
      </c>
      <c r="J82" s="17"/>
      <c r="N82" s="8">
        <f>A82</f>
        <v>405</v>
      </c>
    </row>
    <row r="83" spans="1:14">
      <c r="A83" s="131">
        <f>+A82+1</f>
        <v>406</v>
      </c>
      <c r="B83" s="176"/>
      <c r="C83" s="177" t="s">
        <v>639</v>
      </c>
      <c r="D83" s="550">
        <f>SUM(F83:H83)</f>
        <v>0</v>
      </c>
      <c r="E83" s="286"/>
      <c r="F83" s="288">
        <f>+F81</f>
        <v>0</v>
      </c>
      <c r="G83" s="288">
        <f>+G81*G82</f>
        <v>0</v>
      </c>
      <c r="H83" s="300">
        <f>+H81*H82</f>
        <v>0</v>
      </c>
      <c r="I83" s="289" t="str">
        <f>CONCATENATE("Line ",A81," * ","Line ",A82," for Cols 5 and 6")</f>
        <v>Line 404 * Line 405 for Cols 5 and 6</v>
      </c>
      <c r="J83" s="17"/>
      <c r="N83" s="8">
        <f>A83</f>
        <v>406</v>
      </c>
    </row>
    <row r="84" spans="1:14">
      <c r="A84" s="131"/>
      <c r="C84" s="290" t="s">
        <v>628</v>
      </c>
      <c r="D84" s="164"/>
      <c r="E84" s="164"/>
      <c r="F84" s="164"/>
      <c r="G84" s="164"/>
      <c r="H84" s="164"/>
      <c r="I84" s="289"/>
      <c r="J84" s="164"/>
      <c r="N84" s="8"/>
    </row>
    <row r="85" spans="1:14">
      <c r="A85" s="131"/>
      <c r="C85" s="17"/>
      <c r="D85" s="164"/>
      <c r="E85" s="164"/>
      <c r="F85" s="164"/>
      <c r="G85" s="164"/>
      <c r="H85" s="164"/>
      <c r="I85" s="289"/>
      <c r="J85" s="17"/>
      <c r="N85" s="8"/>
    </row>
    <row r="86" spans="1:14">
      <c r="A86" s="131">
        <f>A83+1</f>
        <v>407</v>
      </c>
      <c r="C86" s="176" t="s">
        <v>640</v>
      </c>
      <c r="D86" s="637">
        <v>-2779525383</v>
      </c>
      <c r="E86" s="291" t="str">
        <f>CONCATENATE("Must match amount on Line ",A81," ",D72)</f>
        <v>Must match amount on Line 404 Col 2</v>
      </c>
      <c r="F86" s="286"/>
      <c r="G86" s="286"/>
      <c r="H86" s="286"/>
      <c r="J86" s="18" t="s">
        <v>1988</v>
      </c>
      <c r="N86" s="8">
        <f>A86</f>
        <v>407</v>
      </c>
    </row>
    <row r="87" spans="1:14">
      <c r="A87" s="131"/>
      <c r="C87" s="176"/>
      <c r="D87" s="291"/>
      <c r="E87" s="291"/>
      <c r="F87" s="286"/>
      <c r="G87" s="286"/>
      <c r="H87" s="286"/>
      <c r="I87" s="35"/>
      <c r="N87" s="8"/>
    </row>
    <row r="88" spans="1:14">
      <c r="A88" s="27"/>
      <c r="B88" s="179" t="s">
        <v>641</v>
      </c>
      <c r="C88" s="180"/>
      <c r="D88" s="296"/>
      <c r="E88" s="59"/>
      <c r="F88" s="59"/>
      <c r="G88" s="59"/>
      <c r="H88" s="59"/>
      <c r="I88" s="54"/>
      <c r="J88" s="54"/>
      <c r="K88" s="54"/>
      <c r="L88" s="54"/>
      <c r="M88" s="54"/>
      <c r="N88" s="8"/>
    </row>
    <row r="89" spans="1:14">
      <c r="A89" s="27"/>
      <c r="B89" s="177"/>
      <c r="C89" s="122" t="s">
        <v>98</v>
      </c>
      <c r="D89" s="122" t="s">
        <v>99</v>
      </c>
      <c r="E89" s="122" t="s">
        <v>100</v>
      </c>
      <c r="F89" s="122" t="s">
        <v>101</v>
      </c>
      <c r="G89" s="122" t="s">
        <v>102</v>
      </c>
      <c r="H89" s="122" t="s">
        <v>103</v>
      </c>
      <c r="I89" s="122" t="s">
        <v>104</v>
      </c>
      <c r="N89" s="8"/>
    </row>
    <row r="90" spans="1:14">
      <c r="A90" s="27"/>
      <c r="B90" s="1"/>
      <c r="C90" s="1"/>
      <c r="D90" s="1" t="s">
        <v>1286</v>
      </c>
      <c r="E90" s="1" t="s">
        <v>1710</v>
      </c>
      <c r="F90" s="297"/>
      <c r="G90" s="1" t="s">
        <v>1708</v>
      </c>
      <c r="H90" s="1" t="s">
        <v>1709</v>
      </c>
      <c r="I90" s="280"/>
      <c r="N90" s="8"/>
    </row>
    <row r="91" spans="1:14">
      <c r="A91" s="119" t="s">
        <v>122</v>
      </c>
      <c r="B91" s="281" t="s">
        <v>642</v>
      </c>
      <c r="C91" s="281" t="s">
        <v>619</v>
      </c>
      <c r="D91" s="281" t="s">
        <v>1285</v>
      </c>
      <c r="E91" s="281" t="s">
        <v>1711</v>
      </c>
      <c r="F91" s="298" t="s">
        <v>620</v>
      </c>
      <c r="G91" s="298" t="s">
        <v>621</v>
      </c>
      <c r="H91" s="298" t="s">
        <v>622</v>
      </c>
      <c r="I91" s="281" t="s">
        <v>127</v>
      </c>
      <c r="N91" s="119" t="str">
        <f>A91</f>
        <v>Line</v>
      </c>
    </row>
    <row r="92" spans="1:14">
      <c r="A92" s="131"/>
      <c r="B92" s="176" t="s">
        <v>623</v>
      </c>
      <c r="D92" s="20"/>
      <c r="E92" s="20"/>
      <c r="F92" s="20"/>
      <c r="G92" s="20"/>
      <c r="H92" s="20"/>
      <c r="N92" s="8"/>
    </row>
    <row r="93" spans="1:14">
      <c r="A93" s="131">
        <v>500</v>
      </c>
      <c r="B93" s="295">
        <v>255</v>
      </c>
      <c r="C93" s="91" t="s">
        <v>1911</v>
      </c>
      <c r="D93" s="636">
        <f>SUM(E93:H93)</f>
        <v>-81897947.599999994</v>
      </c>
      <c r="E93" s="476">
        <v>-79290457.599999994</v>
      </c>
      <c r="F93" s="476">
        <v>-2607490</v>
      </c>
      <c r="G93" s="476"/>
      <c r="H93" s="476"/>
      <c r="I93" s="283" t="s">
        <v>1902</v>
      </c>
      <c r="J93" s="35" t="s">
        <v>1617</v>
      </c>
      <c r="N93" s="8">
        <f>A93</f>
        <v>500</v>
      </c>
    </row>
    <row r="94" spans="1:14">
      <c r="A94" s="131">
        <f>A93+1</f>
        <v>501</v>
      </c>
      <c r="B94" s="295">
        <v>255</v>
      </c>
      <c r="C94" s="91" t="s">
        <v>1912</v>
      </c>
      <c r="D94" s="636">
        <f>SUM(E94:H94)</f>
        <v>-9487722</v>
      </c>
      <c r="E94" s="476"/>
      <c r="F94" s="476"/>
      <c r="G94" s="476">
        <v>-9487722</v>
      </c>
      <c r="H94" s="476"/>
      <c r="I94" s="283" t="s">
        <v>1907</v>
      </c>
      <c r="J94" s="35" t="s">
        <v>1618</v>
      </c>
      <c r="N94" s="8">
        <f>A94</f>
        <v>501</v>
      </c>
    </row>
    <row r="95" spans="1:14">
      <c r="A95" s="131">
        <f>+A94+1</f>
        <v>502</v>
      </c>
      <c r="B95" s="295">
        <v>255</v>
      </c>
      <c r="C95" s="91" t="s">
        <v>1913</v>
      </c>
      <c r="D95" s="636">
        <f>SUM(E95:H95)</f>
        <v>36395.59999999404</v>
      </c>
      <c r="E95" s="476">
        <v>36395.59999999404</v>
      </c>
      <c r="F95" s="476"/>
      <c r="G95" s="476"/>
      <c r="H95" s="476"/>
      <c r="I95" s="283" t="s">
        <v>1900</v>
      </c>
      <c r="N95" s="8">
        <f>A95</f>
        <v>502</v>
      </c>
    </row>
    <row r="96" spans="1:14">
      <c r="A96" s="131"/>
      <c r="B96" s="116"/>
      <c r="C96" s="17"/>
      <c r="D96" s="164"/>
      <c r="E96" s="20"/>
      <c r="F96" s="20"/>
      <c r="G96" s="20"/>
      <c r="H96" s="20"/>
      <c r="N96" s="8"/>
    </row>
    <row r="97" spans="1:14">
      <c r="A97" s="131">
        <f>A95+1</f>
        <v>503</v>
      </c>
      <c r="B97" s="17"/>
      <c r="C97" s="17" t="s">
        <v>643</v>
      </c>
      <c r="D97" s="429">
        <f>SUM(D93:D95)</f>
        <v>-91349274</v>
      </c>
      <c r="E97" s="429">
        <f>SUM(E93:E95)</f>
        <v>-79254062</v>
      </c>
      <c r="F97" s="429">
        <f>SUM(F93:F95)</f>
        <v>-2607490</v>
      </c>
      <c r="G97" s="429">
        <f>SUM(G93:G95)</f>
        <v>-9487722</v>
      </c>
      <c r="H97" s="429">
        <f>SUM(H93:H95)</f>
        <v>0</v>
      </c>
      <c r="I97" s="35" t="str">
        <f>"Sum of Above Lines beginning on Line "&amp;A93&amp;""</f>
        <v>Sum of Above Lines beginning on Line 500</v>
      </c>
      <c r="N97" s="8">
        <f>A97</f>
        <v>503</v>
      </c>
    </row>
    <row r="98" spans="1:14">
      <c r="A98" s="131">
        <f>A97+1</f>
        <v>504</v>
      </c>
      <c r="B98" s="176"/>
      <c r="C98" s="176" t="s">
        <v>626</v>
      </c>
      <c r="D98" s="299"/>
      <c r="E98" s="299"/>
      <c r="F98" s="700">
        <f>+'24-Allocators'!C37</f>
        <v>0.95164401749843386</v>
      </c>
      <c r="G98" s="309">
        <f>'24-Allocators'!$C$29</f>
        <v>0.16085587413428787</v>
      </c>
      <c r="H98" s="309">
        <f>'24-Allocators'!$C$24</f>
        <v>9.5754660785216397E-2</v>
      </c>
      <c r="I98" s="287" t="s">
        <v>1704</v>
      </c>
      <c r="N98" s="8">
        <f>A98</f>
        <v>504</v>
      </c>
    </row>
    <row r="99" spans="1:14">
      <c r="A99" s="131">
        <f>+A98+1</f>
        <v>505</v>
      </c>
      <c r="B99" s="176"/>
      <c r="C99" s="177" t="s">
        <v>644</v>
      </c>
      <c r="D99" s="551">
        <f>SUM(F99:H99)</f>
        <v>-4007558.0750401057</v>
      </c>
      <c r="E99" s="429"/>
      <c r="F99" s="430">
        <f>F97*F98</f>
        <v>-2481402.2591869915</v>
      </c>
      <c r="G99" s="430">
        <f>+G97*G98</f>
        <v>-1526155.815853114</v>
      </c>
      <c r="H99" s="441">
        <f>+H97*H98</f>
        <v>0</v>
      </c>
      <c r="I99" s="289" t="str">
        <f>CONCATENATE("Line ",A97," * ","Line ",A98," for Cols 4 to 6")</f>
        <v>Line 503 * Line 504 for Cols 4 to 6</v>
      </c>
      <c r="N99" s="8">
        <f>A99</f>
        <v>505</v>
      </c>
    </row>
    <row r="100" spans="1:14">
      <c r="A100" s="131"/>
      <c r="C100" s="290" t="s">
        <v>628</v>
      </c>
      <c r="D100" s="164"/>
      <c r="E100" s="164"/>
      <c r="F100" s="164"/>
      <c r="G100" s="164"/>
      <c r="H100" s="164"/>
      <c r="I100" s="289"/>
      <c r="J100" s="164"/>
      <c r="N100" s="8"/>
    </row>
    <row r="101" spans="1:14">
      <c r="A101" s="131"/>
      <c r="C101" s="17"/>
      <c r="D101" s="164"/>
      <c r="E101" s="164"/>
      <c r="F101" s="164"/>
      <c r="G101" s="164"/>
      <c r="H101" s="164"/>
      <c r="I101" s="289"/>
      <c r="J101" s="17"/>
      <c r="N101" s="8"/>
    </row>
    <row r="102" spans="1:14">
      <c r="A102" s="131">
        <f>A99+1</f>
        <v>506</v>
      </c>
      <c r="C102" s="176" t="s">
        <v>645</v>
      </c>
      <c r="D102" s="637">
        <v>-91349274</v>
      </c>
      <c r="E102" s="291" t="str">
        <f>CONCATENATE("Must match amount on Line ",A97," ",D89)</f>
        <v>Must match amount on Line 503 Col 2</v>
      </c>
      <c r="F102" s="286"/>
      <c r="G102" s="286"/>
      <c r="H102" s="286"/>
      <c r="J102" s="18" t="s">
        <v>1989</v>
      </c>
      <c r="N102" s="8">
        <f>A102</f>
        <v>506</v>
      </c>
    </row>
    <row r="103" spans="1:14">
      <c r="A103" s="131"/>
      <c r="C103" s="176"/>
      <c r="D103" s="291"/>
      <c r="E103" s="291"/>
      <c r="F103" s="286"/>
      <c r="G103" s="286"/>
      <c r="H103" s="286"/>
      <c r="I103" s="35"/>
      <c r="N103" s="8"/>
    </row>
    <row r="104" spans="1:14">
      <c r="A104" s="131"/>
      <c r="B104" s="118" t="s">
        <v>646</v>
      </c>
      <c r="C104" s="180"/>
      <c r="D104" s="301"/>
      <c r="E104" s="301"/>
      <c r="F104" s="296"/>
      <c r="G104" s="296"/>
      <c r="H104" s="296"/>
      <c r="I104" s="302"/>
      <c r="J104" s="144"/>
      <c r="K104" s="54"/>
      <c r="L104" s="54"/>
      <c r="M104" s="54"/>
      <c r="N104" s="8"/>
    </row>
    <row r="105" spans="1:14">
      <c r="A105" s="131"/>
      <c r="B105" s="17"/>
      <c r="C105" s="122" t="s">
        <v>98</v>
      </c>
      <c r="D105" s="122" t="s">
        <v>99</v>
      </c>
      <c r="E105" s="122" t="s">
        <v>100</v>
      </c>
      <c r="F105" s="122" t="s">
        <v>101</v>
      </c>
      <c r="G105" s="122" t="s">
        <v>102</v>
      </c>
      <c r="H105" s="122" t="s">
        <v>103</v>
      </c>
      <c r="I105" s="122" t="s">
        <v>104</v>
      </c>
      <c r="J105" s="122" t="s">
        <v>105</v>
      </c>
      <c r="N105" s="8"/>
    </row>
    <row r="106" spans="1:14">
      <c r="A106" s="131"/>
      <c r="B106" s="17"/>
      <c r="C106" s="176"/>
      <c r="D106" s="303" t="s">
        <v>647</v>
      </c>
      <c r="E106" s="303" t="s">
        <v>648</v>
      </c>
      <c r="F106" s="286"/>
      <c r="G106" s="286"/>
      <c r="H106" s="303" t="s">
        <v>649</v>
      </c>
      <c r="I106" s="304" t="s">
        <v>650</v>
      </c>
      <c r="J106" s="303" t="s">
        <v>1465</v>
      </c>
      <c r="N106" s="8"/>
    </row>
    <row r="107" spans="1:14">
      <c r="A107" s="131"/>
      <c r="B107" s="17"/>
      <c r="C107" s="176"/>
      <c r="D107" s="291"/>
      <c r="E107" s="291"/>
      <c r="F107" s="286"/>
      <c r="G107" s="286"/>
      <c r="H107" s="286"/>
      <c r="I107" s="18"/>
      <c r="J107" s="17"/>
      <c r="N107" s="8"/>
    </row>
    <row r="108" spans="1:14">
      <c r="A108" s="131"/>
      <c r="B108" s="17"/>
      <c r="C108" s="182"/>
      <c r="D108" s="303" t="s">
        <v>651</v>
      </c>
      <c r="E108" s="303" t="s">
        <v>652</v>
      </c>
      <c r="F108" s="303"/>
      <c r="G108" s="303" t="s">
        <v>653</v>
      </c>
      <c r="H108" s="303" t="s">
        <v>654</v>
      </c>
      <c r="I108" s="131" t="s">
        <v>655</v>
      </c>
      <c r="J108" s="131" t="s">
        <v>656</v>
      </c>
      <c r="N108" s="8"/>
    </row>
    <row r="109" spans="1:14">
      <c r="A109" s="119" t="s">
        <v>122</v>
      </c>
      <c r="B109" s="119" t="s">
        <v>109</v>
      </c>
      <c r="C109" s="182" t="s">
        <v>657</v>
      </c>
      <c r="D109" s="305" t="s">
        <v>658</v>
      </c>
      <c r="E109" s="305" t="s">
        <v>659</v>
      </c>
      <c r="F109" s="305" t="s">
        <v>660</v>
      </c>
      <c r="G109" s="305" t="s">
        <v>661</v>
      </c>
      <c r="H109" s="305" t="s">
        <v>662</v>
      </c>
      <c r="I109" s="119" t="s">
        <v>663</v>
      </c>
      <c r="J109" s="119" t="s">
        <v>664</v>
      </c>
      <c r="N109" s="119" t="str">
        <f t="shared" ref="N109:N124" si="8">A109</f>
        <v>Line</v>
      </c>
    </row>
    <row r="110" spans="1:14">
      <c r="A110" s="131">
        <v>600</v>
      </c>
      <c r="B110" s="17"/>
      <c r="C110" s="306" t="s">
        <v>1464</v>
      </c>
      <c r="D110" s="435"/>
      <c r="E110" s="209">
        <f>D17</f>
        <v>-1508728940.0507171</v>
      </c>
      <c r="F110" s="286"/>
      <c r="G110" s="44">
        <f>+G111+F111-G122</f>
        <v>365</v>
      </c>
      <c r="H110" s="309">
        <f>1</f>
        <v>1</v>
      </c>
      <c r="I110" s="310"/>
      <c r="J110" s="437">
        <f>+E110</f>
        <v>-1508728940.0507171</v>
      </c>
      <c r="N110" s="8">
        <f t="shared" si="8"/>
        <v>600</v>
      </c>
    </row>
    <row r="111" spans="1:14">
      <c r="A111" s="131">
        <f t="shared" ref="A111:A124" si="9">A110+1</f>
        <v>601</v>
      </c>
      <c r="B111" s="27">
        <f>'1-BaseTRR'!$F$2</f>
        <v>2022</v>
      </c>
      <c r="C111" s="306" t="s">
        <v>112</v>
      </c>
      <c r="D111" s="209">
        <f t="shared" ref="D111:D122" si="10">($D$13-$D$17)/12</f>
        <v>-4758925.7090689735</v>
      </c>
      <c r="E111" s="209">
        <f t="shared" ref="E111:E122" si="11">E110+D111</f>
        <v>-1513487865.7597861</v>
      </c>
      <c r="F111" s="44">
        <v>31</v>
      </c>
      <c r="G111" s="44">
        <f t="shared" ref="G111:G120" si="12">+G112+F112</f>
        <v>335</v>
      </c>
      <c r="H111" s="309">
        <f>G111/G110</f>
        <v>0.9178082191780822</v>
      </c>
      <c r="I111" s="436">
        <f t="shared" ref="I111:I122" si="13">D111*H111</f>
        <v>-4367781.1302413866</v>
      </c>
      <c r="J111" s="241">
        <f t="shared" ref="J111:J122" si="14">J110+I111</f>
        <v>-1513096721.1809585</v>
      </c>
      <c r="N111" s="8">
        <f t="shared" si="8"/>
        <v>601</v>
      </c>
    </row>
    <row r="112" spans="1:14">
      <c r="A112" s="131">
        <f t="shared" si="9"/>
        <v>602</v>
      </c>
      <c r="B112" s="27">
        <f>'1-BaseTRR'!$F$2</f>
        <v>2022</v>
      </c>
      <c r="C112" s="306" t="s">
        <v>113</v>
      </c>
      <c r="D112" s="209">
        <f t="shared" si="10"/>
        <v>-4758925.7090689735</v>
      </c>
      <c r="E112" s="209">
        <f t="shared" si="11"/>
        <v>-1518246791.4688551</v>
      </c>
      <c r="F112" s="312">
        <v>28</v>
      </c>
      <c r="G112" s="44">
        <f t="shared" si="12"/>
        <v>307</v>
      </c>
      <c r="H112" s="309">
        <f>G112/G110</f>
        <v>0.84109589041095889</v>
      </c>
      <c r="I112" s="436">
        <f t="shared" si="13"/>
        <v>-4002712.8566689724</v>
      </c>
      <c r="J112" s="241">
        <f t="shared" si="14"/>
        <v>-1517099434.0376275</v>
      </c>
      <c r="N112" s="8">
        <f t="shared" si="8"/>
        <v>602</v>
      </c>
    </row>
    <row r="113" spans="1:14">
      <c r="A113" s="131">
        <f t="shared" si="9"/>
        <v>603</v>
      </c>
      <c r="B113" s="27">
        <f>'1-BaseTRR'!$F$2</f>
        <v>2022</v>
      </c>
      <c r="C113" s="306" t="s">
        <v>114</v>
      </c>
      <c r="D113" s="209">
        <f t="shared" si="10"/>
        <v>-4758925.7090689735</v>
      </c>
      <c r="E113" s="209">
        <f t="shared" si="11"/>
        <v>-1523005717.1779242</v>
      </c>
      <c r="F113" s="44">
        <v>31</v>
      </c>
      <c r="G113" s="44">
        <f t="shared" si="12"/>
        <v>276</v>
      </c>
      <c r="H113" s="309">
        <f>G113/G110</f>
        <v>0.75616438356164384</v>
      </c>
      <c r="I113" s="436">
        <f t="shared" si="13"/>
        <v>-3598530.1252137991</v>
      </c>
      <c r="J113" s="241">
        <f t="shared" si="14"/>
        <v>-1520697964.1628413</v>
      </c>
      <c r="N113" s="8">
        <f t="shared" si="8"/>
        <v>603</v>
      </c>
    </row>
    <row r="114" spans="1:14">
      <c r="A114" s="131">
        <f t="shared" si="9"/>
        <v>604</v>
      </c>
      <c r="B114" s="27">
        <f>'1-BaseTRR'!$F$2</f>
        <v>2022</v>
      </c>
      <c r="C114" s="306" t="s">
        <v>115</v>
      </c>
      <c r="D114" s="209">
        <f t="shared" si="10"/>
        <v>-4758925.7090689735</v>
      </c>
      <c r="E114" s="209">
        <f t="shared" si="11"/>
        <v>-1527764642.8869932</v>
      </c>
      <c r="F114" s="44">
        <v>30</v>
      </c>
      <c r="G114" s="44">
        <f t="shared" si="12"/>
        <v>246</v>
      </c>
      <c r="H114" s="309">
        <f>G114/G110</f>
        <v>0.67397260273972603</v>
      </c>
      <c r="I114" s="436">
        <f t="shared" si="13"/>
        <v>-3207385.5463862121</v>
      </c>
      <c r="J114" s="241">
        <f t="shared" si="14"/>
        <v>-1523905349.7092276</v>
      </c>
      <c r="N114" s="8">
        <f t="shared" si="8"/>
        <v>604</v>
      </c>
    </row>
    <row r="115" spans="1:14">
      <c r="A115" s="131">
        <f t="shared" si="9"/>
        <v>605</v>
      </c>
      <c r="B115" s="27">
        <f>'1-BaseTRR'!$F$2</f>
        <v>2022</v>
      </c>
      <c r="C115" s="306" t="s">
        <v>89</v>
      </c>
      <c r="D115" s="209">
        <f t="shared" si="10"/>
        <v>-4758925.7090689735</v>
      </c>
      <c r="E115" s="209">
        <f t="shared" si="11"/>
        <v>-1532523568.5960622</v>
      </c>
      <c r="F115" s="44">
        <v>31</v>
      </c>
      <c r="G115" s="44">
        <f t="shared" si="12"/>
        <v>215</v>
      </c>
      <c r="H115" s="309">
        <f>G115/G110</f>
        <v>0.58904109589041098</v>
      </c>
      <c r="I115" s="436">
        <f t="shared" si="13"/>
        <v>-2803202.8149310392</v>
      </c>
      <c r="J115" s="241">
        <f t="shared" si="14"/>
        <v>-1526708552.5241587</v>
      </c>
      <c r="N115" s="8">
        <f t="shared" si="8"/>
        <v>605</v>
      </c>
    </row>
    <row r="116" spans="1:14">
      <c r="A116" s="131">
        <f t="shared" si="9"/>
        <v>606</v>
      </c>
      <c r="B116" s="27">
        <f>'1-BaseTRR'!$F$2</f>
        <v>2022</v>
      </c>
      <c r="C116" s="306" t="s">
        <v>272</v>
      </c>
      <c r="D116" s="209">
        <f t="shared" si="10"/>
        <v>-4758925.7090689735</v>
      </c>
      <c r="E116" s="209">
        <f t="shared" si="11"/>
        <v>-1537282494.3051312</v>
      </c>
      <c r="F116" s="44">
        <v>30</v>
      </c>
      <c r="G116" s="44">
        <f t="shared" si="12"/>
        <v>185</v>
      </c>
      <c r="H116" s="309">
        <f>G116/G110</f>
        <v>0.50684931506849318</v>
      </c>
      <c r="I116" s="436">
        <f t="shared" si="13"/>
        <v>-2412058.2361034523</v>
      </c>
      <c r="J116" s="241">
        <f t="shared" si="14"/>
        <v>-1529120610.7602623</v>
      </c>
      <c r="N116" s="8">
        <f t="shared" si="8"/>
        <v>606</v>
      </c>
    </row>
    <row r="117" spans="1:14">
      <c r="A117" s="131">
        <f t="shared" si="9"/>
        <v>607</v>
      </c>
      <c r="B117" s="27">
        <f>'1-BaseTRR'!$F$2</f>
        <v>2022</v>
      </c>
      <c r="C117" s="306" t="s">
        <v>117</v>
      </c>
      <c r="D117" s="209">
        <f t="shared" si="10"/>
        <v>-4758925.7090689735</v>
      </c>
      <c r="E117" s="209">
        <f t="shared" si="11"/>
        <v>-1542041420.0142002</v>
      </c>
      <c r="F117" s="44">
        <v>31</v>
      </c>
      <c r="G117" s="44">
        <f t="shared" si="12"/>
        <v>154</v>
      </c>
      <c r="H117" s="309">
        <f>G117/G110</f>
        <v>0.42191780821917807</v>
      </c>
      <c r="I117" s="436">
        <f t="shared" si="13"/>
        <v>-2007875.5046482792</v>
      </c>
      <c r="J117" s="241">
        <f t="shared" si="14"/>
        <v>-1531128486.2649105</v>
      </c>
      <c r="N117" s="8">
        <f t="shared" si="8"/>
        <v>607</v>
      </c>
    </row>
    <row r="118" spans="1:14">
      <c r="A118" s="131">
        <f t="shared" si="9"/>
        <v>608</v>
      </c>
      <c r="B118" s="27"/>
      <c r="C118" s="306" t="s">
        <v>118</v>
      </c>
      <c r="D118" s="209">
        <f t="shared" si="10"/>
        <v>-4758925.7090689735</v>
      </c>
      <c r="E118" s="209">
        <f t="shared" si="11"/>
        <v>-1546800345.7232692</v>
      </c>
      <c r="F118" s="44">
        <v>31</v>
      </c>
      <c r="G118" s="44">
        <f t="shared" si="12"/>
        <v>123</v>
      </c>
      <c r="H118" s="309">
        <f>G118/G110</f>
        <v>0.33698630136986302</v>
      </c>
      <c r="I118" s="436">
        <f t="shared" si="13"/>
        <v>-1603692.7731931061</v>
      </c>
      <c r="J118" s="241">
        <f t="shared" si="14"/>
        <v>-1532732179.0381036</v>
      </c>
      <c r="N118" s="8">
        <f t="shared" si="8"/>
        <v>608</v>
      </c>
    </row>
    <row r="119" spans="1:14">
      <c r="A119" s="131">
        <f t="shared" si="9"/>
        <v>609</v>
      </c>
      <c r="B119" s="27">
        <f>'1-BaseTRR'!$F$2</f>
        <v>2022</v>
      </c>
      <c r="C119" s="306" t="s">
        <v>119</v>
      </c>
      <c r="D119" s="209">
        <f t="shared" si="10"/>
        <v>-4758925.7090689735</v>
      </c>
      <c r="E119" s="209">
        <f t="shared" si="11"/>
        <v>-1551559271.4323382</v>
      </c>
      <c r="F119" s="44">
        <v>30</v>
      </c>
      <c r="G119" s="44">
        <f t="shared" si="12"/>
        <v>93</v>
      </c>
      <c r="H119" s="309">
        <f>G119/G110</f>
        <v>0.25479452054794521</v>
      </c>
      <c r="I119" s="436">
        <f t="shared" si="13"/>
        <v>-1212548.1943655193</v>
      </c>
      <c r="J119" s="241">
        <f t="shared" si="14"/>
        <v>-1533944727.2324691</v>
      </c>
      <c r="N119" s="8">
        <f t="shared" si="8"/>
        <v>609</v>
      </c>
    </row>
    <row r="120" spans="1:14">
      <c r="A120" s="131">
        <f t="shared" si="9"/>
        <v>610</v>
      </c>
      <c r="B120" s="27">
        <f>'1-BaseTRR'!$F$2</f>
        <v>2022</v>
      </c>
      <c r="C120" s="306" t="s">
        <v>120</v>
      </c>
      <c r="D120" s="209">
        <f t="shared" si="10"/>
        <v>-4758925.7090689735</v>
      </c>
      <c r="E120" s="209">
        <f t="shared" si="11"/>
        <v>-1556318197.1414073</v>
      </c>
      <c r="F120" s="44">
        <v>31</v>
      </c>
      <c r="G120" s="44">
        <f t="shared" si="12"/>
        <v>62</v>
      </c>
      <c r="H120" s="309">
        <f>G120/G110</f>
        <v>0.16986301369863013</v>
      </c>
      <c r="I120" s="436">
        <f t="shared" si="13"/>
        <v>-808365.46291034622</v>
      </c>
      <c r="J120" s="241">
        <f t="shared" si="14"/>
        <v>-1534753092.6953795</v>
      </c>
      <c r="N120" s="8">
        <f t="shared" si="8"/>
        <v>610</v>
      </c>
    </row>
    <row r="121" spans="1:14">
      <c r="A121" s="131">
        <f t="shared" si="9"/>
        <v>611</v>
      </c>
      <c r="B121" s="27">
        <f>'1-BaseTRR'!$F$2</f>
        <v>2022</v>
      </c>
      <c r="C121" s="306" t="s">
        <v>121</v>
      </c>
      <c r="D121" s="209">
        <f t="shared" si="10"/>
        <v>-4758925.7090689735</v>
      </c>
      <c r="E121" s="209">
        <f t="shared" si="11"/>
        <v>-1561077122.8504763</v>
      </c>
      <c r="F121" s="44">
        <v>30</v>
      </c>
      <c r="G121" s="44">
        <f>+G122+F122</f>
        <v>32</v>
      </c>
      <c r="H121" s="309">
        <f>G121/G110</f>
        <v>8.7671232876712329E-2</v>
      </c>
      <c r="I121" s="436">
        <f t="shared" si="13"/>
        <v>-417220.88408275932</v>
      </c>
      <c r="J121" s="241">
        <f t="shared" si="14"/>
        <v>-1535170313.5794623</v>
      </c>
      <c r="N121" s="8">
        <f t="shared" si="8"/>
        <v>611</v>
      </c>
    </row>
    <row r="122" spans="1:14">
      <c r="A122" s="131">
        <f t="shared" si="9"/>
        <v>612</v>
      </c>
      <c r="B122" s="27">
        <f>'1-BaseTRR'!$F$2</f>
        <v>2022</v>
      </c>
      <c r="C122" s="306" t="s">
        <v>111</v>
      </c>
      <c r="D122" s="209">
        <f t="shared" si="10"/>
        <v>-4758925.7090689735</v>
      </c>
      <c r="E122" s="209">
        <f t="shared" si="11"/>
        <v>-1565836048.5595453</v>
      </c>
      <c r="F122" s="44">
        <v>31</v>
      </c>
      <c r="G122" s="312">
        <v>1</v>
      </c>
      <c r="H122" s="309">
        <f>G122/G110</f>
        <v>2.7397260273972603E-3</v>
      </c>
      <c r="I122" s="436">
        <f t="shared" si="13"/>
        <v>-13038.152627586229</v>
      </c>
      <c r="J122" s="438">
        <f t="shared" si="14"/>
        <v>-1535183351.7320898</v>
      </c>
      <c r="N122" s="8">
        <f t="shared" si="8"/>
        <v>612</v>
      </c>
    </row>
    <row r="123" spans="1:14">
      <c r="A123" s="131">
        <f t="shared" si="9"/>
        <v>613</v>
      </c>
      <c r="B123" s="17"/>
      <c r="C123" s="306" t="s">
        <v>206</v>
      </c>
      <c r="D123" s="209"/>
      <c r="E123" s="209">
        <f>D13</f>
        <v>-1565836048.5595448</v>
      </c>
      <c r="F123" s="286"/>
      <c r="G123" s="286"/>
      <c r="H123" s="286"/>
      <c r="I123" s="18"/>
      <c r="J123" s="439"/>
      <c r="N123" s="8">
        <f t="shared" si="8"/>
        <v>613</v>
      </c>
    </row>
    <row r="124" spans="1:14">
      <c r="A124" s="131">
        <f t="shared" si="9"/>
        <v>614</v>
      </c>
      <c r="B124" s="17"/>
      <c r="C124" s="176"/>
      <c r="D124" s="291"/>
      <c r="E124" s="291"/>
      <c r="F124" s="286"/>
      <c r="G124" s="286"/>
      <c r="H124" s="286"/>
      <c r="I124" s="313" t="s">
        <v>665</v>
      </c>
      <c r="J124" s="552">
        <f>+J122</f>
        <v>-1535183351.7320898</v>
      </c>
      <c r="N124" s="8">
        <f t="shared" si="8"/>
        <v>614</v>
      </c>
    </row>
    <row r="125" spans="1:14">
      <c r="A125" s="30"/>
      <c r="C125" s="17"/>
      <c r="K125" s="8"/>
    </row>
    <row r="126" spans="1:14">
      <c r="A126" s="30"/>
      <c r="B126" s="118" t="s">
        <v>1342</v>
      </c>
      <c r="C126" s="144"/>
      <c r="D126" s="54"/>
      <c r="E126" s="54"/>
      <c r="F126" s="54"/>
      <c r="G126" s="54"/>
      <c r="H126" s="54"/>
      <c r="I126" s="54"/>
      <c r="J126" s="54"/>
      <c r="K126" s="54"/>
      <c r="L126" s="54"/>
      <c r="M126" s="54"/>
      <c r="N126" s="8"/>
    </row>
    <row r="127" spans="1:14">
      <c r="A127" s="30"/>
      <c r="C127" s="16" t="s">
        <v>1343</v>
      </c>
      <c r="E127" s="12"/>
      <c r="F127" s="167" t="s">
        <v>1344</v>
      </c>
      <c r="G127" s="167" t="s">
        <v>1345</v>
      </c>
      <c r="H127" s="12"/>
      <c r="N127" s="8"/>
    </row>
    <row r="128" spans="1:14">
      <c r="A128" s="30"/>
      <c r="D128" s="1" t="s">
        <v>391</v>
      </c>
      <c r="E128" s="12"/>
      <c r="F128" s="519">
        <f>+C168</f>
        <v>0.05</v>
      </c>
      <c r="G128" s="519">
        <f>+C169</f>
        <v>9.5000000000000001E-2</v>
      </c>
      <c r="H128" s="519">
        <f>+'1-BaseTRR'!D117</f>
        <v>0.27983599999999997</v>
      </c>
      <c r="I128" s="8" t="s">
        <v>1467</v>
      </c>
      <c r="K128" s="363" t="s">
        <v>654</v>
      </c>
      <c r="L128" s="8" t="s">
        <v>107</v>
      </c>
      <c r="M128" s="8" t="s">
        <v>224</v>
      </c>
      <c r="N128" s="30"/>
    </row>
    <row r="129" spans="1:14">
      <c r="A129" s="30"/>
      <c r="D129" s="182" t="s">
        <v>396</v>
      </c>
      <c r="E129" s="13" t="s">
        <v>1346</v>
      </c>
      <c r="F129" s="13" t="s">
        <v>1347</v>
      </c>
      <c r="G129" s="13" t="s">
        <v>1347</v>
      </c>
      <c r="H129" s="13" t="s">
        <v>1348</v>
      </c>
      <c r="I129" s="168" t="s">
        <v>1349</v>
      </c>
      <c r="J129" s="13" t="s">
        <v>1350</v>
      </c>
      <c r="K129" s="520" t="s">
        <v>662</v>
      </c>
      <c r="L129" s="182" t="s">
        <v>1351</v>
      </c>
      <c r="M129" s="13" t="s">
        <v>1351</v>
      </c>
      <c r="N129" s="30"/>
    </row>
    <row r="130" spans="1:14">
      <c r="A130" s="30"/>
      <c r="C130" s="122" t="s">
        <v>98</v>
      </c>
      <c r="D130" s="122" t="s">
        <v>99</v>
      </c>
      <c r="E130" s="122" t="s">
        <v>100</v>
      </c>
      <c r="F130" s="122" t="s">
        <v>101</v>
      </c>
      <c r="G130" s="122" t="s">
        <v>102</v>
      </c>
      <c r="H130" s="122" t="s">
        <v>103</v>
      </c>
      <c r="I130" s="122" t="s">
        <v>104</v>
      </c>
      <c r="J130" s="122" t="s">
        <v>105</v>
      </c>
      <c r="K130" s="122" t="s">
        <v>106</v>
      </c>
      <c r="L130" s="122" t="s">
        <v>266</v>
      </c>
      <c r="M130" s="122" t="s">
        <v>267</v>
      </c>
      <c r="N130" s="30"/>
    </row>
    <row r="131" spans="1:14" ht="29">
      <c r="A131" s="119" t="s">
        <v>122</v>
      </c>
      <c r="B131" s="119" t="s">
        <v>109</v>
      </c>
      <c r="C131" s="11" t="s">
        <v>401</v>
      </c>
      <c r="D131" s="577" t="s">
        <v>1491</v>
      </c>
      <c r="E131" s="577" t="s">
        <v>1695</v>
      </c>
      <c r="F131" s="577" t="s">
        <v>1495</v>
      </c>
      <c r="G131" s="63"/>
      <c r="H131" s="577" t="s">
        <v>1488</v>
      </c>
      <c r="I131" s="30" t="s">
        <v>1487</v>
      </c>
      <c r="J131" s="30" t="s">
        <v>743</v>
      </c>
      <c r="K131" s="577" t="s">
        <v>1490</v>
      </c>
      <c r="L131" s="30" t="s">
        <v>1489</v>
      </c>
      <c r="M131" s="578" t="s">
        <v>1492</v>
      </c>
      <c r="N131" s="30"/>
    </row>
    <row r="132" spans="1:14">
      <c r="A132" s="131">
        <v>700</v>
      </c>
      <c r="B132" s="27">
        <f>'1-BaseTRR'!$F$1-1</f>
        <v>2023</v>
      </c>
      <c r="C132" s="306" t="s">
        <v>112</v>
      </c>
      <c r="D132" s="183">
        <f>+'9-PlantAdditions'!D15</f>
        <v>55340744.102750301</v>
      </c>
      <c r="E132" s="39">
        <f>+D132*'12-DepRates'!$N$21/12*12</f>
        <v>1585294.1537703876</v>
      </c>
      <c r="F132" s="39">
        <f>+D132*$F$128</f>
        <v>2767037.2051375154</v>
      </c>
      <c r="G132" s="39"/>
      <c r="H132" s="39">
        <f>+(E132-F132)*$H$128</f>
        <v>-330694.24852237152</v>
      </c>
      <c r="I132" s="33">
        <f>-'1-BaseTRR'!$D$106/12</f>
        <v>1767399.8999140516</v>
      </c>
      <c r="J132" s="33">
        <f>+H132+I132</f>
        <v>1436705.6513916801</v>
      </c>
      <c r="K132" s="359">
        <f t="shared" ref="K132:K143" si="15">+H111</f>
        <v>0.9178082191780822</v>
      </c>
      <c r="L132" s="39">
        <f t="shared" ref="L132:L143" si="16">+J132*K132</f>
        <v>1318620.2553868846</v>
      </c>
      <c r="M132" s="158">
        <f>+L132</f>
        <v>1318620.2553868846</v>
      </c>
      <c r="N132" s="8">
        <f t="shared" ref="N132:N144" si="17">+A132</f>
        <v>700</v>
      </c>
    </row>
    <row r="133" spans="1:14">
      <c r="A133" s="131">
        <f t="shared" ref="A133:A161" si="18">A132+1</f>
        <v>701</v>
      </c>
      <c r="B133" s="27">
        <f>+B132</f>
        <v>2023</v>
      </c>
      <c r="C133" s="306" t="s">
        <v>113</v>
      </c>
      <c r="D133" s="183">
        <f>+'9-PlantAdditions'!D16</f>
        <v>69352119.224187255</v>
      </c>
      <c r="E133" s="39">
        <f>+D133*'12-DepRates'!$N$21/12*11</f>
        <v>1821109.4139626527</v>
      </c>
      <c r="F133" s="39">
        <f t="shared" ref="F133:F143" si="19">+D133*$F$128</f>
        <v>3467605.9612093628</v>
      </c>
      <c r="G133" s="39"/>
      <c r="H133" s="39">
        <f t="shared" ref="H133:H143" si="20">+(E133-F133)*$H$128</f>
        <v>-460749.00779533037</v>
      </c>
      <c r="I133" s="33">
        <f>-'1-BaseTRR'!$D$106/12</f>
        <v>1767399.8999140516</v>
      </c>
      <c r="J133" s="33">
        <f t="shared" ref="J133:J143" si="21">+H133+I133</f>
        <v>1306650.8921187213</v>
      </c>
      <c r="K133" s="359">
        <f t="shared" si="15"/>
        <v>0.84109589041095889</v>
      </c>
      <c r="L133" s="39">
        <f t="shared" si="16"/>
        <v>1099018.6955628695</v>
      </c>
      <c r="M133" s="158">
        <f t="shared" ref="M133:M143" si="22">+L133+M132</f>
        <v>2417638.9509497541</v>
      </c>
      <c r="N133" s="8">
        <f t="shared" si="17"/>
        <v>701</v>
      </c>
    </row>
    <row r="134" spans="1:14">
      <c r="A134" s="131">
        <f t="shared" si="18"/>
        <v>702</v>
      </c>
      <c r="B134" s="27">
        <f t="shared" ref="B134:B143" si="23">+B133</f>
        <v>2023</v>
      </c>
      <c r="C134" s="306" t="s">
        <v>114</v>
      </c>
      <c r="D134" s="183">
        <f>+'9-PlantAdditions'!D17</f>
        <v>84168508.657962263</v>
      </c>
      <c r="E134" s="39">
        <f>+D134*'12-DepRates'!$N$21/12*10</f>
        <v>2009246.6360062398</v>
      </c>
      <c r="F134" s="39">
        <f t="shared" si="19"/>
        <v>4208425.4328981135</v>
      </c>
      <c r="G134" s="39"/>
      <c r="H134" s="39">
        <f t="shared" si="20"/>
        <v>-615409.39780703431</v>
      </c>
      <c r="I134" s="33">
        <f>-'1-BaseTRR'!$D$106/12</f>
        <v>1767399.8999140516</v>
      </c>
      <c r="J134" s="33">
        <f t="shared" si="21"/>
        <v>1151990.5021070172</v>
      </c>
      <c r="K134" s="359">
        <f t="shared" si="15"/>
        <v>0.75616438356164384</v>
      </c>
      <c r="L134" s="39">
        <f t="shared" si="16"/>
        <v>871094.18789462128</v>
      </c>
      <c r="M134" s="158">
        <f t="shared" si="22"/>
        <v>3288733.1388443755</v>
      </c>
      <c r="N134" s="8">
        <f t="shared" si="17"/>
        <v>702</v>
      </c>
    </row>
    <row r="135" spans="1:14">
      <c r="A135" s="131">
        <f t="shared" si="18"/>
        <v>703</v>
      </c>
      <c r="B135" s="27">
        <f t="shared" si="23"/>
        <v>2023</v>
      </c>
      <c r="C135" s="306" t="s">
        <v>115</v>
      </c>
      <c r="D135" s="183">
        <f>+'9-PlantAdditions'!D18</f>
        <v>195584190.89286771</v>
      </c>
      <c r="E135" s="39">
        <f>+D135*'12-DepRates'!$N$21/12*9</f>
        <v>4202037.026508362</v>
      </c>
      <c r="F135" s="39">
        <f t="shared" si="19"/>
        <v>9779209.5446433853</v>
      </c>
      <c r="G135" s="39"/>
      <c r="H135" s="39">
        <f t="shared" si="20"/>
        <v>-1560693.6487848323</v>
      </c>
      <c r="I135" s="33">
        <f>-'1-BaseTRR'!$D$106/12</f>
        <v>1767399.8999140516</v>
      </c>
      <c r="J135" s="33">
        <f t="shared" si="21"/>
        <v>206706.25112921931</v>
      </c>
      <c r="K135" s="359">
        <f t="shared" si="15"/>
        <v>0.67397260273972603</v>
      </c>
      <c r="L135" s="39">
        <f t="shared" si="16"/>
        <v>139314.35007613138</v>
      </c>
      <c r="M135" s="158">
        <f t="shared" si="22"/>
        <v>3428047.488920507</v>
      </c>
      <c r="N135" s="8">
        <f t="shared" si="17"/>
        <v>703</v>
      </c>
    </row>
    <row r="136" spans="1:14">
      <c r="A136" s="131">
        <f t="shared" si="18"/>
        <v>704</v>
      </c>
      <c r="B136" s="27"/>
      <c r="C136" s="306" t="s">
        <v>89</v>
      </c>
      <c r="D136" s="183">
        <f>+'9-PlantAdditions'!D19</f>
        <v>122601960.12913752</v>
      </c>
      <c r="E136" s="39">
        <f>+D136*'12-DepRates'!$N$21/12*8</f>
        <v>2341375.2234417181</v>
      </c>
      <c r="F136" s="39">
        <f t="shared" si="19"/>
        <v>6130098.0064568762</v>
      </c>
      <c r="G136" s="39"/>
      <c r="H136" s="39">
        <f t="shared" si="20"/>
        <v>-1060221.0287078298</v>
      </c>
      <c r="I136" s="33">
        <f>-'1-BaseTRR'!$D$106/12</f>
        <v>1767399.8999140516</v>
      </c>
      <c r="J136" s="33">
        <f t="shared" si="21"/>
        <v>707178.87120622187</v>
      </c>
      <c r="K136" s="359">
        <f t="shared" si="15"/>
        <v>0.58904109589041098</v>
      </c>
      <c r="L136" s="39">
        <f t="shared" si="16"/>
        <v>416557.41728585673</v>
      </c>
      <c r="M136" s="158">
        <f t="shared" si="22"/>
        <v>3844604.9062063638</v>
      </c>
      <c r="N136" s="8">
        <f t="shared" si="17"/>
        <v>704</v>
      </c>
    </row>
    <row r="137" spans="1:14">
      <c r="A137" s="131">
        <f t="shared" si="18"/>
        <v>705</v>
      </c>
      <c r="B137" s="27">
        <f t="shared" si="23"/>
        <v>0</v>
      </c>
      <c r="C137" s="306" t="s">
        <v>272</v>
      </c>
      <c r="D137" s="183">
        <f>+'9-PlantAdditions'!D20</f>
        <v>246277910.87847403</v>
      </c>
      <c r="E137" s="39">
        <f>+D137*'12-DepRates'!$N$21/12*7</f>
        <v>4115353.2394907828</v>
      </c>
      <c r="F137" s="39">
        <f t="shared" si="19"/>
        <v>12313895.543923702</v>
      </c>
      <c r="G137" s="39"/>
      <c r="H137" s="39">
        <f t="shared" si="20"/>
        <v>-2294247.2843032903</v>
      </c>
      <c r="I137" s="33">
        <f>-'1-BaseTRR'!$D$106/12</f>
        <v>1767399.8999140516</v>
      </c>
      <c r="J137" s="33">
        <f t="shared" si="21"/>
        <v>-526847.38438923866</v>
      </c>
      <c r="K137" s="359">
        <f t="shared" si="15"/>
        <v>0.50684931506849318</v>
      </c>
      <c r="L137" s="39">
        <f t="shared" si="16"/>
        <v>-267032.23592331278</v>
      </c>
      <c r="M137" s="158">
        <f t="shared" si="22"/>
        <v>3577572.6702830512</v>
      </c>
      <c r="N137" s="8">
        <f t="shared" si="17"/>
        <v>705</v>
      </c>
    </row>
    <row r="138" spans="1:14">
      <c r="A138" s="131">
        <f t="shared" si="18"/>
        <v>706</v>
      </c>
      <c r="B138" s="27">
        <f t="shared" si="23"/>
        <v>0</v>
      </c>
      <c r="C138" s="306" t="s">
        <v>117</v>
      </c>
      <c r="D138" s="183">
        <f>+'9-PlantAdditions'!D21</f>
        <v>41886224.018000633</v>
      </c>
      <c r="E138" s="39">
        <f>+D138*'12-DepRates'!$N$21/12*6</f>
        <v>599937.5969355026</v>
      </c>
      <c r="F138" s="39">
        <f t="shared" si="19"/>
        <v>2094311.2009000317</v>
      </c>
      <c r="G138" s="39"/>
      <c r="H138" s="39">
        <f t="shared" si="20"/>
        <v>-418179.53183901787</v>
      </c>
      <c r="I138" s="33">
        <f>-'1-BaseTRR'!$D$106/12</f>
        <v>1767399.8999140516</v>
      </c>
      <c r="J138" s="33">
        <f t="shared" si="21"/>
        <v>1349220.3680750336</v>
      </c>
      <c r="K138" s="359">
        <f t="shared" si="15"/>
        <v>0.42191780821917807</v>
      </c>
      <c r="L138" s="39">
        <f t="shared" si="16"/>
        <v>569260.10050289088</v>
      </c>
      <c r="M138" s="158">
        <f t="shared" si="22"/>
        <v>4146832.7707859422</v>
      </c>
      <c r="N138" s="8">
        <f t="shared" si="17"/>
        <v>706</v>
      </c>
    </row>
    <row r="139" spans="1:14">
      <c r="A139" s="131">
        <f t="shared" si="18"/>
        <v>707</v>
      </c>
      <c r="B139" s="27">
        <f t="shared" si="23"/>
        <v>0</v>
      </c>
      <c r="C139" s="306" t="s">
        <v>118</v>
      </c>
      <c r="D139" s="183">
        <f>+'9-PlantAdditions'!D22</f>
        <v>64514102.755534619</v>
      </c>
      <c r="E139" s="39">
        <f>+D139*'12-DepRates'!$N$21/12*5</f>
        <v>770031.1316152591</v>
      </c>
      <c r="F139" s="39">
        <f t="shared" si="19"/>
        <v>3225705.137776731</v>
      </c>
      <c r="G139" s="39"/>
      <c r="H139" s="39">
        <f t="shared" si="20"/>
        <v>-687185.99118820159</v>
      </c>
      <c r="I139" s="33">
        <f>-'1-BaseTRR'!$D$106/12</f>
        <v>1767399.8999140516</v>
      </c>
      <c r="J139" s="33">
        <f t="shared" si="21"/>
        <v>1080213.9087258501</v>
      </c>
      <c r="K139" s="359">
        <f t="shared" si="15"/>
        <v>0.33698630136986302</v>
      </c>
      <c r="L139" s="39">
        <f t="shared" si="16"/>
        <v>364017.28978980699</v>
      </c>
      <c r="M139" s="158">
        <f t="shared" si="22"/>
        <v>4510850.0605757488</v>
      </c>
      <c r="N139" s="8">
        <f t="shared" si="17"/>
        <v>707</v>
      </c>
    </row>
    <row r="140" spans="1:14">
      <c r="A140" s="131">
        <f t="shared" si="18"/>
        <v>708</v>
      </c>
      <c r="B140" s="27"/>
      <c r="C140" s="306" t="s">
        <v>119</v>
      </c>
      <c r="D140" s="183">
        <f>+'9-PlantAdditions'!D23</f>
        <v>102755732.31802866</v>
      </c>
      <c r="E140" s="39">
        <f>+D140*'12-DepRates'!$N$21/12*4</f>
        <v>981182.21545000933</v>
      </c>
      <c r="F140" s="39">
        <f t="shared" si="19"/>
        <v>5137786.6159014329</v>
      </c>
      <c r="G140" s="39"/>
      <c r="H140" s="39">
        <f t="shared" si="20"/>
        <v>-1163167.5490047245</v>
      </c>
      <c r="I140" s="33">
        <f>-'1-BaseTRR'!$D$106/12</f>
        <v>1767399.8999140516</v>
      </c>
      <c r="J140" s="33">
        <f t="shared" si="21"/>
        <v>604232.35090932716</v>
      </c>
      <c r="K140" s="359">
        <f t="shared" si="15"/>
        <v>0.25479452054794521</v>
      </c>
      <c r="L140" s="39">
        <f t="shared" si="16"/>
        <v>153955.0921494998</v>
      </c>
      <c r="M140" s="158">
        <f t="shared" si="22"/>
        <v>4664805.1527252486</v>
      </c>
      <c r="N140" s="8">
        <f t="shared" si="17"/>
        <v>708</v>
      </c>
    </row>
    <row r="141" spans="1:14">
      <c r="A141" s="131">
        <f t="shared" si="18"/>
        <v>709</v>
      </c>
      <c r="B141" s="27">
        <f t="shared" si="23"/>
        <v>0</v>
      </c>
      <c r="C141" s="306" t="s">
        <v>120</v>
      </c>
      <c r="D141" s="183">
        <f>+'9-PlantAdditions'!D24</f>
        <v>87574375.395581886</v>
      </c>
      <c r="E141" s="39">
        <f>+D141*'12-DepRates'!$N$21/12*3</f>
        <v>627165.15465053939</v>
      </c>
      <c r="F141" s="39">
        <f t="shared" si="19"/>
        <v>4378718.7697790945</v>
      </c>
      <c r="G141" s="39"/>
      <c r="H141" s="39">
        <f t="shared" si="20"/>
        <v>-1049819.7574431144</v>
      </c>
      <c r="I141" s="33">
        <f>-'1-BaseTRR'!$D$106/12</f>
        <v>1767399.8999140516</v>
      </c>
      <c r="J141" s="33">
        <f t="shared" si="21"/>
        <v>717580.14247093722</v>
      </c>
      <c r="K141" s="359">
        <f t="shared" si="15"/>
        <v>0.16986301369863013</v>
      </c>
      <c r="L141" s="39">
        <f t="shared" si="16"/>
        <v>121890.32557040577</v>
      </c>
      <c r="M141" s="158">
        <f t="shared" si="22"/>
        <v>4786695.4782956541</v>
      </c>
      <c r="N141" s="8">
        <f t="shared" si="17"/>
        <v>709</v>
      </c>
    </row>
    <row r="142" spans="1:14">
      <c r="A142" s="131">
        <f t="shared" si="18"/>
        <v>710</v>
      </c>
      <c r="B142" s="27">
        <f t="shared" si="23"/>
        <v>0</v>
      </c>
      <c r="C142" s="306" t="s">
        <v>121</v>
      </c>
      <c r="D142" s="183">
        <f>+'9-PlantAdditions'!D25</f>
        <v>60098352.574760981</v>
      </c>
      <c r="E142" s="39">
        <f>+D142*'12-DepRates'!$N$21/12*2</f>
        <v>286930.146834513</v>
      </c>
      <c r="F142" s="39">
        <f t="shared" si="19"/>
        <v>3004917.6287380494</v>
      </c>
      <c r="G142" s="39"/>
      <c r="H142" s="39">
        <f t="shared" si="20"/>
        <v>-760590.74498595786</v>
      </c>
      <c r="I142" s="33">
        <f>-'1-BaseTRR'!$D$106/12</f>
        <v>1767399.8999140516</v>
      </c>
      <c r="J142" s="33">
        <f t="shared" si="21"/>
        <v>1006809.1549280938</v>
      </c>
      <c r="K142" s="359">
        <f t="shared" si="15"/>
        <v>8.7671232876712329E-2</v>
      </c>
      <c r="L142" s="39">
        <f t="shared" si="16"/>
        <v>88268.199884106856</v>
      </c>
      <c r="M142" s="158">
        <f t="shared" si="22"/>
        <v>4874963.6781797605</v>
      </c>
      <c r="N142" s="8">
        <f t="shared" si="17"/>
        <v>710</v>
      </c>
    </row>
    <row r="143" spans="1:14">
      <c r="A143" s="131">
        <f t="shared" si="18"/>
        <v>711</v>
      </c>
      <c r="B143" s="27">
        <f t="shared" si="23"/>
        <v>0</v>
      </c>
      <c r="C143" s="306" t="s">
        <v>111</v>
      </c>
      <c r="D143" s="521">
        <f>+'9-PlantAdditions'!D26</f>
        <v>130277673.49302877</v>
      </c>
      <c r="E143" s="522">
        <f>+D143*'12-DepRates'!$N$21/12*1</f>
        <v>310995.14698104985</v>
      </c>
      <c r="F143" s="522">
        <f t="shared" si="19"/>
        <v>6513883.6746514393</v>
      </c>
      <c r="G143" s="522"/>
      <c r="H143" s="522">
        <f t="shared" si="20"/>
        <v>-1735791.5140291709</v>
      </c>
      <c r="I143" s="523">
        <f>-'1-BaseTRR'!$D$106/12</f>
        <v>1767399.8999140516</v>
      </c>
      <c r="J143" s="523">
        <f t="shared" si="21"/>
        <v>31608.385884880787</v>
      </c>
      <c r="K143" s="359">
        <f t="shared" si="15"/>
        <v>2.7397260273972603E-3</v>
      </c>
      <c r="L143" s="39">
        <f t="shared" si="16"/>
        <v>86.59831749282408</v>
      </c>
      <c r="M143" s="158">
        <f t="shared" si="22"/>
        <v>4875050.2764972532</v>
      </c>
      <c r="N143" s="8">
        <f t="shared" si="17"/>
        <v>711</v>
      </c>
    </row>
    <row r="144" spans="1:14">
      <c r="A144" s="131">
        <f t="shared" si="18"/>
        <v>712</v>
      </c>
      <c r="C144" s="306" t="s">
        <v>1466</v>
      </c>
      <c r="D144" s="529">
        <f>SUM(D132:D143)</f>
        <v>1260431894.4403148</v>
      </c>
      <c r="E144" s="530">
        <f>SUM(E132:E143)</f>
        <v>19650657.085647017</v>
      </c>
      <c r="F144" s="530">
        <f>SUM(F132:F143)</f>
        <v>63021594.722015731</v>
      </c>
      <c r="G144" s="530"/>
      <c r="H144" s="530">
        <f>SUM(H132:H143)</f>
        <v>-12136749.704410877</v>
      </c>
      <c r="I144" s="353">
        <f>SUM(I132:I143)</f>
        <v>21208798.798968624</v>
      </c>
      <c r="J144" s="353">
        <f>SUM(J132:J143)</f>
        <v>9072049.0945577435</v>
      </c>
      <c r="K144" s="524"/>
      <c r="N144" s="8">
        <f t="shared" si="17"/>
        <v>712</v>
      </c>
    </row>
    <row r="145" spans="1:16">
      <c r="A145" s="131"/>
      <c r="C145" s="306"/>
      <c r="D145" s="183"/>
      <c r="E145" s="158"/>
      <c r="F145" s="158"/>
      <c r="G145" s="158"/>
      <c r="H145" s="158"/>
      <c r="J145" s="33"/>
      <c r="K145" s="524"/>
      <c r="N145" s="12"/>
    </row>
    <row r="146" spans="1:16">
      <c r="A146" s="131">
        <f>A144+1</f>
        <v>713</v>
      </c>
      <c r="C146" s="306" t="s">
        <v>141</v>
      </c>
      <c r="D146" s="183"/>
      <c r="H146" s="158">
        <f>+H144</f>
        <v>-12136749.704410877</v>
      </c>
      <c r="I146" s="12"/>
      <c r="J146" s="158">
        <f>+J144</f>
        <v>9072049.0945577435</v>
      </c>
      <c r="K146" s="63">
        <f>+H110</f>
        <v>1</v>
      </c>
      <c r="L146" s="39">
        <f>+J146*K146</f>
        <v>9072049.0945577435</v>
      </c>
      <c r="M146" s="158">
        <f t="shared" ref="M146" si="24">+L146+M145</f>
        <v>9072049.0945577435</v>
      </c>
      <c r="N146" s="8">
        <f>+A146</f>
        <v>713</v>
      </c>
    </row>
    <row r="147" spans="1:16" ht="29">
      <c r="A147" s="131"/>
      <c r="C147" s="306"/>
      <c r="D147" s="182" t="s">
        <v>396</v>
      </c>
      <c r="E147" s="168" t="s">
        <v>1398</v>
      </c>
      <c r="F147" s="168" t="s">
        <v>1399</v>
      </c>
      <c r="G147" s="168" t="s">
        <v>1400</v>
      </c>
      <c r="H147" s="13" t="s">
        <v>1348</v>
      </c>
      <c r="I147" s="168" t="s">
        <v>1349</v>
      </c>
      <c r="J147" s="525" t="s">
        <v>1350</v>
      </c>
      <c r="K147" s="526" t="s">
        <v>1355</v>
      </c>
      <c r="L147" s="527" t="s">
        <v>1356</v>
      </c>
      <c r="M147" s="168" t="s">
        <v>1357</v>
      </c>
      <c r="N147" s="8"/>
    </row>
    <row r="148" spans="1:16" ht="102.75" customHeight="1">
      <c r="A148" s="119" t="s">
        <v>122</v>
      </c>
      <c r="B148" s="119"/>
      <c r="C148" s="11" t="s">
        <v>1397</v>
      </c>
      <c r="D148" s="577" t="s">
        <v>1494</v>
      </c>
      <c r="E148" s="577" t="s">
        <v>1696</v>
      </c>
      <c r="F148" s="577" t="s">
        <v>1495</v>
      </c>
      <c r="G148" s="577" t="s">
        <v>1496</v>
      </c>
      <c r="H148" s="577" t="s">
        <v>1493</v>
      </c>
      <c r="I148" s="30" t="s">
        <v>1487</v>
      </c>
      <c r="J148" s="30" t="s">
        <v>743</v>
      </c>
      <c r="K148" s="577" t="s">
        <v>1490</v>
      </c>
      <c r="L148" s="30" t="s">
        <v>1489</v>
      </c>
      <c r="M148" s="578" t="s">
        <v>1492</v>
      </c>
      <c r="N148" s="12"/>
    </row>
    <row r="149" spans="1:16">
      <c r="A149" s="131">
        <f>A146+1</f>
        <v>714</v>
      </c>
      <c r="B149" s="27">
        <f>'1-BaseTRR'!$F$1</f>
        <v>2024</v>
      </c>
      <c r="C149" s="306" t="s">
        <v>112</v>
      </c>
      <c r="D149" s="183">
        <f>+'9-PlantAdditions'!D27</f>
        <v>55109132.746046238</v>
      </c>
      <c r="E149" s="39">
        <f>+(($D$144/12)*'12-DepRates'!$N$21)+((D149*'12-DepRates'!$N$21)/12*12)</f>
        <v>4587526.475619074</v>
      </c>
      <c r="F149" s="39">
        <f>+D149*$F$128</f>
        <v>2755456.6373023121</v>
      </c>
      <c r="G149" s="39">
        <f>+$D$144*$G$128/12</f>
        <v>9978419.1643191595</v>
      </c>
      <c r="H149" s="39">
        <f t="shared" ref="H149:H160" si="25">+(E149-F149-G149)*$H$128</f>
        <v>-2279641.8099912065</v>
      </c>
      <c r="I149" s="33">
        <f>-'1-BaseTRR'!$D$106/12</f>
        <v>1767399.8999140516</v>
      </c>
      <c r="J149" s="33">
        <f>+H149+I149</f>
        <v>-512241.91007715487</v>
      </c>
      <c r="K149" s="31">
        <f t="shared" ref="K149:K160" si="26">+K132</f>
        <v>0.9178082191780822</v>
      </c>
      <c r="L149" s="39">
        <f t="shared" ref="L149:L160" si="27">+J149*K149</f>
        <v>-470139.83527629281</v>
      </c>
      <c r="M149" s="158">
        <f>+L149+M146</f>
        <v>8601909.2592814509</v>
      </c>
      <c r="N149" s="8">
        <f t="shared" ref="N149:N161" si="28">+A149</f>
        <v>714</v>
      </c>
      <c r="P149" s="30"/>
    </row>
    <row r="150" spans="1:16">
      <c r="A150" s="131">
        <f t="shared" si="18"/>
        <v>715</v>
      </c>
      <c r="B150" s="27">
        <f>'1-BaseTRR'!$F$1</f>
        <v>2024</v>
      </c>
      <c r="C150" s="306" t="s">
        <v>113</v>
      </c>
      <c r="D150" s="183">
        <f>+'9-PlantAdditions'!D28</f>
        <v>106226944.35288081</v>
      </c>
      <c r="E150" s="39">
        <f>+(($D$144/12)*'12-DepRates'!$N$21)+((D150*'12-DepRates'!$N$21)/12*11)</f>
        <v>5798268.3288213722</v>
      </c>
      <c r="F150" s="39">
        <f t="shared" ref="F150:F160" si="29">+D150*$F$128</f>
        <v>5311347.2176440405</v>
      </c>
      <c r="G150" s="39">
        <f t="shared" ref="G150:G160" si="30">+$D$144*$G$128/12</f>
        <v>9978419.1643191595</v>
      </c>
      <c r="H150" s="39">
        <f t="shared" si="25"/>
        <v>-2656062.8491989966</v>
      </c>
      <c r="I150" s="33">
        <f>-'1-BaseTRR'!$D$106/12</f>
        <v>1767399.8999140516</v>
      </c>
      <c r="J150" s="33">
        <f t="shared" ref="J150:J160" si="31">+H150+I150</f>
        <v>-888662.94928494492</v>
      </c>
      <c r="K150" s="31">
        <f t="shared" si="26"/>
        <v>0.84109589041095889</v>
      </c>
      <c r="L150" s="39">
        <f t="shared" si="27"/>
        <v>-747450.75460404949</v>
      </c>
      <c r="M150" s="158">
        <f t="shared" ref="M150:M160" si="32">+L150+M149</f>
        <v>7854458.5046774019</v>
      </c>
      <c r="N150" s="8">
        <f t="shared" si="28"/>
        <v>715</v>
      </c>
      <c r="P150" s="30"/>
    </row>
    <row r="151" spans="1:16">
      <c r="A151" s="131">
        <f t="shared" si="18"/>
        <v>716</v>
      </c>
      <c r="B151" s="27">
        <f>'1-BaseTRR'!$F$1</f>
        <v>2024</v>
      </c>
      <c r="C151" s="306" t="s">
        <v>114</v>
      </c>
      <c r="D151" s="183">
        <f>+'9-PlantAdditions'!D29</f>
        <v>88345572.166623652</v>
      </c>
      <c r="E151" s="39">
        <f>+(($D$144/12)*'12-DepRates'!$N$21)+((D151*'12-DepRates'!$N$21)/12*10)</f>
        <v>5117827.3790526893</v>
      </c>
      <c r="F151" s="39">
        <f t="shared" si="29"/>
        <v>4417278.608331183</v>
      </c>
      <c r="G151" s="39">
        <f t="shared" si="30"/>
        <v>9978419.1643191595</v>
      </c>
      <c r="H151" s="39">
        <f t="shared" si="25"/>
        <v>-2596282.1394627928</v>
      </c>
      <c r="I151" s="33">
        <f>-'1-BaseTRR'!$D$106/12</f>
        <v>1767399.8999140516</v>
      </c>
      <c r="J151" s="33">
        <f t="shared" si="31"/>
        <v>-828882.23954874114</v>
      </c>
      <c r="K151" s="31">
        <f t="shared" si="26"/>
        <v>0.75616438356164384</v>
      </c>
      <c r="L151" s="39">
        <f t="shared" si="27"/>
        <v>-626771.2277135686</v>
      </c>
      <c r="M151" s="158">
        <f t="shared" si="32"/>
        <v>7227687.2769638337</v>
      </c>
      <c r="N151" s="8">
        <f t="shared" si="28"/>
        <v>716</v>
      </c>
    </row>
    <row r="152" spans="1:16">
      <c r="A152" s="131">
        <f t="shared" si="18"/>
        <v>717</v>
      </c>
      <c r="B152" s="27">
        <f>'1-BaseTRR'!$F$1</f>
        <v>2024</v>
      </c>
      <c r="C152" s="306" t="s">
        <v>115</v>
      </c>
      <c r="D152" s="183">
        <f>+'9-PlantAdditions'!D30</f>
        <v>119667139.64027068</v>
      </c>
      <c r="E152" s="39">
        <f>+(($D$144/12)*'12-DepRates'!$N$21)+((D152*'12-DepRates'!$N$21)/12*9)</f>
        <v>5579860.9225318823</v>
      </c>
      <c r="F152" s="39">
        <f t="shared" si="29"/>
        <v>5983356.9820135348</v>
      </c>
      <c r="G152" s="39">
        <f t="shared" si="30"/>
        <v>9978419.1643191595</v>
      </c>
      <c r="H152" s="39">
        <f t="shared" si="25"/>
        <v>-2905233.6285675238</v>
      </c>
      <c r="I152" s="33">
        <f>-'1-BaseTRR'!$D$106/12</f>
        <v>1767399.8999140516</v>
      </c>
      <c r="J152" s="33">
        <f t="shared" si="31"/>
        <v>-1137833.7286534721</v>
      </c>
      <c r="K152" s="31">
        <f t="shared" si="26"/>
        <v>0.67397260273972603</v>
      </c>
      <c r="L152" s="39">
        <f t="shared" si="27"/>
        <v>-766868.75958562782</v>
      </c>
      <c r="M152" s="158">
        <f t="shared" si="32"/>
        <v>6460818.5173782054</v>
      </c>
      <c r="N152" s="8">
        <f t="shared" si="28"/>
        <v>717</v>
      </c>
    </row>
    <row r="153" spans="1:16">
      <c r="A153" s="131">
        <f t="shared" si="18"/>
        <v>718</v>
      </c>
      <c r="B153" s="27">
        <f>'1-BaseTRR'!$F$1</f>
        <v>2024</v>
      </c>
      <c r="C153" s="306" t="s">
        <v>89</v>
      </c>
      <c r="D153" s="183">
        <f>+'9-PlantAdditions'!D31</f>
        <v>116543495.15783252</v>
      </c>
      <c r="E153" s="39">
        <f>+(($D$144/12)*'12-DepRates'!$N$21)+((D153*'12-DepRates'!$N$21)/12*8)</f>
        <v>5234541.5391373495</v>
      </c>
      <c r="F153" s="39">
        <f t="shared" si="29"/>
        <v>5827174.7578916261</v>
      </c>
      <c r="G153" s="39">
        <f t="shared" si="30"/>
        <v>9978419.1643191595</v>
      </c>
      <c r="H153" s="39">
        <f t="shared" si="25"/>
        <v>-2958161.0146697378</v>
      </c>
      <c r="I153" s="33">
        <f>-'1-BaseTRR'!$D$106/12</f>
        <v>1767399.8999140516</v>
      </c>
      <c r="J153" s="33">
        <f t="shared" si="31"/>
        <v>-1190761.1147556861</v>
      </c>
      <c r="K153" s="31">
        <f t="shared" si="26"/>
        <v>0.58904109589041098</v>
      </c>
      <c r="L153" s="39">
        <f t="shared" si="27"/>
        <v>-701407.23197937675</v>
      </c>
      <c r="M153" s="158">
        <f t="shared" si="32"/>
        <v>5759411.2853988288</v>
      </c>
      <c r="N153" s="8">
        <f t="shared" si="28"/>
        <v>718</v>
      </c>
    </row>
    <row r="154" spans="1:16">
      <c r="A154" s="131">
        <f t="shared" si="18"/>
        <v>719</v>
      </c>
      <c r="B154" s="27">
        <f>'1-BaseTRR'!$F$1</f>
        <v>2024</v>
      </c>
      <c r="C154" s="306" t="s">
        <v>272</v>
      </c>
      <c r="D154" s="183">
        <f>+'9-PlantAdditions'!D32</f>
        <v>66454498.352867521</v>
      </c>
      <c r="E154" s="39">
        <f>+(($D$144/12)*'12-DepRates'!$N$21)+((D154*'12-DepRates'!$N$21)/12*7)</f>
        <v>4119335.0576635785</v>
      </c>
      <c r="F154" s="39">
        <f t="shared" si="29"/>
        <v>3322724.9176433762</v>
      </c>
      <c r="G154" s="39">
        <f t="shared" si="30"/>
        <v>9978419.1643191595</v>
      </c>
      <c r="H154" s="39">
        <f t="shared" si="25"/>
        <v>-2569400.7101237224</v>
      </c>
      <c r="I154" s="33">
        <f>-'1-BaseTRR'!$D$106/12</f>
        <v>1767399.8999140516</v>
      </c>
      <c r="J154" s="33">
        <f t="shared" si="31"/>
        <v>-802000.8102096708</v>
      </c>
      <c r="K154" s="31">
        <f t="shared" si="26"/>
        <v>0.50684931506849318</v>
      </c>
      <c r="L154" s="39">
        <f t="shared" si="27"/>
        <v>-406493.56133914826</v>
      </c>
      <c r="M154" s="158">
        <f t="shared" si="32"/>
        <v>5352917.7240596805</v>
      </c>
      <c r="N154" s="8">
        <f t="shared" si="28"/>
        <v>719</v>
      </c>
    </row>
    <row r="155" spans="1:16">
      <c r="A155" s="131">
        <f t="shared" si="18"/>
        <v>720</v>
      </c>
      <c r="B155" s="27">
        <f>'1-BaseTRR'!$F$1</f>
        <v>2024</v>
      </c>
      <c r="C155" s="306" t="s">
        <v>117</v>
      </c>
      <c r="D155" s="183">
        <f>+'9-PlantAdditions'!D33</f>
        <v>98550311.261942178</v>
      </c>
      <c r="E155" s="39">
        <f>+(($D$144/12)*'12-DepRates'!$N$21)+((D155*'12-DepRates'!$N$21)/12*6)</f>
        <v>4420406.0300286207</v>
      </c>
      <c r="F155" s="39">
        <f t="shared" si="29"/>
        <v>4927515.5630971091</v>
      </c>
      <c r="G155" s="39">
        <f t="shared" si="30"/>
        <v>9978419.1643191595</v>
      </c>
      <c r="H155" s="39">
        <f t="shared" si="25"/>
        <v>-2934228.4085621694</v>
      </c>
      <c r="I155" s="33">
        <f>-'1-BaseTRR'!$D$106/12</f>
        <v>1767399.8999140516</v>
      </c>
      <c r="J155" s="33">
        <f t="shared" si="31"/>
        <v>-1166828.5086481178</v>
      </c>
      <c r="K155" s="31">
        <f t="shared" si="26"/>
        <v>0.42191780821917807</v>
      </c>
      <c r="L155" s="39">
        <f t="shared" si="27"/>
        <v>-492305.72693646612</v>
      </c>
      <c r="M155" s="158">
        <f t="shared" si="32"/>
        <v>4860611.9971232144</v>
      </c>
      <c r="N155" s="8">
        <f t="shared" si="28"/>
        <v>720</v>
      </c>
    </row>
    <row r="156" spans="1:16">
      <c r="A156" s="131">
        <f t="shared" si="18"/>
        <v>721</v>
      </c>
      <c r="B156" s="27">
        <f>'1-BaseTRR'!$F$1</f>
        <v>2024</v>
      </c>
      <c r="C156" s="306" t="s">
        <v>118</v>
      </c>
      <c r="D156" s="183">
        <f>+'9-PlantAdditions'!D34</f>
        <v>140050138.26468539</v>
      </c>
      <c r="E156" s="39">
        <f>+(($D$144/12)*'12-DepRates'!$N$21)+((D156*'12-DepRates'!$N$21)/12*5)</f>
        <v>4680485.5551508479</v>
      </c>
      <c r="F156" s="39">
        <f t="shared" si="29"/>
        <v>7002506.9132342702</v>
      </c>
      <c r="G156" s="39">
        <f t="shared" si="30"/>
        <v>9978419.1643191595</v>
      </c>
      <c r="H156" s="39">
        <f t="shared" si="25"/>
        <v>-3442106.0740270484</v>
      </c>
      <c r="I156" s="33">
        <f>-'1-BaseTRR'!$D$106/12</f>
        <v>1767399.8999140516</v>
      </c>
      <c r="J156" s="33">
        <f t="shared" si="31"/>
        <v>-1674706.1741129968</v>
      </c>
      <c r="K156" s="31">
        <f t="shared" si="26"/>
        <v>0.33698630136986302</v>
      </c>
      <c r="L156" s="39">
        <f t="shared" si="27"/>
        <v>-564353.03949561261</v>
      </c>
      <c r="M156" s="158">
        <f t="shared" si="32"/>
        <v>4296258.9576276019</v>
      </c>
      <c r="N156" s="8">
        <f t="shared" si="28"/>
        <v>721</v>
      </c>
    </row>
    <row r="157" spans="1:16">
      <c r="A157" s="131">
        <f t="shared" si="18"/>
        <v>722</v>
      </c>
      <c r="B157" s="27">
        <f>'1-BaseTRR'!$F$1</f>
        <v>2024</v>
      </c>
      <c r="C157" s="306" t="s">
        <v>119</v>
      </c>
      <c r="D157" s="183">
        <f>+'9-PlantAdditions'!D35</f>
        <v>98701983.515771031</v>
      </c>
      <c r="E157" s="39">
        <f>+(($D$144/12)*'12-DepRates'!$N$21)+((D157*'12-DepRates'!$N$21)/12*4)</f>
        <v>3951341.3154545464</v>
      </c>
      <c r="F157" s="39">
        <f t="shared" si="29"/>
        <v>4935099.1757885516</v>
      </c>
      <c r="G157" s="39">
        <f t="shared" si="30"/>
        <v>9978419.1643191595</v>
      </c>
      <c r="H157" s="39">
        <f t="shared" si="25"/>
        <v>-3067611.7698708428</v>
      </c>
      <c r="I157" s="33">
        <f>-'1-BaseTRR'!$D$106/12</f>
        <v>1767399.8999140516</v>
      </c>
      <c r="J157" s="33">
        <f t="shared" si="31"/>
        <v>-1300211.8699567912</v>
      </c>
      <c r="K157" s="31">
        <f t="shared" si="26"/>
        <v>0.25479452054794521</v>
      </c>
      <c r="L157" s="39">
        <f t="shared" si="27"/>
        <v>-331286.86001638789</v>
      </c>
      <c r="M157" s="158">
        <f t="shared" si="32"/>
        <v>3964972.097611214</v>
      </c>
      <c r="N157" s="8">
        <f t="shared" si="28"/>
        <v>722</v>
      </c>
    </row>
    <row r="158" spans="1:16">
      <c r="A158" s="131">
        <f t="shared" si="18"/>
        <v>723</v>
      </c>
      <c r="B158" s="27">
        <f>'1-BaseTRR'!$F$1</f>
        <v>2024</v>
      </c>
      <c r="C158" s="306" t="s">
        <v>120</v>
      </c>
      <c r="D158" s="183">
        <f>+'9-PlantAdditions'!D36</f>
        <v>75330090.252181843</v>
      </c>
      <c r="E158" s="39">
        <f>+(($D$144/12)*'12-DepRates'!$N$21)+((D158*'12-DepRates'!$N$21)/12*3)</f>
        <v>3548344.603851282</v>
      </c>
      <c r="F158" s="39">
        <f t="shared" si="29"/>
        <v>3766504.5126090925</v>
      </c>
      <c r="G158" s="39">
        <f t="shared" si="30"/>
        <v>9978419.1643191595</v>
      </c>
      <c r="H158" s="39">
        <f t="shared" si="25"/>
        <v>-2853369.901493567</v>
      </c>
      <c r="I158" s="33">
        <f>-'1-BaseTRR'!$D$106/12</f>
        <v>1767399.8999140516</v>
      </c>
      <c r="J158" s="33">
        <f t="shared" si="31"/>
        <v>-1085970.0015795154</v>
      </c>
      <c r="K158" s="31">
        <f t="shared" si="26"/>
        <v>0.16986301369863013</v>
      </c>
      <c r="L158" s="39">
        <f t="shared" si="27"/>
        <v>-184466.13725460263</v>
      </c>
      <c r="M158" s="158">
        <f t="shared" si="32"/>
        <v>3780505.9603566113</v>
      </c>
      <c r="N158" s="8">
        <f t="shared" si="28"/>
        <v>723</v>
      </c>
    </row>
    <row r="159" spans="1:16">
      <c r="A159" s="131">
        <f t="shared" si="18"/>
        <v>724</v>
      </c>
      <c r="B159" s="27">
        <f>'1-BaseTRR'!$F$1</f>
        <v>2024</v>
      </c>
      <c r="C159" s="306" t="s">
        <v>121</v>
      </c>
      <c r="D159" s="183">
        <f>+'9-PlantAdditions'!D37</f>
        <v>125850537.83818357</v>
      </c>
      <c r="E159" s="39">
        <f>+(($D$144/12)*'12-DepRates'!$N$21)+((D159*'12-DepRates'!$N$21)/12*2)</f>
        <v>3609720.7041503782</v>
      </c>
      <c r="F159" s="39">
        <f t="shared" si="29"/>
        <v>6292526.8919091783</v>
      </c>
      <c r="G159" s="39">
        <f t="shared" si="30"/>
        <v>9978419.1643191595</v>
      </c>
      <c r="H159" s="39">
        <f t="shared" si="25"/>
        <v>-3543066.6576240873</v>
      </c>
      <c r="I159" s="33">
        <f>-'1-BaseTRR'!$D$106/12</f>
        <v>1767399.8999140516</v>
      </c>
      <c r="J159" s="33">
        <f t="shared" si="31"/>
        <v>-1775666.7577100357</v>
      </c>
      <c r="K159" s="31">
        <f t="shared" si="26"/>
        <v>8.7671232876712329E-2</v>
      </c>
      <c r="L159" s="39">
        <f t="shared" si="27"/>
        <v>-155674.89382663326</v>
      </c>
      <c r="M159" s="158">
        <f t="shared" si="32"/>
        <v>3624831.0665299781</v>
      </c>
      <c r="N159" s="8">
        <f t="shared" si="28"/>
        <v>724</v>
      </c>
    </row>
    <row r="160" spans="1:16">
      <c r="A160" s="131">
        <f t="shared" si="18"/>
        <v>725</v>
      </c>
      <c r="B160" s="27">
        <f>'1-BaseTRR'!$F$1</f>
        <v>2024</v>
      </c>
      <c r="C160" s="306" t="s">
        <v>111</v>
      </c>
      <c r="D160" s="521">
        <f>+'9-PlantAdditions'!D38</f>
        <v>377359225.8425191</v>
      </c>
      <c r="E160" s="522">
        <f>+(($D$144/12)*'12-DepRates'!$N$21)+((D160*'12-DepRates'!$N$21)/12*1)</f>
        <v>3909688.2567823371</v>
      </c>
      <c r="F160" s="522">
        <f t="shared" si="29"/>
        <v>18867961.292125955</v>
      </c>
      <c r="G160" s="522">
        <f t="shared" si="30"/>
        <v>9978419.1643191595</v>
      </c>
      <c r="H160" s="522">
        <f t="shared" si="25"/>
        <v>-6978184.1983848317</v>
      </c>
      <c r="I160" s="523">
        <f>-'1-BaseTRR'!$D$106/12</f>
        <v>1767399.8999140516</v>
      </c>
      <c r="J160" s="523">
        <f t="shared" si="31"/>
        <v>-5210784.2984707803</v>
      </c>
      <c r="K160" s="31">
        <f t="shared" si="26"/>
        <v>2.7397260273972603E-3</v>
      </c>
      <c r="L160" s="39">
        <f t="shared" si="27"/>
        <v>-14276.121365673371</v>
      </c>
      <c r="M160" s="158">
        <f t="shared" si="32"/>
        <v>3610554.9451643047</v>
      </c>
      <c r="N160" s="8">
        <f t="shared" si="28"/>
        <v>725</v>
      </c>
    </row>
    <row r="161" spans="1:14">
      <c r="A161" s="131">
        <f t="shared" si="18"/>
        <v>726</v>
      </c>
      <c r="C161" s="306" t="s">
        <v>1466</v>
      </c>
      <c r="D161" s="227">
        <f t="shared" ref="D161:J161" si="33">SUM(D149:D160)</f>
        <v>1468189069.3918045</v>
      </c>
      <c r="E161" s="530">
        <f t="shared" si="33"/>
        <v>54557346.168243952</v>
      </c>
      <c r="F161" s="530">
        <f t="shared" si="33"/>
        <v>73409453.469590232</v>
      </c>
      <c r="G161" s="530">
        <f t="shared" si="33"/>
        <v>119741029.97182991</v>
      </c>
      <c r="H161" s="530">
        <f t="shared" si="33"/>
        <v>-38783349.161976524</v>
      </c>
      <c r="I161" s="353">
        <f t="shared" si="33"/>
        <v>21208798.798968624</v>
      </c>
      <c r="J161" s="353">
        <f t="shared" si="33"/>
        <v>-17574550.363007911</v>
      </c>
      <c r="K161" s="158"/>
      <c r="N161" s="8">
        <f t="shared" si="28"/>
        <v>726</v>
      </c>
    </row>
    <row r="162" spans="1:14">
      <c r="E162" s="39"/>
      <c r="N162" s="12"/>
    </row>
    <row r="163" spans="1:14">
      <c r="A163" s="131">
        <f>A161+1</f>
        <v>727</v>
      </c>
      <c r="C163" s="553" t="s">
        <v>1352</v>
      </c>
      <c r="D163" s="227">
        <f>+D144+D161</f>
        <v>2728620963.832119</v>
      </c>
      <c r="E163" s="227">
        <f>+E144+E161</f>
        <v>74208003.253890961</v>
      </c>
      <c r="F163" s="227">
        <f>+F144+F161</f>
        <v>136431048.19160596</v>
      </c>
      <c r="G163" s="227">
        <f>+G144+G161</f>
        <v>119741029.97182991</v>
      </c>
      <c r="H163" s="554">
        <f>+H144+H161</f>
        <v>-50920098.866387397</v>
      </c>
      <c r="M163" s="158">
        <f>+M160</f>
        <v>3610554.9451643047</v>
      </c>
      <c r="N163" s="8">
        <f>+A163</f>
        <v>727</v>
      </c>
    </row>
    <row r="164" spans="1:14" ht="29">
      <c r="A164" s="131">
        <f t="shared" ref="A164" si="34">A163+1</f>
        <v>728</v>
      </c>
      <c r="C164" s="306" t="s">
        <v>1353</v>
      </c>
      <c r="D164" s="20"/>
      <c r="G164" s="39"/>
      <c r="H164" s="39"/>
      <c r="M164" s="528">
        <f>((M163*'1-BaseTRR'!D68)*(1+'1-BaseTRR'!D99/(1-'1-BaseTRR'!D99)))+(M163*'1-BaseTRR'!D63)</f>
        <v>332443.58113073406</v>
      </c>
      <c r="N164" s="8">
        <f>+A164</f>
        <v>728</v>
      </c>
    </row>
    <row r="165" spans="1:14">
      <c r="A165" s="131"/>
      <c r="M165" s="15" t="s">
        <v>166</v>
      </c>
      <c r="N165" s="8"/>
    </row>
    <row r="166" spans="1:14">
      <c r="N166" s="8"/>
    </row>
    <row r="167" spans="1:14">
      <c r="A167" s="119" t="s">
        <v>122</v>
      </c>
      <c r="B167" s="13" t="s">
        <v>109</v>
      </c>
      <c r="C167" s="13" t="s">
        <v>1354</v>
      </c>
      <c r="N167" s="13" t="str">
        <f t="shared" ref="N167:N183" si="35">+A167</f>
        <v>Line</v>
      </c>
    </row>
    <row r="168" spans="1:14">
      <c r="A168" s="131">
        <f>A164+1</f>
        <v>729</v>
      </c>
      <c r="B168" s="30">
        <v>1</v>
      </c>
      <c r="C168" s="31">
        <v>0.05</v>
      </c>
      <c r="N168" s="8">
        <f t="shared" si="35"/>
        <v>729</v>
      </c>
    </row>
    <row r="169" spans="1:14">
      <c r="A169" s="131">
        <f t="shared" ref="A169:A183" si="36">+A168+1</f>
        <v>730</v>
      </c>
      <c r="B169" s="30">
        <f>+B168+1</f>
        <v>2</v>
      </c>
      <c r="C169" s="31">
        <v>9.5000000000000001E-2</v>
      </c>
      <c r="E169" s="377"/>
      <c r="F169" s="158"/>
      <c r="N169" s="8">
        <f t="shared" si="35"/>
        <v>730</v>
      </c>
    </row>
    <row r="170" spans="1:14">
      <c r="A170" s="131">
        <f t="shared" si="36"/>
        <v>731</v>
      </c>
      <c r="B170" s="30">
        <f t="shared" ref="B170:B182" si="37">+B169+1</f>
        <v>3</v>
      </c>
      <c r="C170" s="31">
        <v>8.5500000000000007E-2</v>
      </c>
      <c r="E170" s="377"/>
      <c r="F170" s="158"/>
      <c r="N170" s="8">
        <f t="shared" si="35"/>
        <v>731</v>
      </c>
    </row>
    <row r="171" spans="1:14">
      <c r="A171" s="131">
        <f t="shared" si="36"/>
        <v>732</v>
      </c>
      <c r="B171" s="30">
        <f t="shared" si="37"/>
        <v>4</v>
      </c>
      <c r="C171" s="31">
        <v>7.6999999999999999E-2</v>
      </c>
      <c r="E171" s="377"/>
      <c r="F171" s="158"/>
      <c r="N171" s="8">
        <f t="shared" si="35"/>
        <v>732</v>
      </c>
    </row>
    <row r="172" spans="1:14">
      <c r="A172" s="131">
        <f t="shared" si="36"/>
        <v>733</v>
      </c>
      <c r="B172" s="30">
        <f t="shared" si="37"/>
        <v>5</v>
      </c>
      <c r="C172" s="31">
        <v>6.93E-2</v>
      </c>
      <c r="E172" s="377"/>
      <c r="F172" s="158"/>
      <c r="N172" s="8">
        <f t="shared" si="35"/>
        <v>733</v>
      </c>
    </row>
    <row r="173" spans="1:14">
      <c r="A173" s="131">
        <f t="shared" si="36"/>
        <v>734</v>
      </c>
      <c r="B173" s="30">
        <f t="shared" si="37"/>
        <v>6</v>
      </c>
      <c r="C173" s="31">
        <v>6.2300000000000001E-2</v>
      </c>
      <c r="E173" s="377"/>
      <c r="F173" s="158"/>
      <c r="N173" s="8">
        <f t="shared" si="35"/>
        <v>734</v>
      </c>
    </row>
    <row r="174" spans="1:14">
      <c r="A174" s="131">
        <f t="shared" si="36"/>
        <v>735</v>
      </c>
      <c r="B174" s="30">
        <f t="shared" si="37"/>
        <v>7</v>
      </c>
      <c r="C174" s="31">
        <v>5.8999999999999997E-2</v>
      </c>
      <c r="E174" s="377"/>
      <c r="F174" s="158"/>
      <c r="N174" s="8">
        <f t="shared" si="35"/>
        <v>735</v>
      </c>
    </row>
    <row r="175" spans="1:14">
      <c r="A175" s="131">
        <f t="shared" si="36"/>
        <v>736</v>
      </c>
      <c r="B175" s="30">
        <f t="shared" si="37"/>
        <v>8</v>
      </c>
      <c r="C175" s="31">
        <v>5.8999999999999997E-2</v>
      </c>
      <c r="E175" s="377"/>
      <c r="F175" s="158"/>
      <c r="N175" s="8">
        <f t="shared" si="35"/>
        <v>736</v>
      </c>
    </row>
    <row r="176" spans="1:14">
      <c r="A176" s="131">
        <f t="shared" si="36"/>
        <v>737</v>
      </c>
      <c r="B176" s="30">
        <f t="shared" si="37"/>
        <v>9</v>
      </c>
      <c r="C176" s="31">
        <v>5.91E-2</v>
      </c>
      <c r="E176" s="377"/>
      <c r="F176" s="158"/>
      <c r="N176" s="8">
        <f t="shared" si="35"/>
        <v>737</v>
      </c>
    </row>
    <row r="177" spans="1:14">
      <c r="A177" s="131">
        <f t="shared" si="36"/>
        <v>738</v>
      </c>
      <c r="B177" s="30">
        <f t="shared" si="37"/>
        <v>10</v>
      </c>
      <c r="C177" s="31">
        <v>5.8999999999999997E-2</v>
      </c>
      <c r="E177" s="377"/>
      <c r="F177" s="158"/>
      <c r="N177" s="8">
        <f t="shared" si="35"/>
        <v>738</v>
      </c>
    </row>
    <row r="178" spans="1:14">
      <c r="A178" s="131">
        <f t="shared" si="36"/>
        <v>739</v>
      </c>
      <c r="B178" s="30">
        <f t="shared" si="37"/>
        <v>11</v>
      </c>
      <c r="C178" s="31">
        <v>5.91E-2</v>
      </c>
      <c r="E178" s="377"/>
      <c r="F178" s="158"/>
      <c r="N178" s="8">
        <f t="shared" si="35"/>
        <v>739</v>
      </c>
    </row>
    <row r="179" spans="1:14">
      <c r="A179" s="131">
        <f t="shared" si="36"/>
        <v>740</v>
      </c>
      <c r="B179" s="30">
        <f t="shared" si="37"/>
        <v>12</v>
      </c>
      <c r="C179" s="31">
        <v>5.8999999999999997E-2</v>
      </c>
      <c r="E179" s="377"/>
      <c r="F179" s="158"/>
      <c r="N179" s="8">
        <f t="shared" si="35"/>
        <v>740</v>
      </c>
    </row>
    <row r="180" spans="1:14">
      <c r="A180" s="131">
        <f t="shared" si="36"/>
        <v>741</v>
      </c>
      <c r="B180" s="30">
        <f t="shared" si="37"/>
        <v>13</v>
      </c>
      <c r="C180" s="31">
        <v>5.91E-2</v>
      </c>
      <c r="E180" s="377"/>
      <c r="F180" s="158"/>
      <c r="N180" s="8">
        <f t="shared" si="35"/>
        <v>741</v>
      </c>
    </row>
    <row r="181" spans="1:14">
      <c r="A181" s="131">
        <f t="shared" si="36"/>
        <v>742</v>
      </c>
      <c r="B181" s="30">
        <f t="shared" si="37"/>
        <v>14</v>
      </c>
      <c r="C181" s="31">
        <v>5.8999999999999997E-2</v>
      </c>
      <c r="E181" s="377"/>
      <c r="N181" s="8">
        <f t="shared" si="35"/>
        <v>742</v>
      </c>
    </row>
    <row r="182" spans="1:14">
      <c r="A182" s="131">
        <f t="shared" si="36"/>
        <v>743</v>
      </c>
      <c r="B182" s="30">
        <f t="shared" si="37"/>
        <v>15</v>
      </c>
      <c r="C182" s="31">
        <v>5.91E-2</v>
      </c>
      <c r="E182" s="158"/>
      <c r="N182" s="8">
        <f t="shared" si="35"/>
        <v>743</v>
      </c>
    </row>
    <row r="183" spans="1:14">
      <c r="A183" s="131">
        <f t="shared" si="36"/>
        <v>744</v>
      </c>
      <c r="B183" s="30">
        <f>+B182+1</f>
        <v>16</v>
      </c>
      <c r="C183" s="31">
        <v>2.9499999999999998E-2</v>
      </c>
      <c r="N183" s="8">
        <f t="shared" si="35"/>
        <v>744</v>
      </c>
    </row>
    <row r="184" spans="1:14">
      <c r="A184" s="30"/>
      <c r="K184" s="8"/>
    </row>
    <row r="185" spans="1:14">
      <c r="A185" s="30"/>
      <c r="B185" s="206" t="s">
        <v>125</v>
      </c>
      <c r="K185" s="8"/>
    </row>
    <row r="186" spans="1:14">
      <c r="A186" s="30"/>
      <c r="B186" s="817" t="s">
        <v>666</v>
      </c>
      <c r="C186" s="817"/>
      <c r="D186" s="817"/>
      <c r="E186" s="817"/>
      <c r="F186" s="817"/>
      <c r="G186" s="817"/>
      <c r="H186" s="817"/>
      <c r="I186" s="817"/>
      <c r="J186" s="817"/>
      <c r="K186" s="8"/>
    </row>
    <row r="187" spans="1:14">
      <c r="A187" s="30"/>
      <c r="B187" s="817" t="s">
        <v>1435</v>
      </c>
      <c r="C187" s="817"/>
      <c r="D187" s="817"/>
      <c r="E187" s="817"/>
      <c r="F187" s="817"/>
      <c r="G187" s="817"/>
      <c r="H187" s="817"/>
      <c r="I187" s="817"/>
      <c r="J187" s="817"/>
      <c r="K187" s="8"/>
    </row>
    <row r="188" spans="1:14">
      <c r="B188" t="s">
        <v>1599</v>
      </c>
    </row>
  </sheetData>
  <protectedRanges>
    <protectedRange password="F1C4" sqref="D13:D14 D16 D21:D25 F18 D18:E20 D26:F28 B7:C31 E14:E17 D52:D53 D73:D74 D90:D91 J54:J57 J93:J94 J32:J41 J79 J59 D31:F31 D29:D30 F29:F30" name="AAReport1_23_1_1_2"/>
    <protectedRange password="F1C4" sqref="J58" name="AAReport1_23_1_1_2_3"/>
    <protectedRange password="F1C4" sqref="D17" name="AAReport1_23_1_1_2_2_1"/>
    <protectedRange password="F1C4" sqref="F33:F34" name="AAReport1_23_1_1_2_1_1"/>
    <protectedRange password="F1C4" sqref="E29:E30" name="AAReport1_23_1_1_2_1"/>
    <protectedRange password="F1C4" sqref="E52:E53" name="AAReport1_23_1_1_2_2"/>
    <protectedRange password="F1C4" sqref="E73:E74" name="AAReport1_23_1_1_2_4"/>
    <protectedRange password="F1C4" sqref="E90:E91" name="AAReport1_23_1_1_2_5"/>
    <protectedRange password="F1C4" sqref="J76:J78" name="AAReport1_23_1_1_2_6"/>
  </protectedRanges>
  <mergeCells count="2">
    <mergeCell ref="B186:J186"/>
    <mergeCell ref="B187:J187"/>
  </mergeCells>
  <conditionalFormatting sqref="B80 D80 D96">
    <cfRule type="expression" dxfId="5" priority="12" stopIfTrue="1">
      <formula>Formulas</formula>
    </cfRule>
  </conditionalFormatting>
  <conditionalFormatting sqref="B96">
    <cfRule type="expression" dxfId="4" priority="9" stopIfTrue="1">
      <formula>Formulas</formula>
    </cfRule>
  </conditionalFormatting>
  <conditionalFormatting sqref="C76:C79">
    <cfRule type="expression" dxfId="3" priority="4" stopIfTrue="1">
      <formula>#REF!&lt;&gt;""</formula>
    </cfRule>
  </conditionalFormatting>
  <conditionalFormatting sqref="C80">
    <cfRule type="expression" dxfId="2" priority="11" stopIfTrue="1">
      <formula>#REF!&lt;&gt;""</formula>
    </cfRule>
  </conditionalFormatting>
  <conditionalFormatting sqref="C93">
    <cfRule type="expression" dxfId="1" priority="3" stopIfTrue="1">
      <formula>#REF!&lt;&gt;""</formula>
    </cfRule>
  </conditionalFormatting>
  <conditionalFormatting sqref="C94:C96">
    <cfRule type="expression" dxfId="0" priority="1" stopIfTrue="1">
      <formula>#REF!&lt;&gt;""</formula>
    </cfRule>
  </conditionalFormatting>
  <printOptions horizontalCentered="1"/>
  <pageMargins left="1" right="1" top="1" bottom="1" header="0.5" footer="0.5"/>
  <pageSetup scale="33" fitToHeight="0" orientation="landscape" r:id="rId1"/>
  <headerFooter>
    <oddHeader xml:space="preserve">&amp;C&amp;"-,Bold"Pacific Gas and Electric Company
Formula Rate Model
Schedule &amp;A&amp;R&amp;8Docket No. ER19-13-000, et al- Annual Update RY2024
&amp;F
</oddHeader>
  </headerFooter>
  <rowBreaks count="2" manualBreakCount="2">
    <brk id="69" max="13" man="1"/>
    <brk id="124" max="13" man="1"/>
  </rowBreaks>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32"/>
  <sheetViews>
    <sheetView tabSelected="1" view="pageBreakPreview" zoomScaleSheetLayoutView="100" zoomScalePageLayoutView="85" workbookViewId="0">
      <selection activeCell="C59" activeCellId="1" sqref="L63 C59"/>
    </sheetView>
  </sheetViews>
  <sheetFormatPr defaultColWidth="9.1796875" defaultRowHeight="14.5"/>
  <cols>
    <col min="1" max="1" width="4.54296875" bestFit="1" customWidth="1"/>
    <col min="2" max="2" width="59.54296875" bestFit="1" customWidth="1"/>
    <col min="3" max="3" width="20.81640625" customWidth="1"/>
    <col min="4" max="4" width="56.7265625" style="6" bestFit="1" customWidth="1"/>
    <col min="5" max="5" width="22.54296875" bestFit="1" customWidth="1"/>
    <col min="6" max="6" width="19.453125" bestFit="1" customWidth="1"/>
    <col min="7" max="7" width="4.54296875" bestFit="1" customWidth="1"/>
  </cols>
  <sheetData>
    <row r="1" spans="1:7">
      <c r="B1" s="12" t="s">
        <v>667</v>
      </c>
      <c r="E1" s="15"/>
      <c r="F1" s="15" t="str">
        <f>CONCATENATE("Prior Year: ",'1-BaseTRR'!$F$2)</f>
        <v>Prior Year: 2022</v>
      </c>
    </row>
    <row r="2" spans="1:7">
      <c r="B2" s="117" t="s">
        <v>193</v>
      </c>
      <c r="E2" s="15"/>
      <c r="F2" s="15"/>
    </row>
    <row r="3" spans="1:7">
      <c r="B3" s="142"/>
      <c r="G3" s="314"/>
    </row>
    <row r="4" spans="1:7">
      <c r="B4" s="57" t="s">
        <v>668</v>
      </c>
      <c r="C4" s="54"/>
      <c r="D4" s="53"/>
      <c r="E4" s="54"/>
      <c r="F4" s="54"/>
      <c r="G4" s="314"/>
    </row>
    <row r="5" spans="1:7">
      <c r="A5" s="13" t="s">
        <v>122</v>
      </c>
      <c r="B5" s="13" t="s">
        <v>127</v>
      </c>
      <c r="C5" s="13" t="s">
        <v>141</v>
      </c>
      <c r="D5" s="13" t="s">
        <v>54</v>
      </c>
      <c r="E5" s="13" t="s">
        <v>11</v>
      </c>
      <c r="F5" s="13" t="str">
        <f>A5</f>
        <v>Line</v>
      </c>
    </row>
    <row r="6" spans="1:7">
      <c r="A6" s="131">
        <v>100</v>
      </c>
      <c r="B6" t="s">
        <v>669</v>
      </c>
      <c r="C6" s="352">
        <v>126586601.496494</v>
      </c>
      <c r="D6" s="4" t="s">
        <v>1380</v>
      </c>
      <c r="E6" s="38"/>
      <c r="F6" s="131">
        <f>A6</f>
        <v>100</v>
      </c>
    </row>
    <row r="7" spans="1:7">
      <c r="A7" s="131">
        <f>A6+1</f>
        <v>101</v>
      </c>
      <c r="B7" t="s">
        <v>670</v>
      </c>
      <c r="C7" s="33">
        <f>C8-C6</f>
        <v>129287222.503506</v>
      </c>
      <c r="D7" s="4" t="str">
        <f>CONCATENATE("Line ",A8," - ","Line ",A6)</f>
        <v>Line 102 - Line 100</v>
      </c>
      <c r="F7" s="131">
        <f>A7</f>
        <v>101</v>
      </c>
    </row>
    <row r="8" spans="1:7">
      <c r="A8" s="131">
        <f>A7+1</f>
        <v>102</v>
      </c>
      <c r="B8" t="s">
        <v>671</v>
      </c>
      <c r="C8" s="352">
        <v>255873824</v>
      </c>
      <c r="D8" s="4" t="s">
        <v>1990</v>
      </c>
      <c r="F8" s="131">
        <f>A8</f>
        <v>102</v>
      </c>
    </row>
    <row r="9" spans="1:7">
      <c r="C9" s="20"/>
      <c r="D9" s="803"/>
      <c r="E9" s="38"/>
    </row>
    <row r="10" spans="1:7">
      <c r="B10" s="57" t="s">
        <v>1271</v>
      </c>
      <c r="C10" s="59"/>
      <c r="D10" s="804"/>
      <c r="E10" s="315"/>
    </row>
    <row r="11" spans="1:7">
      <c r="A11" s="13" t="s">
        <v>122</v>
      </c>
      <c r="B11" s="13" t="s">
        <v>127</v>
      </c>
      <c r="C11" s="316" t="s">
        <v>141</v>
      </c>
      <c r="D11" s="119" t="s">
        <v>54</v>
      </c>
      <c r="E11" s="13" t="s">
        <v>11</v>
      </c>
      <c r="F11" s="13" t="str">
        <f>A11</f>
        <v>Line</v>
      </c>
    </row>
    <row r="12" spans="1:7">
      <c r="A12" s="131">
        <f>A8+1</f>
        <v>103</v>
      </c>
      <c r="B12" t="s">
        <v>672</v>
      </c>
      <c r="C12" s="352">
        <v>159139744.63</v>
      </c>
      <c r="D12" s="4" t="s">
        <v>1381</v>
      </c>
      <c r="E12" s="38"/>
      <c r="F12" s="131">
        <f>A12</f>
        <v>103</v>
      </c>
    </row>
    <row r="13" spans="1:7">
      <c r="A13" s="131">
        <f>A12+1</f>
        <v>104</v>
      </c>
      <c r="B13" t="s">
        <v>673</v>
      </c>
      <c r="C13" s="33">
        <f>C14-C12</f>
        <v>129535990.37</v>
      </c>
      <c r="D13" s="4" t="str">
        <f>CONCATENATE("Line ",A14," - ","Line ",A12)</f>
        <v>Line 105 - Line 103</v>
      </c>
      <c r="F13" s="131">
        <f>A13</f>
        <v>104</v>
      </c>
    </row>
    <row r="14" spans="1:7">
      <c r="A14" s="131">
        <f>A13+1</f>
        <v>105</v>
      </c>
      <c r="B14" t="s">
        <v>671</v>
      </c>
      <c r="C14" s="352">
        <v>288675735</v>
      </c>
      <c r="D14" s="4" t="s">
        <v>1991</v>
      </c>
      <c r="F14" s="131">
        <f>A14</f>
        <v>105</v>
      </c>
    </row>
    <row r="15" spans="1:7">
      <c r="A15" s="131"/>
      <c r="C15" s="33"/>
      <c r="D15" s="803"/>
      <c r="E15" s="38"/>
      <c r="F15" s="131"/>
    </row>
    <row r="16" spans="1:7">
      <c r="A16" s="131">
        <f>A14+1</f>
        <v>106</v>
      </c>
      <c r="B16" t="s">
        <v>674</v>
      </c>
      <c r="C16" s="352">
        <v>1745354.32</v>
      </c>
      <c r="D16" s="4" t="s">
        <v>1382</v>
      </c>
      <c r="F16" s="131">
        <f>A16</f>
        <v>106</v>
      </c>
    </row>
    <row r="17" spans="1:7">
      <c r="A17" s="131">
        <f>A16+1</f>
        <v>107</v>
      </c>
      <c r="B17" t="s">
        <v>675</v>
      </c>
      <c r="C17" s="33">
        <f>C18-C16</f>
        <v>119353901.68000001</v>
      </c>
      <c r="D17" s="4" t="str">
        <f>CONCATENATE("Line ",A18," - ","Line ",A16)</f>
        <v>Line 108 - Line 106</v>
      </c>
      <c r="F17" s="131">
        <f>A17</f>
        <v>107</v>
      </c>
    </row>
    <row r="18" spans="1:7">
      <c r="A18" s="131">
        <f>A17+1</f>
        <v>108</v>
      </c>
      <c r="B18" t="s">
        <v>676</v>
      </c>
      <c r="C18" s="352">
        <v>121099256</v>
      </c>
      <c r="D18" s="4" t="s">
        <v>1992</v>
      </c>
      <c r="F18" s="131">
        <f>A18</f>
        <v>108</v>
      </c>
    </row>
    <row r="19" spans="1:7">
      <c r="A19" s="131"/>
      <c r="C19" s="33"/>
      <c r="F19" s="131"/>
    </row>
    <row r="20" spans="1:7">
      <c r="A20" s="131">
        <f>A18+1</f>
        <v>109</v>
      </c>
      <c r="B20" s="15" t="s">
        <v>677</v>
      </c>
      <c r="C20" s="353">
        <f>AVERAGE(C6,C12)</f>
        <v>142863173.063247</v>
      </c>
      <c r="D20" s="6" t="str">
        <f>"Average of Lines "&amp;A6&amp;" and "&amp;A12&amp;""</f>
        <v>Average of Lines 100 and 103</v>
      </c>
      <c r="F20" s="131">
        <f>A20</f>
        <v>109</v>
      </c>
    </row>
    <row r="21" spans="1:7">
      <c r="A21" s="131"/>
      <c r="C21" s="15"/>
      <c r="D21" s="455"/>
      <c r="E21" s="6"/>
      <c r="G21" s="131"/>
    </row>
    <row r="22" spans="1:7">
      <c r="B22" s="16"/>
    </row>
    <row r="32" spans="1:7">
      <c r="D32" s="4"/>
      <c r="E32" s="17"/>
    </row>
  </sheetData>
  <protectedRanges>
    <protectedRange password="F1C4" sqref="D7 D13 D17" name="AAReport1_23_1_1_2_3"/>
  </protectedRanges>
  <printOptions horizontalCentered="1"/>
  <pageMargins left="1" right="1" top="1" bottom="1" header="0.5" footer="0.5"/>
  <pageSetup scale="61"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74"/>
  <sheetViews>
    <sheetView tabSelected="1" view="pageBreakPreview" topLeftCell="A32" zoomScale="70" zoomScaleNormal="85" zoomScaleSheetLayoutView="70" workbookViewId="0">
      <selection activeCell="C59" activeCellId="1" sqref="L63 C59"/>
    </sheetView>
  </sheetViews>
  <sheetFormatPr defaultColWidth="9.1796875" defaultRowHeight="14.5"/>
  <cols>
    <col min="1" max="1" width="6.7265625" bestFit="1" customWidth="1"/>
    <col min="2" max="2" width="47.1796875" customWidth="1"/>
    <col min="3" max="3" width="4.453125" customWidth="1"/>
    <col min="4" max="4" width="22.7265625" customWidth="1"/>
    <col min="5" max="5" width="21.453125" customWidth="1"/>
    <col min="6" max="6" width="57.26953125" bestFit="1" customWidth="1"/>
    <col min="7" max="7" width="7" bestFit="1" customWidth="1"/>
  </cols>
  <sheetData>
    <row r="1" spans="1:7">
      <c r="B1" s="12" t="s">
        <v>1441</v>
      </c>
      <c r="F1" s="15" t="str">
        <f>CONCATENATE("Prior Year: ",'1-BaseTRR'!$F$2)</f>
        <v>Prior Year: 2022</v>
      </c>
    </row>
    <row r="2" spans="1:7">
      <c r="B2" s="117" t="s">
        <v>193</v>
      </c>
      <c r="F2" s="15"/>
    </row>
    <row r="3" spans="1:7">
      <c r="B3" s="142"/>
      <c r="D3" s="8" t="s">
        <v>98</v>
      </c>
      <c r="E3" s="8" t="s">
        <v>99</v>
      </c>
      <c r="F3" s="13" t="s">
        <v>54</v>
      </c>
    </row>
    <row r="4" spans="1:7">
      <c r="A4" s="13" t="s">
        <v>122</v>
      </c>
      <c r="B4" s="57" t="s">
        <v>1443</v>
      </c>
      <c r="C4" s="54"/>
      <c r="D4" s="54"/>
      <c r="E4" s="54"/>
      <c r="F4" s="54"/>
      <c r="G4" s="13" t="str">
        <f>A4</f>
        <v>Line</v>
      </c>
    </row>
    <row r="5" spans="1:7">
      <c r="A5" s="8">
        <v>100</v>
      </c>
      <c r="B5" s="6" t="s">
        <v>1447</v>
      </c>
      <c r="E5" s="68">
        <f>E18+E27+E34+E43+E52</f>
        <v>-125198867</v>
      </c>
      <c r="F5" s="6" t="s">
        <v>1657</v>
      </c>
      <c r="G5" s="8">
        <f>A5</f>
        <v>100</v>
      </c>
    </row>
    <row r="6" spans="1:7">
      <c r="A6" s="8">
        <f>A5+1</f>
        <v>101</v>
      </c>
      <c r="B6" s="6" t="s">
        <v>1455</v>
      </c>
      <c r="E6" s="68">
        <f>E15+E25+E41+E32+E50</f>
        <v>-131293247.62614582</v>
      </c>
      <c r="F6" s="6" t="s">
        <v>1658</v>
      </c>
      <c r="G6" s="8">
        <f>A6</f>
        <v>101</v>
      </c>
    </row>
    <row r="7" spans="1:7">
      <c r="B7" s="142"/>
    </row>
    <row r="8" spans="1:7">
      <c r="B8" s="57" t="s">
        <v>1442</v>
      </c>
      <c r="C8" s="54"/>
      <c r="D8" s="54"/>
      <c r="E8" s="54"/>
      <c r="F8" s="54"/>
    </row>
    <row r="9" spans="1:7">
      <c r="D9" s="13" t="s">
        <v>98</v>
      </c>
      <c r="E9" s="13" t="s">
        <v>99</v>
      </c>
      <c r="F9" s="30"/>
    </row>
    <row r="10" spans="1:7" ht="24" customHeight="1">
      <c r="A10" s="13" t="s">
        <v>122</v>
      </c>
      <c r="B10" s="13" t="s">
        <v>127</v>
      </c>
      <c r="C10" s="13"/>
      <c r="D10" s="168" t="s">
        <v>684</v>
      </c>
      <c r="E10" s="13" t="s">
        <v>683</v>
      </c>
      <c r="F10" s="13" t="s">
        <v>54</v>
      </c>
      <c r="G10" s="13" t="str">
        <f t="shared" ref="G10:G15" si="0">A10</f>
        <v>Line</v>
      </c>
    </row>
    <row r="11" spans="1:7" ht="18" customHeight="1">
      <c r="A11" s="8">
        <v>200</v>
      </c>
      <c r="B11" t="s">
        <v>1270</v>
      </c>
      <c r="D11" s="51">
        <v>-361396927.81</v>
      </c>
      <c r="E11" s="51">
        <v>-337515362.72000003</v>
      </c>
      <c r="F11" s="4" t="s">
        <v>123</v>
      </c>
      <c r="G11" s="8">
        <f t="shared" si="0"/>
        <v>200</v>
      </c>
    </row>
    <row r="12" spans="1:7" ht="18" customHeight="1">
      <c r="A12" s="8">
        <f>A11+1</f>
        <v>201</v>
      </c>
      <c r="B12" t="s">
        <v>682</v>
      </c>
      <c r="D12" s="26">
        <v>45700000</v>
      </c>
      <c r="E12" s="26">
        <v>45700000</v>
      </c>
      <c r="F12" s="4" t="s">
        <v>124</v>
      </c>
      <c r="G12" s="8">
        <f t="shared" si="0"/>
        <v>201</v>
      </c>
    </row>
    <row r="13" spans="1:7" ht="18" customHeight="1">
      <c r="A13" s="8">
        <f>A12+1</f>
        <v>202</v>
      </c>
      <c r="B13" t="s">
        <v>681</v>
      </c>
      <c r="D13" s="32">
        <f>+D12+D11</f>
        <v>-315696927.81</v>
      </c>
      <c r="E13" s="32">
        <f>+E12+E11</f>
        <v>-291815362.72000003</v>
      </c>
      <c r="F13" s="6" t="str">
        <f>"Line "&amp;A11&amp;" + Line "&amp;A12&amp;""</f>
        <v>Line 200 + Line 201</v>
      </c>
      <c r="G13" s="8">
        <f t="shared" si="0"/>
        <v>202</v>
      </c>
    </row>
    <row r="14" spans="1:7" ht="18" customHeight="1">
      <c r="A14" s="8">
        <f>A13+1</f>
        <v>203</v>
      </c>
      <c r="B14" t="s">
        <v>680</v>
      </c>
      <c r="D14" s="34">
        <f>'24-Allocators'!$C$24</f>
        <v>9.5754660785216397E-2</v>
      </c>
      <c r="E14" s="34">
        <f>'24-Allocators'!$C$24</f>
        <v>9.5754660785216397E-2</v>
      </c>
      <c r="F14" s="6" t="str">
        <f>CONCATENATE("24-Allocators, Line ",'24-Allocators'!A24)</f>
        <v>24-Allocators, Line 113</v>
      </c>
      <c r="G14" s="8">
        <f t="shared" si="0"/>
        <v>203</v>
      </c>
    </row>
    <row r="15" spans="1:7" ht="18" customHeight="1">
      <c r="A15" s="8">
        <f>A14+1</f>
        <v>204</v>
      </c>
      <c r="B15" s="12" t="s">
        <v>679</v>
      </c>
      <c r="C15" s="12"/>
      <c r="D15" s="68">
        <f>ROUND(D13*D14,0)</f>
        <v>-30229452</v>
      </c>
      <c r="E15" s="68">
        <f>ROUND(E13*E14,0)</f>
        <v>-27942681</v>
      </c>
      <c r="F15" s="6" t="str">
        <f>"Line "&amp;A13&amp;" * Line "&amp;A14&amp;""</f>
        <v>Line 202 * Line 203</v>
      </c>
      <c r="G15" s="8">
        <f t="shared" si="0"/>
        <v>204</v>
      </c>
    </row>
    <row r="16" spans="1:7" ht="18" customHeight="1">
      <c r="A16" s="8"/>
      <c r="D16" s="22"/>
      <c r="E16" s="22"/>
      <c r="F16" s="6"/>
      <c r="G16" s="8"/>
    </row>
    <row r="17" spans="1:7" ht="18" customHeight="1">
      <c r="A17" s="8"/>
      <c r="F17" s="6"/>
      <c r="G17" s="8"/>
    </row>
    <row r="18" spans="1:7" ht="18" customHeight="1">
      <c r="A18" s="8">
        <f>A15+1</f>
        <v>205</v>
      </c>
      <c r="D18" s="15" t="s">
        <v>678</v>
      </c>
      <c r="E18" s="68">
        <f>ROUND(AVERAGE(D15:E15),0)</f>
        <v>-29086067</v>
      </c>
      <c r="F18" s="6" t="str">
        <f>CONCATENATE("Average of Line ",A15,", ",D9," and ",E9)</f>
        <v>Average of Line 204, Col 1 and Col 2</v>
      </c>
      <c r="G18" s="8">
        <f>A18</f>
        <v>205</v>
      </c>
    </row>
    <row r="19" spans="1:7" ht="18" customHeight="1">
      <c r="A19" s="8"/>
      <c r="D19" s="15"/>
      <c r="E19" s="353"/>
      <c r="F19" s="30"/>
      <c r="G19" s="8"/>
    </row>
    <row r="20" spans="1:7" ht="18" customHeight="1">
      <c r="B20" s="57" t="s">
        <v>1457</v>
      </c>
      <c r="C20" s="54"/>
      <c r="D20" s="54"/>
      <c r="E20" s="54"/>
      <c r="F20" s="218"/>
    </row>
    <row r="21" spans="1:7" ht="18" customHeight="1">
      <c r="B21" s="12"/>
      <c r="D21" s="8" t="s">
        <v>98</v>
      </c>
      <c r="E21" s="8" t="s">
        <v>99</v>
      </c>
      <c r="F21" s="30"/>
    </row>
    <row r="22" spans="1:7" ht="18" customHeight="1">
      <c r="D22" s="13" t="s">
        <v>1444</v>
      </c>
      <c r="E22" s="13" t="s">
        <v>1445</v>
      </c>
      <c r="F22" s="13" t="s">
        <v>54</v>
      </c>
    </row>
    <row r="23" spans="1:7" ht="18" customHeight="1">
      <c r="A23" s="8">
        <v>300</v>
      </c>
      <c r="B23" t="s">
        <v>1458</v>
      </c>
      <c r="D23" s="456">
        <v>-41748952</v>
      </c>
      <c r="E23" s="661">
        <v>0</v>
      </c>
      <c r="F23" s="573" t="str">
        <f>CONCATENATE("Negative 5-CostofCap-4, Line ",'5-CostofCap-4'!A8," (see Note 3)")</f>
        <v>Negative 5-CostofCap-4, Line 102 (see Note 3)</v>
      </c>
      <c r="G23" s="8">
        <f t="shared" ref="G23:G25" si="1">A23</f>
        <v>300</v>
      </c>
    </row>
    <row r="24" spans="1:7" ht="18" customHeight="1">
      <c r="A24" s="8">
        <f>+A23+1</f>
        <v>301</v>
      </c>
      <c r="B24" t="s">
        <v>1446</v>
      </c>
      <c r="D24" s="41">
        <f>+E24</f>
        <v>0.16085587413428787</v>
      </c>
      <c r="E24" s="41">
        <f>+'24-Allocators'!C29</f>
        <v>0.16085587413428787</v>
      </c>
      <c r="F24" s="6" t="str">
        <f>CONCATENATE("24-Allocators, Line ",'24-Allocators'!A29)</f>
        <v>24-Allocators, Line 116</v>
      </c>
      <c r="G24" s="8">
        <f t="shared" si="1"/>
        <v>301</v>
      </c>
    </row>
    <row r="25" spans="1:7" ht="18" customHeight="1">
      <c r="A25" s="8">
        <f>+A24+1</f>
        <v>302</v>
      </c>
      <c r="B25" t="s">
        <v>1456</v>
      </c>
      <c r="D25" s="574">
        <f>+D24*D23</f>
        <v>-6715564.1681504259</v>
      </c>
      <c r="E25" s="574">
        <f>+E24*E23</f>
        <v>0</v>
      </c>
      <c r="F25" s="6" t="str">
        <f>"Line "&amp;A23&amp;" * Line "&amp;A24&amp;" (see Note 3)"</f>
        <v>Line 300 * Line 301 (see Note 3)</v>
      </c>
      <c r="G25" s="8">
        <f t="shared" si="1"/>
        <v>302</v>
      </c>
    </row>
    <row r="26" spans="1:7" ht="18" customHeight="1">
      <c r="A26" s="8"/>
      <c r="E26" s="12"/>
      <c r="F26" s="6"/>
    </row>
    <row r="27" spans="1:7" ht="18" customHeight="1">
      <c r="A27" s="8">
        <f>+A25+1</f>
        <v>303</v>
      </c>
      <c r="D27" s="15" t="s">
        <v>678</v>
      </c>
      <c r="E27" s="68">
        <f>ROUND(AVERAGE(D25:E25),0)</f>
        <v>-3357782</v>
      </c>
      <c r="F27" s="6" t="str">
        <f>CONCATENATE("Average of Line ",A25,", ",D21," and ",E21)</f>
        <v>Average of Line 302, Col 1 and Col 2</v>
      </c>
      <c r="G27" s="8">
        <f t="shared" ref="G27" si="2">A27</f>
        <v>303</v>
      </c>
    </row>
    <row r="28" spans="1:7" ht="18" customHeight="1">
      <c r="F28" s="30"/>
    </row>
    <row r="29" spans="1:7" ht="18" customHeight="1">
      <c r="B29" s="57"/>
      <c r="C29" s="54"/>
      <c r="D29" s="54"/>
      <c r="E29" s="54"/>
      <c r="F29" s="218"/>
    </row>
    <row r="30" spans="1:7" ht="18" customHeight="1">
      <c r="A30" s="8"/>
      <c r="D30" s="8" t="s">
        <v>98</v>
      </c>
      <c r="E30" s="8" t="s">
        <v>99</v>
      </c>
      <c r="F30" s="6"/>
      <c r="G30" s="8"/>
    </row>
    <row r="31" spans="1:7" ht="18" customHeight="1">
      <c r="A31" s="8"/>
      <c r="D31" s="13" t="s">
        <v>1444</v>
      </c>
      <c r="E31" s="13" t="s">
        <v>1445</v>
      </c>
      <c r="F31" s="13" t="s">
        <v>54</v>
      </c>
      <c r="G31" s="8"/>
    </row>
    <row r="32" spans="1:7" ht="18" customHeight="1">
      <c r="A32" s="8">
        <v>400</v>
      </c>
      <c r="B32" t="s">
        <v>1624</v>
      </c>
      <c r="D32" s="669">
        <v>0</v>
      </c>
      <c r="E32" s="51"/>
      <c r="F32" s="6" t="s">
        <v>1659</v>
      </c>
      <c r="G32" s="8">
        <f t="shared" ref="G32" si="3">A32</f>
        <v>400</v>
      </c>
    </row>
    <row r="33" spans="1:7" ht="18" customHeight="1">
      <c r="A33" s="8"/>
      <c r="D33" s="15"/>
      <c r="E33" s="24"/>
      <c r="F33" s="6"/>
      <c r="G33" s="8"/>
    </row>
    <row r="34" spans="1:7" ht="18" customHeight="1">
      <c r="A34" s="8">
        <f>+A32+1</f>
        <v>401</v>
      </c>
      <c r="D34" s="15" t="s">
        <v>678</v>
      </c>
      <c r="E34" s="24">
        <f>ROUND(AVERAGE(D32:E32),0)</f>
        <v>0</v>
      </c>
      <c r="F34" s="6" t="str">
        <f>CONCATENATE("Average of Line ",A32,"")</f>
        <v>Average of Line 400</v>
      </c>
      <c r="G34" s="8">
        <f>A34</f>
        <v>401</v>
      </c>
    </row>
    <row r="35" spans="1:7" ht="18" customHeight="1">
      <c r="A35" s="8"/>
      <c r="D35" s="15"/>
      <c r="E35" s="24"/>
      <c r="F35" s="6"/>
      <c r="G35" s="8"/>
    </row>
    <row r="36" spans="1:7" ht="18" customHeight="1">
      <c r="B36" s="57" t="s">
        <v>1627</v>
      </c>
      <c r="C36" s="54"/>
      <c r="D36" s="54"/>
      <c r="E36" s="54"/>
      <c r="F36" s="218"/>
    </row>
    <row r="37" spans="1:7" ht="18" customHeight="1">
      <c r="B37" s="12"/>
      <c r="D37" s="8" t="s">
        <v>98</v>
      </c>
      <c r="E37" s="8" t="s">
        <v>99</v>
      </c>
      <c r="F37" s="30"/>
    </row>
    <row r="38" spans="1:7" ht="18" customHeight="1">
      <c r="A38" s="8"/>
      <c r="D38" s="13" t="s">
        <v>1444</v>
      </c>
      <c r="E38" s="13" t="s">
        <v>1445</v>
      </c>
      <c r="F38" s="13" t="s">
        <v>54</v>
      </c>
      <c r="G38" s="8"/>
    </row>
    <row r="39" spans="1:7" ht="18" customHeight="1">
      <c r="A39" s="8">
        <v>500</v>
      </c>
      <c r="B39" t="s">
        <v>624</v>
      </c>
      <c r="D39" s="669">
        <v>-674113891</v>
      </c>
      <c r="E39" s="51">
        <v>-847080716</v>
      </c>
      <c r="F39" s="4" t="s">
        <v>1663</v>
      </c>
      <c r="G39" s="8">
        <f t="shared" ref="G39:G41" si="4">A39</f>
        <v>500</v>
      </c>
    </row>
    <row r="40" spans="1:7" ht="18" customHeight="1">
      <c r="A40" s="8">
        <f t="shared" ref="A40:A41" si="5">+A39+1</f>
        <v>501</v>
      </c>
      <c r="B40" t="s">
        <v>1625</v>
      </c>
      <c r="D40" s="671">
        <f>'24-Allocators'!$C$56</f>
        <v>0.12179514612484499</v>
      </c>
      <c r="E40" s="671">
        <f>'24-Allocators'!$C$56</f>
        <v>0.12179514612484499</v>
      </c>
      <c r="F40" s="6" t="str">
        <f>CONCATENATE("24-Allocators, Line ",'24-Allocators'!A56)</f>
        <v>24-Allocators, Line 135</v>
      </c>
      <c r="G40" s="8">
        <f t="shared" si="4"/>
        <v>501</v>
      </c>
    </row>
    <row r="41" spans="1:7" ht="18" customHeight="1">
      <c r="A41" s="8">
        <f t="shared" si="5"/>
        <v>502</v>
      </c>
      <c r="B41" t="s">
        <v>1626</v>
      </c>
      <c r="D41" s="670">
        <f>D39*D40</f>
        <v>-82103799.859132826</v>
      </c>
      <c r="E41" s="672">
        <f>+E40*E39</f>
        <v>-103170319.58475831</v>
      </c>
      <c r="F41" s="6" t="str">
        <f>"Line "&amp;A39&amp;" * Line "&amp;A40&amp;" (see Note 5)"</f>
        <v>Line 500 * Line 501 (see Note 5)</v>
      </c>
      <c r="G41" s="8">
        <f t="shared" si="4"/>
        <v>502</v>
      </c>
    </row>
    <row r="42" spans="1:7" ht="18" customHeight="1">
      <c r="A42" s="8"/>
      <c r="D42" s="15"/>
      <c r="E42" s="24"/>
      <c r="F42" s="6"/>
      <c r="G42" s="8"/>
    </row>
    <row r="43" spans="1:7" ht="18" customHeight="1">
      <c r="A43" s="8">
        <f>+A41+1</f>
        <v>503</v>
      </c>
      <c r="D43" s="15" t="s">
        <v>678</v>
      </c>
      <c r="E43" s="24">
        <f>ROUND(AVERAGE(D41:E41),0)</f>
        <v>-92637060</v>
      </c>
      <c r="F43" s="6" t="str">
        <f>CONCATENATE("Average of Line ",A41,", ",D37," and ",E37)</f>
        <v>Average of Line 502, Col 1 and Col 2</v>
      </c>
      <c r="G43" s="8">
        <f t="shared" ref="G43" si="6">A43</f>
        <v>503</v>
      </c>
    </row>
    <row r="44" spans="1:7" ht="18" customHeight="1">
      <c r="A44" s="8"/>
      <c r="D44" s="15"/>
      <c r="E44" s="24"/>
      <c r="F44" s="6"/>
      <c r="G44" s="8"/>
    </row>
    <row r="45" spans="1:7" ht="18" customHeight="1">
      <c r="B45" s="57" t="s">
        <v>1630</v>
      </c>
      <c r="C45" s="54"/>
      <c r="D45" s="54"/>
      <c r="E45" s="54"/>
      <c r="F45" s="218"/>
    </row>
    <row r="46" spans="1:7" ht="18" customHeight="1">
      <c r="B46" s="12"/>
      <c r="D46" s="8" t="s">
        <v>98</v>
      </c>
      <c r="E46" s="8" t="s">
        <v>99</v>
      </c>
      <c r="F46" s="30"/>
    </row>
    <row r="47" spans="1:7" ht="18" customHeight="1">
      <c r="B47" s="12"/>
      <c r="D47" s="13" t="s">
        <v>1444</v>
      </c>
      <c r="E47" s="13" t="s">
        <v>1445</v>
      </c>
      <c r="F47" s="13" t="s">
        <v>54</v>
      </c>
    </row>
    <row r="48" spans="1:7" ht="18" customHeight="1">
      <c r="A48" s="8">
        <v>600</v>
      </c>
      <c r="B48" t="s">
        <v>1631</v>
      </c>
      <c r="D48" s="669">
        <v>-581361</v>
      </c>
      <c r="E48" s="51">
        <v>-1882384</v>
      </c>
      <c r="F48" s="4" t="s">
        <v>1664</v>
      </c>
      <c r="G48" s="8">
        <f t="shared" ref="G48:G50" si="7">A48</f>
        <v>600</v>
      </c>
    </row>
    <row r="49" spans="1:7" ht="18" customHeight="1">
      <c r="A49" s="8">
        <f t="shared" ref="A49:A50" si="8">+A48+1</f>
        <v>601</v>
      </c>
      <c r="B49" t="s">
        <v>680</v>
      </c>
      <c r="D49" s="671">
        <f>'24-Allocators'!$C$24</f>
        <v>9.5754660785216397E-2</v>
      </c>
      <c r="E49" s="671">
        <f>'24-Allocators'!$C$24</f>
        <v>9.5754660785216397E-2</v>
      </c>
      <c r="F49" s="6" t="str">
        <f>CONCATENATE("24-Allocators, Line ",'24-Allocators'!A24)</f>
        <v>24-Allocators, Line 113</v>
      </c>
      <c r="G49" s="8">
        <f t="shared" si="7"/>
        <v>601</v>
      </c>
    </row>
    <row r="50" spans="1:7" ht="18" customHeight="1">
      <c r="A50" s="8">
        <f t="shared" si="8"/>
        <v>602</v>
      </c>
      <c r="B50" t="s">
        <v>1626</v>
      </c>
      <c r="D50" s="670">
        <f>D48*D49</f>
        <v>-55668.025348754192</v>
      </c>
      <c r="E50" s="672">
        <f>+E49*E48</f>
        <v>-180247.04138751878</v>
      </c>
      <c r="F50" s="6" t="str">
        <f>"Line "&amp;A48&amp;" * Line "&amp;A49&amp;" (see Note 6)"</f>
        <v>Line 600 * Line 601 (see Note 6)</v>
      </c>
      <c r="G50" s="8">
        <f t="shared" si="7"/>
        <v>602</v>
      </c>
    </row>
    <row r="51" spans="1:7" ht="18" customHeight="1">
      <c r="A51" s="8"/>
      <c r="D51" s="15"/>
      <c r="E51" s="24"/>
      <c r="F51" s="6"/>
      <c r="G51" s="8"/>
    </row>
    <row r="52" spans="1:7">
      <c r="A52" s="8">
        <f>+A50+1</f>
        <v>603</v>
      </c>
      <c r="D52" s="15" t="s">
        <v>678</v>
      </c>
      <c r="E52" s="24">
        <f>ROUND(AVERAGE(D50:E50),0)</f>
        <v>-117958</v>
      </c>
      <c r="F52" s="6" t="str">
        <f>CONCATENATE("Average of Line ",A50,", ",D46," and ",E46)</f>
        <v>Average of Line 602, Col 1 and Col 2</v>
      </c>
      <c r="G52" s="8">
        <f t="shared" ref="G52" si="9">A52</f>
        <v>603</v>
      </c>
    </row>
    <row r="53" spans="1:7">
      <c r="A53" s="8"/>
      <c r="D53" s="15"/>
      <c r="E53" s="24"/>
      <c r="F53" s="6"/>
      <c r="G53" s="8"/>
    </row>
    <row r="54" spans="1:7">
      <c r="A54" s="8"/>
      <c r="D54" s="15"/>
      <c r="E54" s="24"/>
      <c r="F54" s="6"/>
      <c r="G54" s="8"/>
    </row>
    <row r="55" spans="1:7" ht="15" customHeight="1">
      <c r="B55" s="829" t="s">
        <v>1459</v>
      </c>
      <c r="C55" s="829"/>
      <c r="D55" s="829"/>
      <c r="E55" s="829"/>
      <c r="F55" s="829"/>
    </row>
    <row r="56" spans="1:7">
      <c r="B56" s="829"/>
      <c r="C56" s="829"/>
      <c r="D56" s="829"/>
      <c r="E56" s="829"/>
      <c r="F56" s="829"/>
    </row>
    <row r="57" spans="1:7">
      <c r="B57" s="306"/>
      <c r="C57" s="306"/>
      <c r="D57" s="306"/>
      <c r="E57" s="306"/>
      <c r="F57" s="306"/>
    </row>
    <row r="58" spans="1:7" ht="15" customHeight="1">
      <c r="B58" s="816" t="s">
        <v>1460</v>
      </c>
      <c r="C58" s="816"/>
      <c r="D58" s="816"/>
      <c r="E58" s="816"/>
      <c r="F58" s="816"/>
    </row>
    <row r="59" spans="1:7">
      <c r="B59" s="816"/>
      <c r="C59" s="816"/>
      <c r="D59" s="816"/>
      <c r="E59" s="816"/>
      <c r="F59" s="816"/>
    </row>
    <row r="60" spans="1:7">
      <c r="B60" s="816"/>
      <c r="C60" s="816"/>
      <c r="D60" s="816"/>
      <c r="E60" s="816"/>
      <c r="F60" s="816"/>
    </row>
    <row r="61" spans="1:7">
      <c r="B61" s="306"/>
      <c r="C61" s="306"/>
      <c r="D61" s="306"/>
      <c r="E61" s="306"/>
      <c r="F61" s="306"/>
    </row>
    <row r="62" spans="1:7" ht="15" customHeight="1">
      <c r="B62" s="830" t="s">
        <v>1461</v>
      </c>
      <c r="C62" s="830"/>
      <c r="D62" s="830"/>
      <c r="E62" s="830"/>
      <c r="F62" s="830"/>
    </row>
    <row r="63" spans="1:7">
      <c r="B63" s="830"/>
      <c r="C63" s="830"/>
      <c r="D63" s="830"/>
      <c r="E63" s="830"/>
      <c r="F63" s="830"/>
    </row>
    <row r="64" spans="1:7">
      <c r="B64" s="830"/>
      <c r="C64" s="830"/>
      <c r="D64" s="830"/>
      <c r="E64" s="830"/>
      <c r="F64" s="830"/>
    </row>
    <row r="65" spans="2:6">
      <c r="B65" s="830"/>
      <c r="C65" s="830"/>
      <c r="D65" s="830"/>
      <c r="E65" s="830"/>
      <c r="F65" s="830"/>
    </row>
    <row r="66" spans="2:6">
      <c r="B66" s="17"/>
      <c r="C66" s="17"/>
      <c r="D66" s="17"/>
      <c r="E66" s="17"/>
      <c r="F66" s="17"/>
    </row>
    <row r="67" spans="2:6" ht="15" customHeight="1">
      <c r="B67" s="816" t="s">
        <v>1661</v>
      </c>
      <c r="C67" s="816"/>
      <c r="D67" s="816"/>
      <c r="E67" s="816"/>
      <c r="F67" s="816"/>
    </row>
    <row r="68" spans="2:6">
      <c r="B68" s="816"/>
      <c r="C68" s="816"/>
      <c r="D68" s="816"/>
      <c r="E68" s="816"/>
      <c r="F68" s="816"/>
    </row>
    <row r="69" spans="2:6">
      <c r="B69" s="816"/>
      <c r="C69" s="816"/>
      <c r="D69" s="816"/>
      <c r="E69" s="816"/>
      <c r="F69" s="816"/>
    </row>
    <row r="70" spans="2:6">
      <c r="B70" s="816"/>
      <c r="C70" s="816"/>
      <c r="D70" s="816"/>
      <c r="E70" s="816"/>
      <c r="F70" s="816"/>
    </row>
    <row r="71" spans="2:6">
      <c r="B71" s="17"/>
      <c r="C71" s="17"/>
      <c r="D71" s="17"/>
      <c r="E71" s="17"/>
      <c r="F71" s="17"/>
    </row>
    <row r="72" spans="2:6" ht="15" customHeight="1">
      <c r="B72" s="816" t="s">
        <v>1660</v>
      </c>
      <c r="C72" s="816"/>
      <c r="D72" s="816"/>
      <c r="E72" s="816"/>
      <c r="F72" s="816"/>
    </row>
    <row r="73" spans="2:6">
      <c r="B73" s="816"/>
      <c r="C73" s="816"/>
      <c r="D73" s="816"/>
      <c r="E73" s="816"/>
      <c r="F73" s="816"/>
    </row>
    <row r="74" spans="2:6">
      <c r="B74" s="816"/>
      <c r="C74" s="816"/>
      <c r="D74" s="816"/>
      <c r="E74" s="816"/>
      <c r="F74" s="816"/>
    </row>
  </sheetData>
  <mergeCells count="5">
    <mergeCell ref="B55:F56"/>
    <mergeCell ref="B67:F70"/>
    <mergeCell ref="B72:F74"/>
    <mergeCell ref="B58:F60"/>
    <mergeCell ref="B62:F65"/>
  </mergeCells>
  <printOptions horizontalCentered="1"/>
  <pageMargins left="1" right="1" top="1" bottom="1" header="0.5" footer="0.5"/>
  <pageSetup scale="69"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T72"/>
  <sheetViews>
    <sheetView tabSelected="1" view="pageBreakPreview" topLeftCell="A39" zoomScale="70" zoomScaleNormal="85" zoomScaleSheetLayoutView="70" zoomScalePageLayoutView="70" workbookViewId="0">
      <selection activeCell="C59" activeCellId="1" sqref="L63 C59"/>
    </sheetView>
  </sheetViews>
  <sheetFormatPr defaultColWidth="9.1796875" defaultRowHeight="14.5"/>
  <cols>
    <col min="1" max="1" width="5.54296875" customWidth="1"/>
    <col min="2" max="2" width="54.26953125" customWidth="1"/>
    <col min="3" max="3" width="24.453125" customWidth="1"/>
    <col min="4" max="4" width="19" customWidth="1"/>
    <col min="5" max="5" width="18.81640625" bestFit="1" customWidth="1"/>
    <col min="6" max="6" width="24.54296875" customWidth="1"/>
    <col min="7" max="7" width="24.81640625" customWidth="1"/>
    <col min="8" max="8" width="15.1796875" bestFit="1" customWidth="1"/>
    <col min="9" max="9" width="16.54296875" customWidth="1"/>
    <col min="10" max="10" width="23" bestFit="1" customWidth="1"/>
    <col min="11" max="11" width="6.7265625" bestFit="1" customWidth="1"/>
    <col min="12" max="20" width="9.1796875" customWidth="1"/>
  </cols>
  <sheetData>
    <row r="1" spans="1:20">
      <c r="B1" s="329" t="s">
        <v>717</v>
      </c>
      <c r="C1" s="317"/>
      <c r="D1" s="317"/>
      <c r="E1" s="15"/>
      <c r="G1" s="15"/>
      <c r="J1" s="15" t="str">
        <f>CONCATENATE("Prior Year: ",'1-BaseTRR'!$F$2)</f>
        <v>Prior Year: 2022</v>
      </c>
    </row>
    <row r="2" spans="1:20">
      <c r="B2" s="117" t="s">
        <v>193</v>
      </c>
      <c r="C2" s="317"/>
      <c r="D2" s="317"/>
      <c r="E2" s="15"/>
      <c r="F2" s="15"/>
      <c r="G2" s="15"/>
    </row>
    <row r="3" spans="1:20">
      <c r="B3" s="317"/>
      <c r="C3" s="317"/>
      <c r="D3" s="317"/>
      <c r="E3" s="317"/>
      <c r="F3" s="317"/>
      <c r="G3" s="317"/>
    </row>
    <row r="4" spans="1:20" ht="15.75" customHeight="1">
      <c r="A4" s="318"/>
      <c r="B4" s="317" t="s">
        <v>716</v>
      </c>
      <c r="C4" s="317"/>
      <c r="D4" s="317"/>
      <c r="E4" s="317"/>
      <c r="F4" s="317"/>
      <c r="G4" s="317"/>
      <c r="N4" s="831"/>
      <c r="O4" s="832"/>
      <c r="P4" s="832"/>
      <c r="Q4" s="832"/>
      <c r="R4" s="832"/>
      <c r="S4" s="832"/>
      <c r="T4" s="832"/>
    </row>
    <row r="5" spans="1:20">
      <c r="A5" s="318"/>
      <c r="B5" s="317" t="s">
        <v>715</v>
      </c>
      <c r="C5" s="317"/>
      <c r="D5" s="317"/>
      <c r="E5" s="317"/>
      <c r="F5" s="317"/>
      <c r="G5" s="317"/>
    </row>
    <row r="6" spans="1:20">
      <c r="A6" s="318"/>
      <c r="B6" s="317" t="s">
        <v>714</v>
      </c>
      <c r="C6" s="317"/>
      <c r="D6" s="317"/>
      <c r="E6" s="317"/>
      <c r="F6" s="317"/>
      <c r="G6" s="317"/>
    </row>
    <row r="7" spans="1:20">
      <c r="A7" s="318"/>
      <c r="B7" s="317"/>
      <c r="C7" s="317"/>
      <c r="D7" s="317"/>
      <c r="E7" s="317"/>
      <c r="F7" s="317"/>
      <c r="G7" s="317"/>
    </row>
    <row r="8" spans="1:20">
      <c r="A8" s="318"/>
      <c r="B8" s="317" t="s">
        <v>713</v>
      </c>
      <c r="C8" s="317"/>
      <c r="D8" s="317"/>
      <c r="E8" s="317"/>
      <c r="F8" s="317"/>
      <c r="G8" s="317"/>
    </row>
    <row r="9" spans="1:20">
      <c r="A9" s="318"/>
      <c r="B9" s="317" t="s">
        <v>712</v>
      </c>
      <c r="C9" s="317"/>
      <c r="D9" s="317"/>
      <c r="E9" s="317"/>
      <c r="F9" s="317"/>
      <c r="G9" s="317"/>
    </row>
    <row r="10" spans="1:20">
      <c r="A10" s="318"/>
      <c r="B10" s="317"/>
      <c r="C10" s="317"/>
      <c r="D10" s="317"/>
      <c r="E10" s="317"/>
      <c r="F10" s="317"/>
      <c r="G10" s="317"/>
    </row>
    <row r="11" spans="1:20">
      <c r="A11" s="318"/>
      <c r="B11" s="317" t="s">
        <v>711</v>
      </c>
      <c r="C11" s="317"/>
      <c r="D11" s="317"/>
      <c r="E11" s="317"/>
      <c r="F11" s="317"/>
      <c r="G11" s="317"/>
    </row>
    <row r="12" spans="1:20">
      <c r="A12" s="318"/>
      <c r="B12" s="317" t="s">
        <v>710</v>
      </c>
      <c r="C12" s="317"/>
      <c r="D12" s="317"/>
      <c r="E12" s="317"/>
      <c r="F12" s="317"/>
      <c r="G12" s="317"/>
    </row>
    <row r="13" spans="1:20">
      <c r="A13" s="318"/>
      <c r="B13" s="317" t="s">
        <v>709</v>
      </c>
      <c r="C13" s="317"/>
      <c r="D13" s="317"/>
      <c r="E13" s="317"/>
      <c r="F13" s="317"/>
      <c r="G13" s="317"/>
    </row>
    <row r="14" spans="1:20">
      <c r="A14" s="318"/>
      <c r="B14" s="317"/>
      <c r="C14" s="317"/>
      <c r="D14" s="317"/>
      <c r="E14" s="317"/>
      <c r="F14" s="317"/>
      <c r="G14" s="317"/>
    </row>
    <row r="15" spans="1:20">
      <c r="A15" s="318"/>
      <c r="B15" s="57" t="s">
        <v>1598</v>
      </c>
      <c r="C15" s="54"/>
      <c r="D15" s="54"/>
      <c r="E15" s="54"/>
      <c r="F15" s="54"/>
      <c r="G15" s="54"/>
    </row>
    <row r="16" spans="1:20">
      <c r="A16" s="318"/>
      <c r="B16" s="329" t="s">
        <v>133</v>
      </c>
      <c r="C16" s="317"/>
      <c r="D16" s="317"/>
      <c r="E16" s="317"/>
      <c r="F16" s="317"/>
      <c r="G16" s="317"/>
    </row>
    <row r="17" spans="1:11">
      <c r="A17" s="318"/>
      <c r="B17" s="317" t="s">
        <v>708</v>
      </c>
      <c r="C17" s="317"/>
      <c r="D17" s="317"/>
      <c r="E17" s="317"/>
      <c r="F17" s="317"/>
      <c r="G17" s="317"/>
    </row>
    <row r="18" spans="1:11">
      <c r="A18" s="318"/>
      <c r="B18" s="317" t="s">
        <v>707</v>
      </c>
    </row>
    <row r="19" spans="1:11">
      <c r="A19" s="318"/>
      <c r="B19" s="332" t="s">
        <v>706</v>
      </c>
    </row>
    <row r="20" spans="1:11">
      <c r="A20" s="318"/>
      <c r="B20" s="332" t="s">
        <v>705</v>
      </c>
      <c r="E20" s="17"/>
    </row>
    <row r="21" spans="1:11">
      <c r="A21" s="318"/>
      <c r="B21" s="317" t="s">
        <v>704</v>
      </c>
    </row>
    <row r="22" spans="1:11">
      <c r="A22" s="318"/>
      <c r="B22" s="317"/>
    </row>
    <row r="23" spans="1:11">
      <c r="A23" s="318"/>
      <c r="B23" s="317"/>
      <c r="C23" s="317"/>
      <c r="D23" s="317"/>
      <c r="E23" s="318" t="s">
        <v>132</v>
      </c>
      <c r="F23" s="317"/>
      <c r="G23" s="317"/>
    </row>
    <row r="24" spans="1:11">
      <c r="A24" s="323" t="s">
        <v>122</v>
      </c>
      <c r="B24" s="317"/>
      <c r="C24" s="317"/>
      <c r="D24" s="317"/>
      <c r="E24" s="323" t="s">
        <v>293</v>
      </c>
      <c r="F24" s="331" t="s">
        <v>703</v>
      </c>
      <c r="G24" s="331"/>
      <c r="K24" s="323" t="str">
        <f>A24</f>
        <v>Line</v>
      </c>
    </row>
    <row r="25" spans="1:11">
      <c r="A25" s="318">
        <v>100</v>
      </c>
      <c r="B25" s="317" t="s">
        <v>702</v>
      </c>
      <c r="C25" s="317"/>
      <c r="D25" s="317"/>
      <c r="E25" s="627">
        <f>+D34</f>
        <v>0</v>
      </c>
      <c r="F25" s="317" t="s">
        <v>1572</v>
      </c>
      <c r="G25" s="317"/>
      <c r="K25" s="318">
        <f>A25</f>
        <v>100</v>
      </c>
    </row>
    <row r="26" spans="1:11">
      <c r="A26" s="318">
        <f>A25+1</f>
        <v>101</v>
      </c>
      <c r="B26" s="317" t="s">
        <v>701</v>
      </c>
      <c r="C26" s="317"/>
      <c r="D26" s="317"/>
      <c r="E26" s="627">
        <f>AVERAGE(C34:D34)</f>
        <v>0</v>
      </c>
      <c r="F26" s="317" t="s">
        <v>1074</v>
      </c>
      <c r="G26" s="317"/>
      <c r="K26" s="318">
        <f>A26</f>
        <v>101</v>
      </c>
    </row>
    <row r="27" spans="1:11">
      <c r="A27" s="318">
        <f>A26+1</f>
        <v>102</v>
      </c>
      <c r="B27" s="317" t="s">
        <v>700</v>
      </c>
      <c r="C27" s="317"/>
      <c r="D27" s="317"/>
      <c r="E27" s="627">
        <f>+E34</f>
        <v>0</v>
      </c>
      <c r="F27" s="317" t="s">
        <v>1075</v>
      </c>
      <c r="G27" s="317"/>
      <c r="K27" s="318">
        <f>A27</f>
        <v>102</v>
      </c>
    </row>
    <row r="28" spans="1:11">
      <c r="A28" s="318"/>
      <c r="B28" s="317"/>
      <c r="C28" s="317"/>
      <c r="D28" s="317"/>
      <c r="E28" s="324"/>
      <c r="F28" s="317"/>
      <c r="G28" s="317"/>
      <c r="K28" s="318"/>
    </row>
    <row r="29" spans="1:11">
      <c r="A29" s="318"/>
      <c r="B29" s="317"/>
      <c r="C29" s="330" t="s">
        <v>577</v>
      </c>
      <c r="D29" s="330" t="s">
        <v>578</v>
      </c>
      <c r="E29" s="330" t="s">
        <v>579</v>
      </c>
      <c r="F29" s="317"/>
      <c r="G29" s="317"/>
      <c r="K29" s="318"/>
    </row>
    <row r="30" spans="1:11">
      <c r="A30" s="318"/>
      <c r="B30" s="317"/>
      <c r="C30" s="318" t="s">
        <v>132</v>
      </c>
      <c r="D30" s="318" t="s">
        <v>132</v>
      </c>
      <c r="E30" s="318" t="s">
        <v>132</v>
      </c>
      <c r="F30" s="317"/>
      <c r="G30" s="317"/>
      <c r="K30" s="318"/>
    </row>
    <row r="31" spans="1:11">
      <c r="A31" s="318"/>
      <c r="B31" s="318" t="s">
        <v>699</v>
      </c>
      <c r="C31" s="318" t="s">
        <v>698</v>
      </c>
      <c r="D31" s="318" t="s">
        <v>697</v>
      </c>
      <c r="E31" s="12" t="s">
        <v>696</v>
      </c>
      <c r="F31" s="329" t="s">
        <v>695</v>
      </c>
      <c r="G31" s="329"/>
      <c r="K31" s="318"/>
    </row>
    <row r="32" spans="1:11">
      <c r="A32" s="323"/>
      <c r="B32" s="318" t="s">
        <v>694</v>
      </c>
      <c r="C32" s="318" t="s">
        <v>693</v>
      </c>
      <c r="D32" s="318" t="s">
        <v>693</v>
      </c>
      <c r="E32" s="318" t="s">
        <v>692</v>
      </c>
      <c r="F32" s="329" t="s">
        <v>691</v>
      </c>
      <c r="G32" s="329"/>
      <c r="K32" s="318"/>
    </row>
    <row r="33" spans="1:11">
      <c r="A33" s="323" t="s">
        <v>122</v>
      </c>
      <c r="B33" s="323" t="s">
        <v>690</v>
      </c>
      <c r="C33" s="323" t="s">
        <v>690</v>
      </c>
      <c r="D33" s="323" t="s">
        <v>690</v>
      </c>
      <c r="E33" s="323" t="s">
        <v>689</v>
      </c>
      <c r="F33" s="328" t="s">
        <v>688</v>
      </c>
      <c r="G33" s="323" t="s">
        <v>54</v>
      </c>
      <c r="K33" s="323" t="str">
        <f>A33</f>
        <v>Line</v>
      </c>
    </row>
    <row r="34" spans="1:11" ht="15" thickBot="1">
      <c r="A34" s="327">
        <f>A27+1</f>
        <v>103</v>
      </c>
      <c r="B34" s="325" t="s">
        <v>687</v>
      </c>
      <c r="C34" s="626">
        <f>SUM(C36:C38)</f>
        <v>0</v>
      </c>
      <c r="D34" s="626">
        <f>SUM(D36:D38)</f>
        <v>0</v>
      </c>
      <c r="E34" s="326">
        <f>SUM(E36:E38)</f>
        <v>0</v>
      </c>
      <c r="F34" s="325"/>
      <c r="G34" s="325"/>
      <c r="K34" s="318">
        <f>A34</f>
        <v>103</v>
      </c>
    </row>
    <row r="35" spans="1:11" ht="15" thickTop="1">
      <c r="A35" s="318"/>
      <c r="B35" s="317"/>
      <c r="C35" s="324"/>
      <c r="D35" s="324"/>
      <c r="E35" s="324"/>
      <c r="F35" s="317"/>
      <c r="G35" s="317"/>
      <c r="K35" s="323"/>
    </row>
    <row r="36" spans="1:11">
      <c r="A36" s="318">
        <f>A34+1</f>
        <v>104</v>
      </c>
      <c r="B36" s="319" t="s">
        <v>1563</v>
      </c>
      <c r="C36" s="624"/>
      <c r="D36" s="624"/>
      <c r="E36" s="321"/>
      <c r="F36" s="319"/>
      <c r="G36" s="319"/>
      <c r="K36" s="318">
        <f>A36</f>
        <v>104</v>
      </c>
    </row>
    <row r="37" spans="1:11">
      <c r="A37" s="318">
        <f>A36+1</f>
        <v>105</v>
      </c>
      <c r="B37" s="319" t="s">
        <v>686</v>
      </c>
      <c r="C37" s="624"/>
      <c r="D37" s="624"/>
      <c r="E37" s="321"/>
      <c r="F37" s="319"/>
      <c r="G37" s="319"/>
      <c r="K37" s="318">
        <f>A37</f>
        <v>105</v>
      </c>
    </row>
    <row r="38" spans="1:11">
      <c r="A38" s="318">
        <f t="shared" ref="A38:A39" si="0">A37+1</f>
        <v>106</v>
      </c>
      <c r="B38" s="319" t="s">
        <v>685</v>
      </c>
      <c r="C38" s="625"/>
      <c r="D38" s="624"/>
      <c r="E38" s="320"/>
      <c r="F38" s="319"/>
      <c r="G38" s="319"/>
      <c r="K38" s="318">
        <f>A38</f>
        <v>106</v>
      </c>
    </row>
    <row r="39" spans="1:11">
      <c r="A39" s="318">
        <f t="shared" si="0"/>
        <v>107</v>
      </c>
      <c r="B39" s="322" t="s">
        <v>315</v>
      </c>
      <c r="C39" s="625"/>
      <c r="D39" s="624"/>
      <c r="E39" s="320"/>
      <c r="F39" s="319"/>
      <c r="G39" s="319"/>
      <c r="K39" s="318">
        <f>A39</f>
        <v>107</v>
      </c>
    </row>
    <row r="40" spans="1:11">
      <c r="A40" s="318"/>
      <c r="B40" s="317"/>
      <c r="C40" s="317"/>
      <c r="D40" s="317"/>
      <c r="E40" s="317"/>
      <c r="F40" s="317"/>
      <c r="G40" s="317"/>
      <c r="H40" s="318"/>
    </row>
    <row r="41" spans="1:11">
      <c r="A41" s="318"/>
    </row>
    <row r="42" spans="1:11">
      <c r="A42" s="318"/>
      <c r="B42" s="317"/>
    </row>
    <row r="43" spans="1:11">
      <c r="A43" s="131"/>
      <c r="B43" s="118" t="s">
        <v>1568</v>
      </c>
      <c r="C43" s="180"/>
      <c r="D43" s="301"/>
      <c r="E43" s="301"/>
      <c r="F43" s="296"/>
      <c r="G43" s="296"/>
      <c r="H43" s="296"/>
      <c r="I43" s="302"/>
      <c r="J43" s="144"/>
    </row>
    <row r="44" spans="1:11">
      <c r="A44" s="131"/>
      <c r="B44" s="142"/>
      <c r="C44" s="176"/>
      <c r="D44" s="360"/>
      <c r="E44" s="360"/>
      <c r="F44" s="285"/>
      <c r="G44" s="285"/>
      <c r="H44" s="285"/>
      <c r="I44" s="18"/>
      <c r="J44" s="17"/>
    </row>
    <row r="45" spans="1:11">
      <c r="A45" s="119" t="s">
        <v>122</v>
      </c>
      <c r="B45" s="13" t="s">
        <v>127</v>
      </c>
      <c r="C45" s="13" t="s">
        <v>871</v>
      </c>
      <c r="D45" s="182" t="s">
        <v>54</v>
      </c>
      <c r="E45" s="360"/>
      <c r="F45" s="285"/>
      <c r="G45" s="285"/>
      <c r="H45" s="285"/>
      <c r="I45" s="18"/>
      <c r="J45" s="17"/>
      <c r="K45" s="119" t="s">
        <v>122</v>
      </c>
    </row>
    <row r="46" spans="1:11" ht="72.5">
      <c r="A46" s="131">
        <v>200</v>
      </c>
      <c r="B46" s="628" t="s">
        <v>1564</v>
      </c>
      <c r="C46" s="436">
        <f>IF(B56=2017,0,('17-RegAssets-2'!AP23+'17-RegAssets-3'!AR23))</f>
        <v>-535162605.7936902</v>
      </c>
      <c r="D46" s="701" t="s">
        <v>1993</v>
      </c>
      <c r="E46" s="360"/>
      <c r="F46" s="285"/>
      <c r="G46" s="285"/>
      <c r="H46" s="285"/>
      <c r="I46" s="18"/>
      <c r="J46" s="17"/>
      <c r="K46" s="131">
        <f>A46</f>
        <v>200</v>
      </c>
    </row>
    <row r="47" spans="1:11" ht="58">
      <c r="A47" s="131">
        <f>A46+1</f>
        <v>201</v>
      </c>
      <c r="B47" s="628" t="s">
        <v>1565</v>
      </c>
      <c r="C47" s="436">
        <f>+'17-RegAssets-2'!BD23+'17-RegAssets-3'!BF23</f>
        <v>-513953807.01430571</v>
      </c>
      <c r="D47" s="701" t="s">
        <v>1994</v>
      </c>
      <c r="E47" s="360"/>
      <c r="F47" s="285"/>
      <c r="G47" s="285"/>
      <c r="H47" s="285"/>
      <c r="I47" s="18"/>
      <c r="J47" s="17"/>
      <c r="K47" s="131">
        <f t="shared" ref="K47:K48" si="1">A47</f>
        <v>201</v>
      </c>
    </row>
    <row r="48" spans="1:11">
      <c r="A48" s="131">
        <f>A47+1</f>
        <v>202</v>
      </c>
      <c r="B48" s="387" t="s">
        <v>1562</v>
      </c>
      <c r="C48" s="436">
        <f>J69</f>
        <v>-525337799.23584288</v>
      </c>
      <c r="D48" s="181" t="s">
        <v>1573</v>
      </c>
      <c r="E48" s="360"/>
      <c r="F48" s="285"/>
      <c r="G48" s="285"/>
      <c r="H48" s="285"/>
      <c r="I48" s="18"/>
      <c r="J48" s="17"/>
      <c r="K48" s="131">
        <f t="shared" si="1"/>
        <v>202</v>
      </c>
    </row>
    <row r="49" spans="1:11">
      <c r="A49" s="131"/>
      <c r="B49" s="142"/>
      <c r="C49" s="176"/>
      <c r="D49" s="360"/>
      <c r="E49" s="360"/>
      <c r="F49" s="285"/>
      <c r="G49" s="285"/>
      <c r="H49" s="285"/>
      <c r="I49" s="18"/>
      <c r="J49" s="17"/>
      <c r="K49" s="131"/>
    </row>
    <row r="50" spans="1:11">
      <c r="A50" s="131"/>
      <c r="B50" s="17"/>
      <c r="C50" s="122" t="s">
        <v>98</v>
      </c>
      <c r="D50" s="122" t="s">
        <v>99</v>
      </c>
      <c r="E50" s="122" t="s">
        <v>100</v>
      </c>
      <c r="F50" s="122" t="s">
        <v>101</v>
      </c>
      <c r="G50" s="122" t="s">
        <v>102</v>
      </c>
      <c r="H50" s="122" t="s">
        <v>103</v>
      </c>
      <c r="I50" s="122" t="s">
        <v>104</v>
      </c>
      <c r="J50" s="122" t="s">
        <v>105</v>
      </c>
      <c r="K50" s="131"/>
    </row>
    <row r="51" spans="1:11">
      <c r="A51" s="131"/>
      <c r="B51" s="17"/>
      <c r="C51" s="176"/>
      <c r="D51" s="303" t="s">
        <v>647</v>
      </c>
      <c r="E51" s="303" t="s">
        <v>648</v>
      </c>
      <c r="F51" s="286"/>
      <c r="G51" s="286"/>
      <c r="H51" s="303" t="s">
        <v>649</v>
      </c>
      <c r="I51" s="123" t="s">
        <v>650</v>
      </c>
      <c r="J51" s="303" t="s">
        <v>1465</v>
      </c>
      <c r="K51" s="131"/>
    </row>
    <row r="52" spans="1:11">
      <c r="A52" s="131"/>
      <c r="B52" s="17"/>
      <c r="C52" s="176"/>
      <c r="D52" s="291"/>
      <c r="E52" s="291"/>
      <c r="F52" s="286"/>
      <c r="G52" s="286"/>
      <c r="H52" s="286"/>
      <c r="I52" s="18"/>
      <c r="J52" s="17"/>
      <c r="K52" s="131"/>
    </row>
    <row r="53" spans="1:11">
      <c r="A53" s="131"/>
      <c r="B53" s="17"/>
      <c r="C53" s="182"/>
      <c r="D53" s="303" t="s">
        <v>651</v>
      </c>
      <c r="E53" s="303" t="s">
        <v>652</v>
      </c>
      <c r="F53" s="303"/>
      <c r="G53" s="303" t="s">
        <v>653</v>
      </c>
      <c r="H53" s="303" t="s">
        <v>654</v>
      </c>
      <c r="I53" s="131" t="s">
        <v>655</v>
      </c>
      <c r="J53" s="131" t="s">
        <v>656</v>
      </c>
      <c r="K53" s="131"/>
    </row>
    <row r="54" spans="1:11">
      <c r="A54" s="119" t="s">
        <v>122</v>
      </c>
      <c r="B54" s="119" t="s">
        <v>109</v>
      </c>
      <c r="C54" s="182" t="s">
        <v>657</v>
      </c>
      <c r="D54" s="305" t="s">
        <v>658</v>
      </c>
      <c r="E54" s="305" t="s">
        <v>659</v>
      </c>
      <c r="F54" s="305" t="s">
        <v>660</v>
      </c>
      <c r="G54" s="305" t="s">
        <v>661</v>
      </c>
      <c r="H54" s="305" t="s">
        <v>662</v>
      </c>
      <c r="I54" s="119" t="s">
        <v>663</v>
      </c>
      <c r="J54" s="119" t="s">
        <v>664</v>
      </c>
      <c r="K54" s="119" t="str">
        <f t="shared" ref="K54:K69" si="2">A54</f>
        <v>Line</v>
      </c>
    </row>
    <row r="55" spans="1:11" ht="29">
      <c r="A55" s="131">
        <f>A48+1</f>
        <v>203</v>
      </c>
      <c r="B55" s="17"/>
      <c r="C55" s="306" t="s">
        <v>1574</v>
      </c>
      <c r="D55" s="435"/>
      <c r="E55" s="209">
        <f>+C46</f>
        <v>-535162605.7936902</v>
      </c>
      <c r="F55" s="286"/>
      <c r="G55" s="44">
        <f>+G56+F56-G67</f>
        <v>365</v>
      </c>
      <c r="H55" s="309">
        <f>1</f>
        <v>1</v>
      </c>
      <c r="I55" s="310"/>
      <c r="J55" s="437">
        <f>+E55</f>
        <v>-535162605.7936902</v>
      </c>
      <c r="K55" s="131">
        <f t="shared" si="2"/>
        <v>203</v>
      </c>
    </row>
    <row r="56" spans="1:11">
      <c r="A56" s="131">
        <f t="shared" ref="A56:A69" si="3">A55+1</f>
        <v>204</v>
      </c>
      <c r="B56" s="27">
        <f>'1-BaseTRR'!$F$2</f>
        <v>2022</v>
      </c>
      <c r="C56" s="306" t="s">
        <v>112</v>
      </c>
      <c r="D56" s="209">
        <f>(-$C$46+$C$47)/12</f>
        <v>1767399.8982820411</v>
      </c>
      <c r="E56" s="209">
        <f t="shared" ref="E56:E67" si="4">E55+D56</f>
        <v>-533395205.89540815</v>
      </c>
      <c r="F56" s="44">
        <v>31</v>
      </c>
      <c r="G56" s="44">
        <f t="shared" ref="G56:G65" si="5">+G57+F57</f>
        <v>335</v>
      </c>
      <c r="H56" s="309">
        <f>G56/G55</f>
        <v>0.9178082191780822</v>
      </c>
      <c r="I56" s="436">
        <f t="shared" ref="I56:I67" si="6">D56*H56</f>
        <v>1622134.1532177636</v>
      </c>
      <c r="J56" s="241">
        <f t="shared" ref="J56:J67" si="7">J55+I56</f>
        <v>-533540471.64047241</v>
      </c>
      <c r="K56" s="131">
        <f t="shared" si="2"/>
        <v>204</v>
      </c>
    </row>
    <row r="57" spans="1:11">
      <c r="A57" s="131">
        <f t="shared" si="3"/>
        <v>205</v>
      </c>
      <c r="B57" s="27">
        <f>'1-BaseTRR'!$F$2</f>
        <v>2022</v>
      </c>
      <c r="C57" s="306" t="s">
        <v>113</v>
      </c>
      <c r="D57" s="209">
        <f t="shared" ref="D57:D67" si="8">(-$C$46+$C$47)/12</f>
        <v>1767399.8982820411</v>
      </c>
      <c r="E57" s="209">
        <f t="shared" si="4"/>
        <v>-531627805.9971261</v>
      </c>
      <c r="F57" s="312">
        <v>28</v>
      </c>
      <c r="G57" s="44">
        <f t="shared" si="5"/>
        <v>307</v>
      </c>
      <c r="H57" s="309">
        <f>G57/G55</f>
        <v>0.84109589041095889</v>
      </c>
      <c r="I57" s="436">
        <f t="shared" si="6"/>
        <v>1486552.7911577716</v>
      </c>
      <c r="J57" s="241">
        <f t="shared" si="7"/>
        <v>-532053918.84931463</v>
      </c>
      <c r="K57" s="131">
        <f t="shared" si="2"/>
        <v>205</v>
      </c>
    </row>
    <row r="58" spans="1:11">
      <c r="A58" s="131">
        <f t="shared" si="3"/>
        <v>206</v>
      </c>
      <c r="B58" s="27">
        <f>'1-BaseTRR'!$F$2</f>
        <v>2022</v>
      </c>
      <c r="C58" s="306" t="s">
        <v>114</v>
      </c>
      <c r="D58" s="209">
        <f t="shared" si="8"/>
        <v>1767399.8982820411</v>
      </c>
      <c r="E58" s="209">
        <f t="shared" si="4"/>
        <v>-529860406.09884405</v>
      </c>
      <c r="F58" s="44">
        <v>31</v>
      </c>
      <c r="G58" s="44">
        <f t="shared" si="5"/>
        <v>276</v>
      </c>
      <c r="H58" s="309">
        <f>G58/G55</f>
        <v>0.75616438356164384</v>
      </c>
      <c r="I58" s="436">
        <f t="shared" si="6"/>
        <v>1336444.8545913517</v>
      </c>
      <c r="J58" s="241">
        <f t="shared" si="7"/>
        <v>-530717473.99472326</v>
      </c>
      <c r="K58" s="131">
        <f t="shared" si="2"/>
        <v>206</v>
      </c>
    </row>
    <row r="59" spans="1:11">
      <c r="A59" s="131">
        <f t="shared" si="3"/>
        <v>207</v>
      </c>
      <c r="B59" s="27">
        <f>'1-BaseTRR'!$F$2</f>
        <v>2022</v>
      </c>
      <c r="C59" s="306" t="s">
        <v>115</v>
      </c>
      <c r="D59" s="209">
        <f t="shared" si="8"/>
        <v>1767399.8982820411</v>
      </c>
      <c r="E59" s="209">
        <f t="shared" si="4"/>
        <v>-528093006.200562</v>
      </c>
      <c r="F59" s="44">
        <v>30</v>
      </c>
      <c r="G59" s="44">
        <f t="shared" si="5"/>
        <v>246</v>
      </c>
      <c r="H59" s="309">
        <f>G59/G55</f>
        <v>0.67397260273972603</v>
      </c>
      <c r="I59" s="436">
        <f t="shared" si="6"/>
        <v>1191179.1095270743</v>
      </c>
      <c r="J59" s="241">
        <f t="shared" si="7"/>
        <v>-529526294.88519621</v>
      </c>
      <c r="K59" s="131">
        <f t="shared" si="2"/>
        <v>207</v>
      </c>
    </row>
    <row r="60" spans="1:11">
      <c r="A60" s="131">
        <f t="shared" si="3"/>
        <v>208</v>
      </c>
      <c r="B60" s="27">
        <f>'1-BaseTRR'!$F$2</f>
        <v>2022</v>
      </c>
      <c r="C60" s="306" t="s">
        <v>89</v>
      </c>
      <c r="D60" s="209">
        <f t="shared" si="8"/>
        <v>1767399.8982820411</v>
      </c>
      <c r="E60" s="209">
        <f t="shared" si="4"/>
        <v>-526325606.30227995</v>
      </c>
      <c r="F60" s="44">
        <v>31</v>
      </c>
      <c r="G60" s="44">
        <f t="shared" si="5"/>
        <v>215</v>
      </c>
      <c r="H60" s="309">
        <f>G60/G55</f>
        <v>0.58904109589041098</v>
      </c>
      <c r="I60" s="436">
        <f t="shared" si="6"/>
        <v>1041071.1729606544</v>
      </c>
      <c r="J60" s="241">
        <f t="shared" si="7"/>
        <v>-528485223.71223557</v>
      </c>
      <c r="K60" s="131">
        <f t="shared" si="2"/>
        <v>208</v>
      </c>
    </row>
    <row r="61" spans="1:11">
      <c r="A61" s="131">
        <f t="shared" si="3"/>
        <v>209</v>
      </c>
      <c r="B61" s="27">
        <f>'1-BaseTRR'!$F$2</f>
        <v>2022</v>
      </c>
      <c r="C61" s="306" t="s">
        <v>272</v>
      </c>
      <c r="D61" s="209">
        <f t="shared" si="8"/>
        <v>1767399.8982820411</v>
      </c>
      <c r="E61" s="209">
        <f t="shared" si="4"/>
        <v>-524558206.4039979</v>
      </c>
      <c r="F61" s="44">
        <v>30</v>
      </c>
      <c r="G61" s="44">
        <f t="shared" si="5"/>
        <v>185</v>
      </c>
      <c r="H61" s="309">
        <f>G61/G55</f>
        <v>0.50684931506849318</v>
      </c>
      <c r="I61" s="436">
        <f t="shared" si="6"/>
        <v>895805.42789637705</v>
      </c>
      <c r="J61" s="241">
        <f t="shared" si="7"/>
        <v>-527589418.28433919</v>
      </c>
      <c r="K61" s="131">
        <f t="shared" si="2"/>
        <v>209</v>
      </c>
    </row>
    <row r="62" spans="1:11">
      <c r="A62" s="131">
        <f t="shared" si="3"/>
        <v>210</v>
      </c>
      <c r="B62" s="27">
        <f>'1-BaseTRR'!$F$2</f>
        <v>2022</v>
      </c>
      <c r="C62" s="306" t="s">
        <v>117</v>
      </c>
      <c r="D62" s="209">
        <f t="shared" si="8"/>
        <v>1767399.8982820411</v>
      </c>
      <c r="E62" s="209">
        <f t="shared" si="4"/>
        <v>-522790806.50571585</v>
      </c>
      <c r="F62" s="44">
        <v>31</v>
      </c>
      <c r="G62" s="44">
        <f t="shared" si="5"/>
        <v>154</v>
      </c>
      <c r="H62" s="309">
        <f>G62/G55</f>
        <v>0.42191780821917807</v>
      </c>
      <c r="I62" s="436">
        <f t="shared" si="6"/>
        <v>745697.49132995703</v>
      </c>
      <c r="J62" s="241">
        <f t="shared" si="7"/>
        <v>-526843720.79300922</v>
      </c>
      <c r="K62" s="131">
        <f t="shared" si="2"/>
        <v>210</v>
      </c>
    </row>
    <row r="63" spans="1:11">
      <c r="A63" s="131">
        <f t="shared" si="3"/>
        <v>211</v>
      </c>
      <c r="B63" s="27">
        <f>'1-BaseTRR'!$F$2</f>
        <v>2022</v>
      </c>
      <c r="C63" s="306" t="s">
        <v>118</v>
      </c>
      <c r="D63" s="209">
        <f t="shared" si="8"/>
        <v>1767399.8982820411</v>
      </c>
      <c r="E63" s="209">
        <f t="shared" si="4"/>
        <v>-521023406.6074338</v>
      </c>
      <c r="F63" s="44">
        <v>31</v>
      </c>
      <c r="G63" s="44">
        <f t="shared" si="5"/>
        <v>123</v>
      </c>
      <c r="H63" s="309">
        <f>G63/G55</f>
        <v>0.33698630136986302</v>
      </c>
      <c r="I63" s="436">
        <f t="shared" si="6"/>
        <v>595589.55476353713</v>
      </c>
      <c r="J63" s="241">
        <f t="shared" si="7"/>
        <v>-526248131.23824567</v>
      </c>
      <c r="K63" s="131">
        <f t="shared" si="2"/>
        <v>211</v>
      </c>
    </row>
    <row r="64" spans="1:11">
      <c r="A64" s="131">
        <f t="shared" si="3"/>
        <v>212</v>
      </c>
      <c r="B64" s="27">
        <f>'1-BaseTRR'!$F$2</f>
        <v>2022</v>
      </c>
      <c r="C64" s="306" t="s">
        <v>119</v>
      </c>
      <c r="D64" s="209">
        <f t="shared" si="8"/>
        <v>1767399.8982820411</v>
      </c>
      <c r="E64" s="209">
        <f t="shared" si="4"/>
        <v>-519256006.70915174</v>
      </c>
      <c r="F64" s="44">
        <v>30</v>
      </c>
      <c r="G64" s="44">
        <f t="shared" si="5"/>
        <v>93</v>
      </c>
      <c r="H64" s="309">
        <f>G64/G55</f>
        <v>0.25479452054794521</v>
      </c>
      <c r="I64" s="436">
        <f t="shared" si="6"/>
        <v>450323.80969925981</v>
      </c>
      <c r="J64" s="241">
        <f t="shared" si="7"/>
        <v>-525797807.42854643</v>
      </c>
      <c r="K64" s="131">
        <f t="shared" si="2"/>
        <v>212</v>
      </c>
    </row>
    <row r="65" spans="1:11">
      <c r="A65" s="131">
        <f t="shared" si="3"/>
        <v>213</v>
      </c>
      <c r="B65" s="27">
        <f>'1-BaseTRR'!$F$2</f>
        <v>2022</v>
      </c>
      <c r="C65" s="306" t="s">
        <v>120</v>
      </c>
      <c r="D65" s="209">
        <f t="shared" si="8"/>
        <v>1767399.8982820411</v>
      </c>
      <c r="E65" s="209">
        <f t="shared" si="4"/>
        <v>-517488606.81086969</v>
      </c>
      <c r="F65" s="44">
        <v>31</v>
      </c>
      <c r="G65" s="44">
        <f t="shared" si="5"/>
        <v>62</v>
      </c>
      <c r="H65" s="309">
        <f>G65/G55</f>
        <v>0.16986301369863013</v>
      </c>
      <c r="I65" s="436">
        <f t="shared" si="6"/>
        <v>300215.87313283986</v>
      </c>
      <c r="J65" s="241">
        <f t="shared" si="7"/>
        <v>-525497591.5554136</v>
      </c>
      <c r="K65" s="131">
        <f t="shared" si="2"/>
        <v>213</v>
      </c>
    </row>
    <row r="66" spans="1:11">
      <c r="A66" s="131">
        <f t="shared" si="3"/>
        <v>214</v>
      </c>
      <c r="B66" s="27">
        <f>'1-BaseTRR'!$F$2</f>
        <v>2022</v>
      </c>
      <c r="C66" s="306" t="s">
        <v>121</v>
      </c>
      <c r="D66" s="209">
        <f t="shared" si="8"/>
        <v>1767399.8982820411</v>
      </c>
      <c r="E66" s="209">
        <f t="shared" si="4"/>
        <v>-515721206.91258764</v>
      </c>
      <c r="F66" s="44">
        <v>30</v>
      </c>
      <c r="G66" s="44">
        <f>+G67+F67</f>
        <v>32</v>
      </c>
      <c r="H66" s="309">
        <f>G66/G55</f>
        <v>8.7671232876712329E-2</v>
      </c>
      <c r="I66" s="436">
        <f t="shared" si="6"/>
        <v>154950.12806856251</v>
      </c>
      <c r="J66" s="241">
        <f t="shared" si="7"/>
        <v>-525342641.42734504</v>
      </c>
      <c r="K66" s="131">
        <f t="shared" si="2"/>
        <v>214</v>
      </c>
    </row>
    <row r="67" spans="1:11">
      <c r="A67" s="131">
        <f t="shared" si="3"/>
        <v>215</v>
      </c>
      <c r="B67" s="27">
        <f>'1-BaseTRR'!$F$2</f>
        <v>2022</v>
      </c>
      <c r="C67" s="306" t="s">
        <v>111</v>
      </c>
      <c r="D67" s="209">
        <f t="shared" si="8"/>
        <v>1767399.8982820411</v>
      </c>
      <c r="E67" s="209">
        <f t="shared" si="4"/>
        <v>-513953807.01430559</v>
      </c>
      <c r="F67" s="44">
        <v>31</v>
      </c>
      <c r="G67" s="312">
        <v>1</v>
      </c>
      <c r="H67" s="309">
        <f>G67/G55</f>
        <v>2.7397260273972603E-3</v>
      </c>
      <c r="I67" s="436">
        <f t="shared" si="6"/>
        <v>4842.1915021425784</v>
      </c>
      <c r="J67" s="623">
        <f t="shared" si="7"/>
        <v>-525337799.23584288</v>
      </c>
      <c r="K67" s="131">
        <f t="shared" si="2"/>
        <v>215</v>
      </c>
    </row>
    <row r="68" spans="1:11">
      <c r="A68" s="131">
        <f t="shared" si="3"/>
        <v>216</v>
      </c>
      <c r="B68" s="17"/>
      <c r="C68" s="306" t="s">
        <v>206</v>
      </c>
      <c r="D68" s="209"/>
      <c r="E68" s="209">
        <f>C47</f>
        <v>-513953807.01430571</v>
      </c>
      <c r="F68" s="286"/>
      <c r="G68" s="286"/>
      <c r="H68" s="286"/>
      <c r="I68" s="18"/>
      <c r="J68" s="439"/>
      <c r="K68" s="131">
        <f t="shared" si="2"/>
        <v>216</v>
      </c>
    </row>
    <row r="69" spans="1:11">
      <c r="A69" s="131">
        <f t="shared" si="3"/>
        <v>217</v>
      </c>
      <c r="B69" s="17"/>
      <c r="C69" s="176"/>
      <c r="D69" s="291"/>
      <c r="E69" s="291"/>
      <c r="F69" s="286"/>
      <c r="G69" s="286"/>
      <c r="H69" s="286"/>
      <c r="I69" s="313" t="s">
        <v>665</v>
      </c>
      <c r="J69" s="552">
        <f>+J67</f>
        <v>-525337799.23584288</v>
      </c>
      <c r="K69" s="131">
        <f t="shared" si="2"/>
        <v>217</v>
      </c>
    </row>
    <row r="71" spans="1:11">
      <c r="B71" s="813" t="s">
        <v>1570</v>
      </c>
      <c r="C71" s="813"/>
      <c r="D71" s="813"/>
      <c r="E71" s="813"/>
      <c r="F71" s="813"/>
      <c r="G71" s="813"/>
      <c r="H71" s="813"/>
      <c r="I71" s="813"/>
      <c r="J71" s="813"/>
    </row>
    <row r="72" spans="1:11">
      <c r="B72" s="813" t="s">
        <v>1571</v>
      </c>
      <c r="C72" s="813"/>
      <c r="D72" s="813"/>
      <c r="E72" s="813"/>
      <c r="F72" s="813"/>
      <c r="G72" s="813"/>
      <c r="H72" s="813"/>
      <c r="I72" s="813"/>
      <c r="J72" s="813"/>
    </row>
  </sheetData>
  <mergeCells count="3">
    <mergeCell ref="N4:T4"/>
    <mergeCell ref="B71:J71"/>
    <mergeCell ref="B72:J72"/>
  </mergeCells>
  <printOptions horizontalCentered="1"/>
  <pageMargins left="1" right="1" top="1" bottom="1" header="0.5" footer="0.5"/>
  <pageSetup scale="49" fitToHeight="0" orientation="landscape" r:id="rId1"/>
  <headerFooter>
    <oddHeader xml:space="preserve">&amp;C&amp;"-,Bold"Pacific Gas and Electric Company
Formula Rate Model
Schedule &amp;A&amp;R&amp;8Docket No. ER19-13-000, et al- Annual Update RY2024
&amp;F
</oddHeader>
  </headerFooter>
  <rowBreaks count="1" manualBreakCount="1">
    <brk id="41" max="10" man="1"/>
  </rowBreaks>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A3F26-43D7-433D-87C3-B8F308C5F4A4}">
  <sheetPr>
    <pageSetUpPr fitToPage="1"/>
  </sheetPr>
  <dimension ref="A1:BH142"/>
  <sheetViews>
    <sheetView tabSelected="1" view="pageBreakPreview" topLeftCell="A100" zoomScale="70" zoomScaleNormal="85" zoomScaleSheetLayoutView="70" zoomScalePageLayoutView="85" workbookViewId="0">
      <selection activeCell="C59" activeCellId="1" sqref="L63 C59"/>
    </sheetView>
  </sheetViews>
  <sheetFormatPr defaultColWidth="9.1796875" defaultRowHeight="12.5"/>
  <cols>
    <col min="1" max="1" width="7.54296875" style="585" customWidth="1"/>
    <col min="2" max="2" width="41.7265625" style="585" customWidth="1"/>
    <col min="3" max="3" width="27.81640625" style="585" bestFit="1" customWidth="1"/>
    <col min="4" max="4" width="38.81640625" style="585" customWidth="1"/>
    <col min="5" max="5" width="1.7265625" style="585" customWidth="1"/>
    <col min="6" max="6" width="15.81640625" style="585" bestFit="1" customWidth="1"/>
    <col min="7" max="7" width="1.7265625" style="585" customWidth="1"/>
    <col min="8" max="8" width="14.26953125" style="722" bestFit="1" customWidth="1"/>
    <col min="9" max="9" width="1.7265625" style="585" customWidth="1"/>
    <col min="10" max="10" width="19.7265625" style="585" bestFit="1" customWidth="1"/>
    <col min="11" max="11" width="1.7265625" style="585" customWidth="1"/>
    <col min="12" max="12" width="15.81640625" style="585" bestFit="1" customWidth="1"/>
    <col min="13" max="13" width="1.7265625" style="585" customWidth="1"/>
    <col min="14" max="14" width="17.453125" style="585" bestFit="1" customWidth="1"/>
    <col min="15" max="15" width="1.7265625" style="585" customWidth="1"/>
    <col min="16" max="16" width="22.1796875" style="705" customWidth="1"/>
    <col min="17" max="17" width="1.7265625" style="585" customWidth="1"/>
    <col min="18" max="18" width="14.7265625" style="585" bestFit="1" customWidth="1"/>
    <col min="19" max="19" width="1.7265625" style="585" customWidth="1"/>
    <col min="20" max="20" width="14.7265625" style="585" bestFit="1" customWidth="1"/>
    <col min="21" max="21" width="1.7265625" style="585" customWidth="1"/>
    <col min="22" max="22" width="17.7265625" style="585" bestFit="1" customWidth="1"/>
    <col min="23" max="23" width="1.7265625" style="585" customWidth="1"/>
    <col min="24" max="24" width="17.26953125" style="585" customWidth="1"/>
    <col min="25" max="25" width="1.7265625" style="585" customWidth="1"/>
    <col min="26" max="26" width="24.54296875" style="705" bestFit="1" customWidth="1"/>
    <col min="27" max="27" width="1.7265625" style="585" customWidth="1"/>
    <col min="28" max="28" width="17.26953125" style="585" customWidth="1"/>
    <col min="29" max="29" width="1.7265625" style="585" customWidth="1"/>
    <col min="30" max="30" width="17.26953125" style="585" customWidth="1"/>
    <col min="31" max="31" width="1.7265625" style="585" customWidth="1"/>
    <col min="32" max="32" width="17.26953125" style="585" customWidth="1"/>
    <col min="33" max="33" width="1.7265625" style="585" customWidth="1"/>
    <col min="34" max="34" width="21.81640625" style="705" bestFit="1" customWidth="1"/>
    <col min="35" max="35" width="1.7265625" style="585" customWidth="1"/>
    <col min="36" max="36" width="21.81640625" style="585" customWidth="1"/>
    <col min="37" max="37" width="1.7265625" style="585" customWidth="1"/>
    <col min="38" max="38" width="21.81640625" style="585" customWidth="1"/>
    <col min="39" max="39" width="1.7265625" style="585" customWidth="1"/>
    <col min="40" max="40" width="21.81640625" style="585" customWidth="1"/>
    <col min="41" max="41" width="1.7265625" style="585" customWidth="1"/>
    <col min="42" max="42" width="21.81640625" style="585" customWidth="1"/>
    <col min="43" max="43" width="1.7265625" style="585" customWidth="1"/>
    <col min="44" max="44" width="17.26953125" style="585" customWidth="1"/>
    <col min="45" max="45" width="1.7265625" style="585" customWidth="1"/>
    <col min="46" max="46" width="17.26953125" style="585" customWidth="1"/>
    <col min="47" max="47" width="1.7265625" style="585" customWidth="1"/>
    <col min="48" max="48" width="17.26953125" style="585" customWidth="1"/>
    <col min="49" max="49" width="1.7265625" style="585" customWidth="1"/>
    <col min="50" max="50" width="21.81640625" style="585" customWidth="1"/>
    <col min="51" max="51" width="1.7265625" style="585" customWidth="1"/>
    <col min="52" max="52" width="21.81640625" style="585" customWidth="1"/>
    <col min="53" max="53" width="1.7265625" style="585" customWidth="1"/>
    <col min="54" max="54" width="21.81640625" style="585" customWidth="1"/>
    <col min="55" max="55" width="1.7265625" style="585" customWidth="1"/>
    <col min="56" max="56" width="21.81640625" style="585" customWidth="1"/>
    <col min="57" max="57" width="1.7265625" style="585" customWidth="1"/>
    <col min="58" max="58" width="16.54296875" style="705" bestFit="1" customWidth="1"/>
    <col min="59" max="59" width="22.7265625" style="585" bestFit="1" customWidth="1"/>
    <col min="60" max="60" width="8.453125" style="585" customWidth="1"/>
    <col min="61" max="16384" width="9.1796875" style="585"/>
  </cols>
  <sheetData>
    <row r="1" spans="1:60" ht="14.5">
      <c r="B1" s="90" t="s">
        <v>1765</v>
      </c>
      <c r="C1" s="617"/>
      <c r="D1" s="617"/>
      <c r="E1" s="617"/>
      <c r="F1" s="617"/>
      <c r="G1" s="617"/>
      <c r="H1" s="90"/>
      <c r="I1" s="617"/>
      <c r="J1" s="617"/>
      <c r="K1" s="617"/>
      <c r="L1" s="617"/>
      <c r="M1" s="617"/>
      <c r="N1" s="617"/>
      <c r="O1" s="617"/>
      <c r="P1" s="90"/>
      <c r="Q1" s="617"/>
      <c r="R1" s="617"/>
      <c r="S1" s="617"/>
      <c r="T1" s="617"/>
      <c r="U1" s="617"/>
      <c r="V1" s="617"/>
      <c r="W1" s="617"/>
      <c r="X1" s="617"/>
      <c r="Y1" s="617"/>
      <c r="Z1" s="90"/>
      <c r="AA1" s="617"/>
      <c r="AB1" s="617"/>
      <c r="AC1" s="617"/>
      <c r="AD1" s="617"/>
      <c r="AE1" s="617"/>
      <c r="AF1" s="617"/>
      <c r="AG1" s="617"/>
      <c r="AH1" s="90"/>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90"/>
      <c r="BG1" s="15" t="str">
        <f>CONCATENATE("Prior Year: ",'1-BaseTRR'!$F$2)</f>
        <v>Prior Year: 2022</v>
      </c>
    </row>
    <row r="2" spans="1:60" ht="14.5">
      <c r="A2" s="617"/>
      <c r="B2" s="618" t="s">
        <v>193</v>
      </c>
      <c r="C2" s="618"/>
      <c r="D2" s="617"/>
      <c r="E2" s="617"/>
      <c r="F2" s="617"/>
      <c r="G2" s="617"/>
      <c r="H2" s="90"/>
      <c r="I2" s="617"/>
      <c r="J2" s="617"/>
      <c r="K2" s="617"/>
      <c r="L2" s="617"/>
      <c r="M2" s="617"/>
      <c r="N2" s="617"/>
      <c r="O2" s="617"/>
      <c r="P2" s="90"/>
      <c r="Q2" s="617"/>
      <c r="R2" s="617"/>
      <c r="S2" s="617"/>
      <c r="T2" s="617"/>
      <c r="U2" s="617"/>
      <c r="V2" s="617"/>
      <c r="W2" s="617"/>
      <c r="X2" s="617"/>
      <c r="Y2" s="617"/>
      <c r="Z2" s="90"/>
      <c r="AA2" s="617"/>
      <c r="AB2" s="617"/>
      <c r="AC2" s="617"/>
      <c r="AD2" s="617"/>
      <c r="AE2" s="617"/>
      <c r="AF2" s="617"/>
      <c r="AG2" s="617"/>
      <c r="AH2" s="90"/>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90"/>
      <c r="BG2" s="617"/>
    </row>
    <row r="3" spans="1:60" ht="14.5">
      <c r="A3" s="586"/>
      <c r="B3" s="586"/>
      <c r="C3" s="586"/>
      <c r="D3" s="586"/>
      <c r="E3" s="586"/>
      <c r="F3" s="586"/>
      <c r="G3" s="586"/>
      <c r="H3" s="76"/>
      <c r="I3" s="586"/>
      <c r="J3" s="586"/>
      <c r="K3" s="586"/>
      <c r="L3" s="586"/>
      <c r="M3" s="586"/>
      <c r="N3" s="586"/>
      <c r="O3" s="586"/>
      <c r="P3" s="76"/>
      <c r="Q3" s="586"/>
      <c r="R3" s="586"/>
      <c r="S3" s="586"/>
      <c r="T3" s="586"/>
      <c r="U3" s="586"/>
      <c r="V3" s="586"/>
      <c r="W3" s="586"/>
      <c r="X3" s="586"/>
      <c r="Y3" s="586"/>
      <c r="Z3" s="76"/>
      <c r="AA3" s="586"/>
      <c r="AB3" s="586"/>
      <c r="AC3" s="586"/>
      <c r="AD3" s="586"/>
      <c r="AE3" s="586"/>
      <c r="AF3" s="586"/>
      <c r="AG3" s="586"/>
      <c r="AH3" s="76"/>
      <c r="AI3" s="586"/>
      <c r="AJ3" s="586"/>
      <c r="AK3" s="586"/>
      <c r="AL3" s="586"/>
      <c r="AM3" s="586"/>
      <c r="AN3" s="586"/>
      <c r="AO3" s="586"/>
      <c r="AP3" s="586"/>
      <c r="AQ3" s="586"/>
      <c r="AR3" s="586"/>
      <c r="AS3" s="586"/>
      <c r="AT3" s="586"/>
      <c r="AU3" s="586"/>
      <c r="AV3" s="586"/>
      <c r="AW3" s="586"/>
      <c r="AX3" s="586"/>
      <c r="AY3" s="586"/>
      <c r="AZ3" s="586"/>
      <c r="BA3" s="586"/>
      <c r="BB3" s="586"/>
      <c r="BC3" s="586"/>
      <c r="BD3" s="586"/>
      <c r="BE3" s="586"/>
      <c r="BF3" s="76"/>
      <c r="BG3" s="586"/>
    </row>
    <row r="4" spans="1:60" ht="13">
      <c r="J4" s="835" t="s">
        <v>1519</v>
      </c>
      <c r="K4" s="835"/>
      <c r="L4" s="835"/>
      <c r="M4" s="835"/>
      <c r="N4" s="835"/>
      <c r="O4" s="587"/>
      <c r="P4" s="711" t="s">
        <v>1520</v>
      </c>
      <c r="R4" s="835" t="s">
        <v>1521</v>
      </c>
      <c r="S4" s="835"/>
      <c r="T4" s="835"/>
      <c r="U4" s="835"/>
      <c r="V4" s="835"/>
      <c r="Z4" s="716" t="s">
        <v>1522</v>
      </c>
      <c r="AH4" s="711" t="s">
        <v>1523</v>
      </c>
      <c r="AI4" s="587"/>
      <c r="AJ4" s="835" t="s">
        <v>1521</v>
      </c>
      <c r="AK4" s="835"/>
      <c r="AL4" s="835"/>
      <c r="AM4" s="835"/>
      <c r="AN4" s="835"/>
      <c r="AO4" s="587"/>
      <c r="AP4" s="587"/>
      <c r="AX4" s="835" t="s">
        <v>1521</v>
      </c>
      <c r="AY4" s="835"/>
      <c r="AZ4" s="835"/>
      <c r="BA4" s="835"/>
      <c r="BB4" s="835"/>
      <c r="BC4" s="587"/>
      <c r="BD4" s="587"/>
      <c r="BF4" s="718"/>
    </row>
    <row r="5" spans="1:60" ht="14.5">
      <c r="A5" s="588"/>
      <c r="B5" s="588"/>
      <c r="C5" s="588"/>
      <c r="D5" s="588"/>
      <c r="E5" s="588"/>
      <c r="F5" s="706"/>
      <c r="G5" s="702"/>
      <c r="H5" s="589" t="s">
        <v>1742</v>
      </c>
      <c r="I5" s="588"/>
      <c r="J5" s="589" t="s">
        <v>98</v>
      </c>
      <c r="K5" s="589"/>
      <c r="L5" s="589" t="s">
        <v>99</v>
      </c>
      <c r="M5" s="589"/>
      <c r="N5" s="589" t="s">
        <v>100</v>
      </c>
      <c r="O5" s="589"/>
      <c r="P5" s="589" t="s">
        <v>101</v>
      </c>
      <c r="Q5" s="589"/>
      <c r="R5" s="589" t="s">
        <v>102</v>
      </c>
      <c r="S5" s="589"/>
      <c r="T5" s="589" t="s">
        <v>103</v>
      </c>
      <c r="U5" s="589"/>
      <c r="V5" s="589" t="s">
        <v>104</v>
      </c>
      <c r="W5" s="589"/>
      <c r="X5" s="589" t="s">
        <v>105</v>
      </c>
      <c r="Y5" s="589"/>
      <c r="Z5" s="589" t="s">
        <v>106</v>
      </c>
      <c r="AA5" s="590"/>
      <c r="AB5" s="590" t="s">
        <v>266</v>
      </c>
      <c r="AC5" s="590"/>
      <c r="AD5" s="590" t="s">
        <v>267</v>
      </c>
      <c r="AE5" s="590"/>
      <c r="AF5" s="590" t="s">
        <v>268</v>
      </c>
      <c r="AG5" s="590"/>
      <c r="AH5" s="717" t="s">
        <v>269</v>
      </c>
      <c r="AI5" s="590"/>
      <c r="AJ5" s="590" t="s">
        <v>270</v>
      </c>
      <c r="AK5" s="590"/>
      <c r="AL5" s="590" t="s">
        <v>745</v>
      </c>
      <c r="AM5" s="590"/>
      <c r="AN5" s="590" t="s">
        <v>1524</v>
      </c>
      <c r="AO5" s="590"/>
      <c r="AP5" s="590" t="s">
        <v>1525</v>
      </c>
      <c r="AQ5" s="590"/>
      <c r="AR5" s="590" t="s">
        <v>1585</v>
      </c>
      <c r="AS5" s="590"/>
      <c r="AT5" s="590" t="s">
        <v>1586</v>
      </c>
      <c r="AU5" s="590"/>
      <c r="AV5" s="590" t="s">
        <v>1587</v>
      </c>
      <c r="AW5" s="590"/>
      <c r="AX5" s="590" t="s">
        <v>1589</v>
      </c>
      <c r="AY5" s="590"/>
      <c r="AZ5" s="590" t="s">
        <v>1590</v>
      </c>
      <c r="BA5" s="590"/>
      <c r="BB5" s="590" t="s">
        <v>1591</v>
      </c>
      <c r="BC5" s="590"/>
      <c r="BD5" s="590" t="s">
        <v>1592</v>
      </c>
      <c r="BE5" s="590"/>
      <c r="BF5" s="589" t="s">
        <v>1761</v>
      </c>
      <c r="BG5" s="588"/>
      <c r="BH5" s="588"/>
    </row>
    <row r="6" spans="1:60" ht="28.5" customHeight="1">
      <c r="A6" s="588"/>
      <c r="B6" s="588"/>
      <c r="C6" s="588"/>
      <c r="D6" s="588"/>
      <c r="E6" s="588"/>
      <c r="F6" s="706"/>
      <c r="G6" s="702"/>
      <c r="H6" s="590"/>
      <c r="I6" s="588"/>
      <c r="J6" s="590"/>
      <c r="K6" s="590"/>
      <c r="L6" s="590"/>
      <c r="M6" s="590"/>
      <c r="N6" s="590" t="s">
        <v>867</v>
      </c>
      <c r="O6" s="590"/>
      <c r="P6" s="590"/>
      <c r="Q6" s="590"/>
      <c r="R6" s="589"/>
      <c r="S6" s="589"/>
      <c r="T6" s="589"/>
      <c r="U6" s="589"/>
      <c r="V6" s="589"/>
      <c r="W6" s="589"/>
      <c r="X6" s="589" t="s">
        <v>1576</v>
      </c>
      <c r="Y6" s="590"/>
      <c r="Z6" s="590"/>
      <c r="AA6" s="590"/>
      <c r="AB6" s="837" t="s">
        <v>1583</v>
      </c>
      <c r="AC6" s="837"/>
      <c r="AD6" s="837"/>
      <c r="AE6" s="837"/>
      <c r="AF6" s="837"/>
      <c r="AG6" s="590"/>
      <c r="AH6" s="590"/>
      <c r="AI6" s="590"/>
      <c r="AJ6" s="590" t="s">
        <v>1575</v>
      </c>
      <c r="AK6" s="590"/>
      <c r="AL6" s="590" t="s">
        <v>1577</v>
      </c>
      <c r="AM6" s="590"/>
      <c r="AN6" s="590" t="s">
        <v>1578</v>
      </c>
      <c r="AO6" s="590"/>
      <c r="AP6" s="590" t="s">
        <v>1579</v>
      </c>
      <c r="AQ6" s="590"/>
      <c r="AR6" s="837" t="s">
        <v>1588</v>
      </c>
      <c r="AS6" s="837"/>
      <c r="AT6" s="837"/>
      <c r="AU6" s="837"/>
      <c r="AV6" s="837"/>
      <c r="AW6" s="590"/>
      <c r="AX6" s="590" t="s">
        <v>1594</v>
      </c>
      <c r="AY6" s="590"/>
      <c r="AZ6" s="590" t="s">
        <v>1595</v>
      </c>
      <c r="BA6" s="590"/>
      <c r="BB6" s="590" t="s">
        <v>1596</v>
      </c>
      <c r="BC6" s="590"/>
      <c r="BD6" s="590" t="s">
        <v>1597</v>
      </c>
      <c r="BE6" s="590"/>
      <c r="BF6" s="709" t="s">
        <v>1762</v>
      </c>
      <c r="BG6" s="588"/>
      <c r="BH6" s="588"/>
    </row>
    <row r="7" spans="1:60" ht="29">
      <c r="B7" s="591"/>
      <c r="C7" s="591"/>
      <c r="D7" s="591"/>
      <c r="E7" s="591"/>
      <c r="F7" s="593" t="s">
        <v>1743</v>
      </c>
      <c r="G7" s="591"/>
      <c r="H7" s="592" t="s">
        <v>1744</v>
      </c>
      <c r="I7" s="591"/>
      <c r="J7" s="592" t="s">
        <v>1526</v>
      </c>
      <c r="K7" s="591"/>
      <c r="L7" s="592" t="s">
        <v>1527</v>
      </c>
      <c r="M7" s="591"/>
      <c r="N7" s="709" t="s">
        <v>1748</v>
      </c>
      <c r="O7" s="593"/>
      <c r="P7" s="593" t="s">
        <v>323</v>
      </c>
      <c r="Q7" s="591"/>
      <c r="R7" s="836" t="s">
        <v>1529</v>
      </c>
      <c r="S7" s="836"/>
      <c r="T7" s="836"/>
      <c r="U7" s="836"/>
      <c r="V7" s="836"/>
      <c r="W7" s="836"/>
      <c r="X7" s="836"/>
      <c r="Y7" s="592"/>
      <c r="Z7" s="592"/>
      <c r="AA7" s="592"/>
      <c r="AB7" s="592" t="s">
        <v>205</v>
      </c>
      <c r="AC7" s="592"/>
      <c r="AD7" s="592" t="s">
        <v>205</v>
      </c>
      <c r="AE7" s="592"/>
      <c r="AF7" s="592" t="s">
        <v>205</v>
      </c>
      <c r="AG7" s="592"/>
      <c r="AH7" s="592" t="s">
        <v>323</v>
      </c>
      <c r="AI7" s="592"/>
      <c r="AJ7" s="836" t="s">
        <v>1584</v>
      </c>
      <c r="AK7" s="836"/>
      <c r="AL7" s="836"/>
      <c r="AM7" s="836"/>
      <c r="AN7" s="836"/>
      <c r="AO7" s="836"/>
      <c r="AP7" s="836"/>
      <c r="AQ7" s="592"/>
      <c r="AR7" s="592" t="s">
        <v>205</v>
      </c>
      <c r="AS7" s="592"/>
      <c r="AT7" s="592" t="s">
        <v>205</v>
      </c>
      <c r="AU7" s="592"/>
      <c r="AV7" s="592" t="s">
        <v>205</v>
      </c>
      <c r="AW7" s="592"/>
      <c r="AX7" s="836" t="s">
        <v>1593</v>
      </c>
      <c r="AY7" s="836"/>
      <c r="AZ7" s="836"/>
      <c r="BA7" s="836"/>
      <c r="BB7" s="836"/>
      <c r="BC7" s="836"/>
      <c r="BD7" s="836"/>
      <c r="BE7" s="592"/>
      <c r="BF7" s="709" t="s">
        <v>1748</v>
      </c>
      <c r="BG7" s="591"/>
    </row>
    <row r="8" spans="1:60" ht="12.75" customHeight="1">
      <c r="B8" s="591"/>
      <c r="C8" s="591"/>
      <c r="D8" s="591"/>
      <c r="E8" s="591"/>
      <c r="F8" s="593" t="s">
        <v>1745</v>
      </c>
      <c r="G8" s="591"/>
      <c r="H8" s="592" t="s">
        <v>1746</v>
      </c>
      <c r="I8" s="591"/>
      <c r="J8" s="592" t="s">
        <v>1530</v>
      </c>
      <c r="K8" s="591"/>
      <c r="L8" s="592" t="s">
        <v>1531</v>
      </c>
      <c r="M8" s="591"/>
      <c r="N8" s="593" t="s">
        <v>1734</v>
      </c>
      <c r="O8" s="593"/>
      <c r="P8" s="593" t="s">
        <v>1528</v>
      </c>
      <c r="Q8" s="591"/>
      <c r="R8" s="592" t="s">
        <v>1532</v>
      </c>
      <c r="S8" s="592"/>
      <c r="T8" s="592" t="s">
        <v>1532</v>
      </c>
      <c r="U8" s="592"/>
      <c r="V8" s="592" t="s">
        <v>1532</v>
      </c>
      <c r="W8" s="592"/>
      <c r="X8" s="592"/>
      <c r="Y8" s="592"/>
      <c r="Z8" s="592" t="s">
        <v>205</v>
      </c>
      <c r="AA8" s="592"/>
      <c r="AB8" s="592" t="s">
        <v>864</v>
      </c>
      <c r="AC8" s="592"/>
      <c r="AD8" s="592" t="s">
        <v>864</v>
      </c>
      <c r="AE8" s="592"/>
      <c r="AF8" s="592" t="s">
        <v>864</v>
      </c>
      <c r="AG8" s="592"/>
      <c r="AH8" s="592" t="s">
        <v>1533</v>
      </c>
      <c r="AI8" s="592"/>
      <c r="AJ8" s="592" t="s">
        <v>1534</v>
      </c>
      <c r="AK8" s="592"/>
      <c r="AL8" s="592" t="s">
        <v>1534</v>
      </c>
      <c r="AM8" s="592"/>
      <c r="AN8" s="592" t="s">
        <v>1534</v>
      </c>
      <c r="AO8" s="592"/>
      <c r="AP8" s="592"/>
      <c r="AQ8" s="592"/>
      <c r="AR8" s="592" t="s">
        <v>864</v>
      </c>
      <c r="AS8" s="592"/>
      <c r="AT8" s="592" t="s">
        <v>864</v>
      </c>
      <c r="AU8" s="592"/>
      <c r="AV8" s="592" t="s">
        <v>864</v>
      </c>
      <c r="AW8" s="592"/>
      <c r="AX8" s="592" t="s">
        <v>1534</v>
      </c>
      <c r="AY8" s="592"/>
      <c r="AZ8" s="592" t="s">
        <v>1534</v>
      </c>
      <c r="BA8" s="592"/>
      <c r="BB8" s="592" t="s">
        <v>1534</v>
      </c>
      <c r="BC8" s="592"/>
      <c r="BD8" s="592"/>
      <c r="BE8" s="592"/>
      <c r="BF8" s="719" t="s">
        <v>1763</v>
      </c>
      <c r="BG8" s="591"/>
    </row>
    <row r="9" spans="1:60" ht="14.5">
      <c r="A9" s="590"/>
      <c r="B9" s="588"/>
      <c r="C9" s="588"/>
      <c r="D9" s="588"/>
      <c r="E9" s="588"/>
      <c r="F9" s="593" t="s">
        <v>1537</v>
      </c>
      <c r="G9" s="702"/>
      <c r="H9" s="592" t="s">
        <v>1747</v>
      </c>
      <c r="I9" s="588"/>
      <c r="J9" s="594" t="s">
        <v>1535</v>
      </c>
      <c r="K9" s="588"/>
      <c r="L9" s="594" t="s">
        <v>1536</v>
      </c>
      <c r="M9" s="588"/>
      <c r="N9" s="595" t="s">
        <v>141</v>
      </c>
      <c r="O9" s="595"/>
      <c r="P9" s="706" t="s">
        <v>1537</v>
      </c>
      <c r="Q9" s="588"/>
      <c r="R9" s="592" t="s">
        <v>1538</v>
      </c>
      <c r="S9" s="592"/>
      <c r="T9" s="590" t="s">
        <v>1539</v>
      </c>
      <c r="U9" s="590"/>
      <c r="V9" s="596" t="s">
        <v>1539</v>
      </c>
      <c r="W9" s="596"/>
      <c r="X9" s="596" t="s">
        <v>1532</v>
      </c>
      <c r="Y9" s="596"/>
      <c r="Z9" s="596" t="s">
        <v>1540</v>
      </c>
      <c r="AA9" s="596"/>
      <c r="AB9" s="592" t="s">
        <v>1538</v>
      </c>
      <c r="AC9" s="592"/>
      <c r="AD9" s="590" t="s">
        <v>1539</v>
      </c>
      <c r="AE9" s="590"/>
      <c r="AF9" s="596" t="s">
        <v>1539</v>
      </c>
      <c r="AG9" s="596"/>
      <c r="AH9" s="596" t="s">
        <v>1541</v>
      </c>
      <c r="AI9" s="596"/>
      <c r="AJ9" s="592" t="s">
        <v>1538</v>
      </c>
      <c r="AK9" s="592"/>
      <c r="AL9" s="590" t="s">
        <v>1539</v>
      </c>
      <c r="AM9" s="590"/>
      <c r="AN9" s="596" t="s">
        <v>1539</v>
      </c>
      <c r="AO9" s="596"/>
      <c r="AP9" s="596" t="s">
        <v>1534</v>
      </c>
      <c r="AQ9" s="596"/>
      <c r="AR9" s="592" t="s">
        <v>1538</v>
      </c>
      <c r="AS9" s="592"/>
      <c r="AT9" s="590" t="s">
        <v>1539</v>
      </c>
      <c r="AU9" s="590"/>
      <c r="AV9" s="596" t="s">
        <v>1539</v>
      </c>
      <c r="AW9" s="596"/>
      <c r="AX9" s="592" t="s">
        <v>1538</v>
      </c>
      <c r="AY9" s="592"/>
      <c r="AZ9" s="590" t="s">
        <v>1539</v>
      </c>
      <c r="BA9" s="590"/>
      <c r="BB9" s="596" t="s">
        <v>1539</v>
      </c>
      <c r="BC9" s="596"/>
      <c r="BD9" s="596" t="s">
        <v>1534</v>
      </c>
      <c r="BE9" s="596"/>
      <c r="BF9" s="720">
        <f>1/(1-(0.21+0.0884-(0.21*0.0884)))</f>
        <v>1.3885726029071155</v>
      </c>
      <c r="BG9" s="590"/>
      <c r="BH9" s="590"/>
    </row>
    <row r="10" spans="1:60" ht="15" thickBot="1">
      <c r="A10" s="323" t="s">
        <v>122</v>
      </c>
      <c r="B10" s="597" t="s">
        <v>619</v>
      </c>
      <c r="C10" s="597"/>
      <c r="D10" s="597"/>
      <c r="E10" s="597"/>
      <c r="F10" s="602" t="s">
        <v>604</v>
      </c>
      <c r="G10" s="707"/>
      <c r="H10" s="708">
        <v>43100</v>
      </c>
      <c r="I10" s="597"/>
      <c r="J10" s="598">
        <v>43100</v>
      </c>
      <c r="K10" s="597"/>
      <c r="L10" s="598">
        <v>43100</v>
      </c>
      <c r="M10" s="597"/>
      <c r="N10" s="598">
        <v>43100</v>
      </c>
      <c r="O10" s="598"/>
      <c r="P10" s="708" t="s">
        <v>1542</v>
      </c>
      <c r="Q10" s="597"/>
      <c r="R10" s="599" t="s">
        <v>1543</v>
      </c>
      <c r="S10" s="599"/>
      <c r="T10" s="600" t="s">
        <v>1543</v>
      </c>
      <c r="U10" s="600"/>
      <c r="V10" s="601" t="s">
        <v>1544</v>
      </c>
      <c r="W10" s="601"/>
      <c r="X10" s="601" t="s">
        <v>1545</v>
      </c>
      <c r="Y10" s="601"/>
      <c r="Z10" s="601" t="s">
        <v>1756</v>
      </c>
      <c r="AA10" s="601"/>
      <c r="AB10" s="599" t="s">
        <v>1543</v>
      </c>
      <c r="AC10" s="599"/>
      <c r="AD10" s="600" t="s">
        <v>1543</v>
      </c>
      <c r="AE10" s="600"/>
      <c r="AF10" s="601" t="s">
        <v>1544</v>
      </c>
      <c r="AG10" s="601"/>
      <c r="AH10" s="601" t="s">
        <v>1546</v>
      </c>
      <c r="AI10" s="601"/>
      <c r="AJ10" s="599" t="s">
        <v>1543</v>
      </c>
      <c r="AK10" s="599"/>
      <c r="AL10" s="600" t="s">
        <v>1543</v>
      </c>
      <c r="AM10" s="600"/>
      <c r="AN10" s="601" t="s">
        <v>1544</v>
      </c>
      <c r="AO10" s="601"/>
      <c r="AP10" s="601" t="s">
        <v>1545</v>
      </c>
      <c r="AQ10" s="601"/>
      <c r="AR10" s="599" t="s">
        <v>1543</v>
      </c>
      <c r="AS10" s="599"/>
      <c r="AT10" s="600" t="s">
        <v>1543</v>
      </c>
      <c r="AU10" s="600"/>
      <c r="AV10" s="601" t="s">
        <v>1544</v>
      </c>
      <c r="AW10" s="601"/>
      <c r="AX10" s="599" t="s">
        <v>1543</v>
      </c>
      <c r="AY10" s="599"/>
      <c r="AZ10" s="600" t="s">
        <v>1543</v>
      </c>
      <c r="BA10" s="600"/>
      <c r="BB10" s="601" t="s">
        <v>1544</v>
      </c>
      <c r="BC10" s="601"/>
      <c r="BD10" s="601" t="s">
        <v>1545</v>
      </c>
      <c r="BE10" s="601"/>
      <c r="BF10" s="708"/>
      <c r="BG10" s="602" t="s">
        <v>294</v>
      </c>
      <c r="BH10" s="616" t="s">
        <v>122</v>
      </c>
    </row>
    <row r="11" spans="1:60" ht="14.5">
      <c r="A11" s="590"/>
      <c r="B11" s="588"/>
      <c r="C11" s="588"/>
      <c r="D11" s="588"/>
      <c r="E11" s="588"/>
      <c r="F11" s="706"/>
      <c r="G11" s="588"/>
      <c r="H11" s="702"/>
      <c r="I11" s="588"/>
      <c r="J11" s="588"/>
      <c r="K11" s="588"/>
      <c r="L11" s="588"/>
      <c r="M11" s="588"/>
      <c r="N11" s="588"/>
      <c r="O11" s="588"/>
      <c r="P11" s="702"/>
      <c r="Q11" s="588"/>
      <c r="R11" s="592"/>
      <c r="S11" s="592"/>
      <c r="T11" s="603"/>
      <c r="U11" s="603"/>
      <c r="V11" s="604"/>
      <c r="W11" s="604"/>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4"/>
      <c r="AY11" s="604"/>
      <c r="AZ11" s="604"/>
      <c r="BA11" s="604"/>
      <c r="BB11" s="604"/>
      <c r="BC11" s="604"/>
      <c r="BD11" s="604"/>
      <c r="BE11" s="604"/>
      <c r="BG11" s="590"/>
      <c r="BH11" s="590"/>
    </row>
    <row r="12" spans="1:60" ht="14.5">
      <c r="A12" s="590">
        <v>100</v>
      </c>
      <c r="B12" s="588" t="s">
        <v>1547</v>
      </c>
      <c r="C12" s="588"/>
      <c r="D12" s="702" t="s">
        <v>1723</v>
      </c>
      <c r="E12" s="588"/>
      <c r="F12" s="706" t="s">
        <v>1753</v>
      </c>
      <c r="G12" s="588"/>
      <c r="H12" s="605">
        <f>+H26</f>
        <v>0</v>
      </c>
      <c r="I12" s="588"/>
      <c r="J12" s="605">
        <f>+J26</f>
        <v>-1695727972</v>
      </c>
      <c r="K12" s="588"/>
      <c r="L12" s="605">
        <f>+L26</f>
        <v>-1087798598</v>
      </c>
      <c r="M12" s="588"/>
      <c r="N12" s="605">
        <f>+N26</f>
        <v>-607929374</v>
      </c>
      <c r="O12" s="588"/>
      <c r="P12" s="706" t="s">
        <v>1749</v>
      </c>
      <c r="Q12" s="588"/>
      <c r="R12" s="605">
        <f>R26</f>
        <v>-607929374</v>
      </c>
      <c r="S12" s="605"/>
      <c r="T12" s="605">
        <f>T26</f>
        <v>0</v>
      </c>
      <c r="U12" s="605"/>
      <c r="V12" s="605">
        <f>V26</f>
        <v>0</v>
      </c>
      <c r="W12" s="605"/>
      <c r="X12" s="605">
        <f>SUM(R12:V12)</f>
        <v>-607929374</v>
      </c>
      <c r="Y12" s="605"/>
      <c r="Z12" s="607" t="s">
        <v>1548</v>
      </c>
      <c r="AA12" s="605"/>
      <c r="AB12" s="605">
        <f>AB26</f>
        <v>-39885536.743633352</v>
      </c>
      <c r="AC12" s="605"/>
      <c r="AD12" s="605">
        <f>AD26</f>
        <v>0</v>
      </c>
      <c r="AE12" s="605"/>
      <c r="AF12" s="605">
        <f>AF26</f>
        <v>0</v>
      </c>
      <c r="AG12" s="605"/>
      <c r="AH12" s="706" t="s">
        <v>1759</v>
      </c>
      <c r="AI12" s="605"/>
      <c r="AJ12" s="605">
        <f>AJ26</f>
        <v>-568043837.16833913</v>
      </c>
      <c r="AK12" s="605"/>
      <c r="AL12" s="605">
        <f>AL26</f>
        <v>0</v>
      </c>
      <c r="AM12" s="605"/>
      <c r="AN12" s="605">
        <f>AN26</f>
        <v>0</v>
      </c>
      <c r="AO12" s="605"/>
      <c r="AP12" s="605">
        <f>SUM(AJ12:AN12)</f>
        <v>-568043837.16833913</v>
      </c>
      <c r="AQ12" s="605"/>
      <c r="AR12" s="605">
        <f>AR26</f>
        <v>-8365627.4873481328</v>
      </c>
      <c r="AS12" s="605"/>
      <c r="AT12" s="605">
        <f>AT26</f>
        <v>0</v>
      </c>
      <c r="AU12" s="605"/>
      <c r="AV12" s="605">
        <f>AV26</f>
        <v>0</v>
      </c>
      <c r="AW12" s="605"/>
      <c r="AX12" s="605">
        <f>AX26</f>
        <v>-559678209.68099093</v>
      </c>
      <c r="AY12" s="605"/>
      <c r="AZ12" s="605">
        <f>AZ26</f>
        <v>0</v>
      </c>
      <c r="BA12" s="605"/>
      <c r="BB12" s="605">
        <f>BB26</f>
        <v>0</v>
      </c>
      <c r="BC12" s="605"/>
      <c r="BD12" s="605">
        <f>SUM(AX12:BB12)</f>
        <v>-559678209.68099093</v>
      </c>
      <c r="BE12" s="605"/>
      <c r="BF12" s="605">
        <f>+BF26</f>
        <v>-777153828</v>
      </c>
      <c r="BG12" s="590"/>
      <c r="BH12" s="590">
        <f t="shared" ref="BH12:BH17" si="0">A12</f>
        <v>100</v>
      </c>
    </row>
    <row r="13" spans="1:60" ht="14.5">
      <c r="A13" s="590">
        <f>+A12+1</f>
        <v>101</v>
      </c>
      <c r="B13" s="588" t="s">
        <v>394</v>
      </c>
      <c r="C13" s="588"/>
      <c r="D13" s="702" t="s">
        <v>1724</v>
      </c>
      <c r="E13" s="588"/>
      <c r="F13" s="706" t="s">
        <v>1753</v>
      </c>
      <c r="G13" s="588"/>
      <c r="H13" s="605">
        <f>+H34</f>
        <v>0</v>
      </c>
      <c r="I13" s="588"/>
      <c r="J13" s="605">
        <f>+J34</f>
        <v>0</v>
      </c>
      <c r="K13" s="588"/>
      <c r="L13" s="605">
        <f>+L34</f>
        <v>0</v>
      </c>
      <c r="M13" s="588"/>
      <c r="N13" s="605">
        <f>+N34</f>
        <v>0</v>
      </c>
      <c r="O13" s="588"/>
      <c r="P13" s="706" t="s">
        <v>1749</v>
      </c>
      <c r="Q13" s="588"/>
      <c r="R13" s="605">
        <f>R34</f>
        <v>0</v>
      </c>
      <c r="S13" s="605"/>
      <c r="T13" s="605">
        <f>T34</f>
        <v>0</v>
      </c>
      <c r="U13" s="605"/>
      <c r="V13" s="605">
        <f>V34</f>
        <v>0</v>
      </c>
      <c r="W13" s="605"/>
      <c r="X13" s="605">
        <f t="shared" ref="X13:X16" si="1">SUM(R13:V13)</f>
        <v>0</v>
      </c>
      <c r="Y13" s="605"/>
      <c r="Z13" s="607" t="s">
        <v>1548</v>
      </c>
      <c r="AA13" s="605"/>
      <c r="AB13" s="605">
        <f>AB34</f>
        <v>0</v>
      </c>
      <c r="AC13" s="605"/>
      <c r="AD13" s="605">
        <f>AD34</f>
        <v>0</v>
      </c>
      <c r="AE13" s="605"/>
      <c r="AF13" s="605">
        <f>AF34</f>
        <v>0</v>
      </c>
      <c r="AG13" s="605"/>
      <c r="AH13" s="706" t="s">
        <v>1759</v>
      </c>
      <c r="AI13" s="605"/>
      <c r="AJ13" s="605">
        <f>AJ34</f>
        <v>0</v>
      </c>
      <c r="AK13" s="605"/>
      <c r="AL13" s="605">
        <f>AL34</f>
        <v>0</v>
      </c>
      <c r="AM13" s="605"/>
      <c r="AN13" s="605">
        <f>AN34</f>
        <v>0</v>
      </c>
      <c r="AO13" s="605"/>
      <c r="AP13" s="605">
        <f t="shared" ref="AP13:AP16" si="2">SUM(AJ13:AN13)</f>
        <v>0</v>
      </c>
      <c r="AQ13" s="605"/>
      <c r="AR13" s="605">
        <f>AR34</f>
        <v>0</v>
      </c>
      <c r="AS13" s="605"/>
      <c r="AT13" s="605">
        <f>AT34</f>
        <v>0</v>
      </c>
      <c r="AU13" s="605"/>
      <c r="AV13" s="605">
        <f>AV34</f>
        <v>0</v>
      </c>
      <c r="AW13" s="605"/>
      <c r="AX13" s="605">
        <f>AX34</f>
        <v>0</v>
      </c>
      <c r="AY13" s="605"/>
      <c r="AZ13" s="605">
        <f>AZ34</f>
        <v>0</v>
      </c>
      <c r="BA13" s="605"/>
      <c r="BB13" s="605">
        <f>BB34</f>
        <v>0</v>
      </c>
      <c r="BC13" s="605"/>
      <c r="BD13" s="605">
        <f t="shared" ref="BD13:BD16" si="3">SUM(AX13:BB13)</f>
        <v>0</v>
      </c>
      <c r="BE13" s="605"/>
      <c r="BF13" s="605">
        <f>+BF34</f>
        <v>0</v>
      </c>
      <c r="BG13" s="590"/>
      <c r="BH13" s="590">
        <f t="shared" si="0"/>
        <v>101</v>
      </c>
    </row>
    <row r="14" spans="1:60" ht="14.5">
      <c r="A14" s="590">
        <f t="shared" ref="A14:A15" si="4">+A13+1</f>
        <v>102</v>
      </c>
      <c r="B14" s="588" t="s">
        <v>1549</v>
      </c>
      <c r="C14" s="588"/>
      <c r="D14" s="702" t="s">
        <v>1725</v>
      </c>
      <c r="E14" s="588"/>
      <c r="F14" s="706" t="s">
        <v>1753</v>
      </c>
      <c r="G14" s="588"/>
      <c r="H14" s="605">
        <f>+H42</f>
        <v>0</v>
      </c>
      <c r="I14" s="588"/>
      <c r="J14" s="605">
        <f>+J42</f>
        <v>-346763385</v>
      </c>
      <c r="K14" s="588"/>
      <c r="L14" s="605">
        <f>+L42</f>
        <v>-206675379</v>
      </c>
      <c r="M14" s="588"/>
      <c r="N14" s="605">
        <f>+N42</f>
        <v>-140088006</v>
      </c>
      <c r="O14" s="588"/>
      <c r="P14" s="706" t="s">
        <v>1749</v>
      </c>
      <c r="Q14" s="588"/>
      <c r="R14" s="605">
        <f>R42</f>
        <v>0</v>
      </c>
      <c r="S14" s="605"/>
      <c r="T14" s="605">
        <f>T42</f>
        <v>-140088006</v>
      </c>
      <c r="U14" s="605"/>
      <c r="V14" s="605">
        <f>V42</f>
        <v>0</v>
      </c>
      <c r="W14" s="605"/>
      <c r="X14" s="605">
        <f t="shared" si="1"/>
        <v>-140088006</v>
      </c>
      <c r="Y14" s="605"/>
      <c r="Z14" s="607" t="s">
        <v>1757</v>
      </c>
      <c r="AA14" s="605"/>
      <c r="AB14" s="605">
        <f>AB42</f>
        <v>0</v>
      </c>
      <c r="AC14" s="605"/>
      <c r="AD14" s="605">
        <f>AD42</f>
        <v>-49569502.895844482</v>
      </c>
      <c r="AE14" s="605"/>
      <c r="AF14" s="605">
        <f>AF42</f>
        <v>0</v>
      </c>
      <c r="AG14" s="605"/>
      <c r="AH14" s="706" t="s">
        <v>1759</v>
      </c>
      <c r="AI14" s="605"/>
      <c r="AJ14" s="605">
        <f>AJ42</f>
        <v>0</v>
      </c>
      <c r="AK14" s="605"/>
      <c r="AL14" s="605">
        <f>AL42</f>
        <v>-90518503.125225246</v>
      </c>
      <c r="AM14" s="605"/>
      <c r="AN14" s="605">
        <f>AN42</f>
        <v>0</v>
      </c>
      <c r="AO14" s="605"/>
      <c r="AP14" s="605">
        <f t="shared" si="2"/>
        <v>-90518503.125225246</v>
      </c>
      <c r="AQ14" s="605"/>
      <c r="AR14" s="605">
        <f>AR42</f>
        <v>0</v>
      </c>
      <c r="AS14" s="605"/>
      <c r="AT14" s="605">
        <f>AT42</f>
        <v>-14324173.144193165</v>
      </c>
      <c r="AU14" s="605"/>
      <c r="AV14" s="605">
        <f>AV42</f>
        <v>0</v>
      </c>
      <c r="AW14" s="605"/>
      <c r="AX14" s="605">
        <f>AX42</f>
        <v>0</v>
      </c>
      <c r="AY14" s="605"/>
      <c r="AZ14" s="605">
        <f>AZ42</f>
        <v>-76194329.981032103</v>
      </c>
      <c r="BA14" s="605"/>
      <c r="BB14" s="605">
        <f>BB42</f>
        <v>0</v>
      </c>
      <c r="BC14" s="605"/>
      <c r="BD14" s="605">
        <f t="shared" si="3"/>
        <v>-76194329.981032103</v>
      </c>
      <c r="BE14" s="605"/>
      <c r="BF14" s="605">
        <f>+BF42</f>
        <v>-105801359</v>
      </c>
      <c r="BG14" s="590"/>
      <c r="BH14" s="590">
        <f t="shared" si="0"/>
        <v>102</v>
      </c>
    </row>
    <row r="15" spans="1:60" ht="14.5">
      <c r="A15" s="590">
        <f t="shared" si="4"/>
        <v>103</v>
      </c>
      <c r="B15" s="588" t="s">
        <v>1550</v>
      </c>
      <c r="C15" s="588"/>
      <c r="D15" s="702" t="s">
        <v>1726</v>
      </c>
      <c r="E15" s="588"/>
      <c r="F15" s="706" t="s">
        <v>1754</v>
      </c>
      <c r="G15" s="588"/>
      <c r="H15" s="605">
        <f>+H102</f>
        <v>0</v>
      </c>
      <c r="I15" s="588"/>
      <c r="J15" s="605">
        <f>+J102</f>
        <v>9730734</v>
      </c>
      <c r="K15" s="588"/>
      <c r="L15" s="605">
        <f>+L102</f>
        <v>5840030</v>
      </c>
      <c r="M15" s="588"/>
      <c r="N15" s="605">
        <f>+N102</f>
        <v>3890704</v>
      </c>
      <c r="O15" s="588"/>
      <c r="P15" s="706" t="s">
        <v>1750</v>
      </c>
      <c r="Q15" s="588"/>
      <c r="R15" s="605">
        <f>R102</f>
        <v>0</v>
      </c>
      <c r="S15" s="605"/>
      <c r="T15" s="605">
        <f>T102</f>
        <v>0</v>
      </c>
      <c r="U15" s="605"/>
      <c r="V15" s="605">
        <f>V102</f>
        <v>3890704</v>
      </c>
      <c r="W15" s="605"/>
      <c r="X15" s="605">
        <f>SUM(R15:V15)</f>
        <v>3890704</v>
      </c>
      <c r="Y15" s="605"/>
      <c r="Z15" s="607" t="s">
        <v>1757</v>
      </c>
      <c r="AA15" s="605"/>
      <c r="AB15" s="605">
        <f>AB102</f>
        <v>0</v>
      </c>
      <c r="AC15" s="605"/>
      <c r="AD15" s="605">
        <f>AD102</f>
        <v>0</v>
      </c>
      <c r="AE15" s="605"/>
      <c r="AF15" s="605">
        <f>AF102</f>
        <v>357465.50417482667</v>
      </c>
      <c r="AG15" s="605"/>
      <c r="AH15" s="706" t="s">
        <v>1760</v>
      </c>
      <c r="AI15" s="605"/>
      <c r="AJ15" s="605">
        <f>AJ102</f>
        <v>0</v>
      </c>
      <c r="AK15" s="605"/>
      <c r="AL15" s="605">
        <f>AL102</f>
        <v>0</v>
      </c>
      <c r="AM15" s="605"/>
      <c r="AN15" s="605">
        <f>AN102</f>
        <v>3533238.631668462</v>
      </c>
      <c r="AO15" s="605"/>
      <c r="AP15" s="605">
        <f t="shared" si="2"/>
        <v>3533238.631668462</v>
      </c>
      <c r="AQ15" s="605"/>
      <c r="AR15" s="605">
        <f>AR102</f>
        <v>0</v>
      </c>
      <c r="AS15" s="605"/>
      <c r="AT15" s="605">
        <f>AT102</f>
        <v>0</v>
      </c>
      <c r="AU15" s="605"/>
      <c r="AV15" s="605">
        <f>AV102</f>
        <v>559120.10937917756</v>
      </c>
      <c r="AW15" s="605"/>
      <c r="AX15" s="605">
        <f>AX102</f>
        <v>0</v>
      </c>
      <c r="AY15" s="605"/>
      <c r="AZ15" s="605">
        <f>AZ102</f>
        <v>0</v>
      </c>
      <c r="BA15" s="605"/>
      <c r="BB15" s="605">
        <f>BB102</f>
        <v>2974118.5222892845</v>
      </c>
      <c r="BC15" s="605"/>
      <c r="BD15" s="605">
        <f t="shared" si="3"/>
        <v>2974118.5222892845</v>
      </c>
      <c r="BE15" s="605"/>
      <c r="BF15" s="605">
        <f>+BF102</f>
        <v>4129779</v>
      </c>
      <c r="BG15" s="590"/>
      <c r="BH15" s="590">
        <f t="shared" si="0"/>
        <v>103</v>
      </c>
    </row>
    <row r="16" spans="1:60" ht="14.5">
      <c r="A16" s="590">
        <f>+A15+1</f>
        <v>104</v>
      </c>
      <c r="B16" s="588" t="s">
        <v>1551</v>
      </c>
      <c r="C16" s="588" t="s">
        <v>1552</v>
      </c>
      <c r="D16" s="702" t="s">
        <v>1727</v>
      </c>
      <c r="E16" s="588"/>
      <c r="F16" s="706" t="s">
        <v>1755</v>
      </c>
      <c r="G16" s="588"/>
      <c r="H16" s="608">
        <f>+H116</f>
        <v>0</v>
      </c>
      <c r="I16" s="588"/>
      <c r="J16" s="608">
        <f>+J116</f>
        <v>336430551</v>
      </c>
      <c r="K16" s="588"/>
      <c r="L16" s="608">
        <f>+L116</f>
        <v>201858330</v>
      </c>
      <c r="M16" s="588"/>
      <c r="N16" s="608">
        <f>+N116</f>
        <v>134572220</v>
      </c>
      <c r="O16" s="588"/>
      <c r="P16" s="706" t="s">
        <v>1750</v>
      </c>
      <c r="Q16" s="588"/>
      <c r="R16" s="608">
        <f>R116</f>
        <v>134572220</v>
      </c>
      <c r="S16" s="608"/>
      <c r="T16" s="608">
        <f t="shared" ref="T16" si="5">T116</f>
        <v>0</v>
      </c>
      <c r="U16" s="608"/>
      <c r="V16" s="608">
        <f t="shared" ref="V16" si="6">V116</f>
        <v>0</v>
      </c>
      <c r="W16" s="608"/>
      <c r="X16" s="608">
        <f t="shared" si="1"/>
        <v>134572220</v>
      </c>
      <c r="Y16" s="605"/>
      <c r="Z16" s="607" t="s">
        <v>1548</v>
      </c>
      <c r="AA16" s="605"/>
      <c r="AB16" s="608">
        <f>AB116</f>
        <v>8829126.3361763302</v>
      </c>
      <c r="AC16" s="608"/>
      <c r="AD16" s="608">
        <f t="shared" ref="AD16:AF16" si="7">AD116</f>
        <v>0</v>
      </c>
      <c r="AE16" s="608"/>
      <c r="AF16" s="608">
        <f t="shared" si="7"/>
        <v>0</v>
      </c>
      <c r="AG16" s="605"/>
      <c r="AH16" s="706" t="s">
        <v>1760</v>
      </c>
      <c r="AI16" s="605"/>
      <c r="AJ16" s="608">
        <f>AJ116</f>
        <v>125743093.86985767</v>
      </c>
      <c r="AK16" s="608"/>
      <c r="AL16" s="608">
        <f t="shared" ref="AL16" si="8">AL116</f>
        <v>0</v>
      </c>
      <c r="AM16" s="608"/>
      <c r="AN16" s="608">
        <f t="shared" ref="AN16" si="9">AN116</f>
        <v>0</v>
      </c>
      <c r="AO16" s="608"/>
      <c r="AP16" s="608">
        <f t="shared" si="2"/>
        <v>125743093.86985767</v>
      </c>
      <c r="AQ16" s="605"/>
      <c r="AR16" s="608">
        <f>AR116</f>
        <v>1851828.7079636212</v>
      </c>
      <c r="AS16" s="608"/>
      <c r="AT16" s="608">
        <f t="shared" ref="AT16:AV16" si="10">AT116</f>
        <v>0</v>
      </c>
      <c r="AU16" s="608"/>
      <c r="AV16" s="608">
        <f t="shared" si="10"/>
        <v>0</v>
      </c>
      <c r="AW16" s="605"/>
      <c r="AX16" s="608">
        <f>AX116</f>
        <v>123891265.16189405</v>
      </c>
      <c r="AY16" s="608"/>
      <c r="AZ16" s="608">
        <f t="shared" ref="AZ16" si="11">AZ116</f>
        <v>0</v>
      </c>
      <c r="BA16" s="608"/>
      <c r="BB16" s="608">
        <f t="shared" ref="BB16" si="12">BB116</f>
        <v>0</v>
      </c>
      <c r="BC16" s="608"/>
      <c r="BD16" s="608">
        <f t="shared" si="3"/>
        <v>123891265.16189405</v>
      </c>
      <c r="BE16" s="605"/>
      <c r="BF16" s="608">
        <f>+BF116</f>
        <v>172032017</v>
      </c>
      <c r="BG16" s="590"/>
      <c r="BH16" s="590">
        <f t="shared" si="0"/>
        <v>104</v>
      </c>
    </row>
    <row r="17" spans="1:60" ht="14.5">
      <c r="A17" s="590">
        <f>+A16+1</f>
        <v>105</v>
      </c>
      <c r="B17" s="588" t="s">
        <v>354</v>
      </c>
      <c r="C17" s="588"/>
      <c r="D17" s="590"/>
      <c r="E17" s="590"/>
      <c r="F17" s="590"/>
      <c r="G17" s="590"/>
      <c r="H17" s="712">
        <f>SUM(H12:H16)</f>
        <v>0</v>
      </c>
      <c r="I17" s="590"/>
      <c r="J17" s="606">
        <f>SUM(J12:J16)</f>
        <v>-1696330072</v>
      </c>
      <c r="K17" s="590"/>
      <c r="L17" s="606">
        <f>SUM(L12:L16)</f>
        <v>-1086775617</v>
      </c>
      <c r="M17" s="590"/>
      <c r="N17" s="606">
        <f>SUM(N12:N16)</f>
        <v>-609554456</v>
      </c>
      <c r="O17" s="590"/>
      <c r="P17" s="590"/>
      <c r="Q17" s="590"/>
      <c r="R17" s="606">
        <f>SUM(R12:R16)</f>
        <v>-473357154</v>
      </c>
      <c r="S17" s="606"/>
      <c r="T17" s="606">
        <f>SUM(T12:T16)</f>
        <v>-140088006</v>
      </c>
      <c r="U17" s="606"/>
      <c r="V17" s="606">
        <f>SUM(V12:V16)</f>
        <v>3890704</v>
      </c>
      <c r="W17" s="606"/>
      <c r="X17" s="606">
        <f>SUM(X12:X16)</f>
        <v>-609554456</v>
      </c>
      <c r="Y17" s="606"/>
      <c r="Z17" s="712"/>
      <c r="AA17" s="606"/>
      <c r="AB17" s="606">
        <f>SUM(AB12:AB16)</f>
        <v>-31056410.407457024</v>
      </c>
      <c r="AC17" s="606"/>
      <c r="AD17" s="606">
        <f>SUM(AD12:AD16)</f>
        <v>-49569502.895844482</v>
      </c>
      <c r="AE17" s="606"/>
      <c r="AF17" s="606">
        <f>SUM(AF12:AF16)</f>
        <v>357465.50417482667</v>
      </c>
      <c r="AG17" s="606"/>
      <c r="AH17" s="590"/>
      <c r="AI17" s="606"/>
      <c r="AJ17" s="606">
        <f>SUM(AJ12:AJ16)</f>
        <v>-442300743.29848146</v>
      </c>
      <c r="AK17" s="606"/>
      <c r="AL17" s="606">
        <f>SUM(AL12:AL16)</f>
        <v>-90518503.125225246</v>
      </c>
      <c r="AM17" s="606"/>
      <c r="AN17" s="606">
        <f>SUM(AN12:AN16)</f>
        <v>3533238.631668462</v>
      </c>
      <c r="AO17" s="606"/>
      <c r="AP17" s="606">
        <f>SUM(AP12:AP16)</f>
        <v>-529286007.7920382</v>
      </c>
      <c r="AQ17" s="606"/>
      <c r="AR17" s="606">
        <f>SUM(AR12:AR16)</f>
        <v>-6513798.7793845115</v>
      </c>
      <c r="AS17" s="606"/>
      <c r="AT17" s="606">
        <f>SUM(AT12:AT16)</f>
        <v>-14324173.144193165</v>
      </c>
      <c r="AU17" s="606"/>
      <c r="AV17" s="606">
        <f>SUM(AV12:AV16)</f>
        <v>559120.10937917756</v>
      </c>
      <c r="AW17" s="606"/>
      <c r="AX17" s="606">
        <f>SUM(AX12:AX16)</f>
        <v>-435786944.51909685</v>
      </c>
      <c r="AY17" s="606"/>
      <c r="AZ17" s="606">
        <f>SUM(AZ12:AZ16)</f>
        <v>-76194329.981032103</v>
      </c>
      <c r="BA17" s="606"/>
      <c r="BB17" s="606">
        <f>SUM(BB12:BB16)</f>
        <v>2974118.5222892845</v>
      </c>
      <c r="BC17" s="606"/>
      <c r="BD17" s="606">
        <f>SUM(BD12:BD16)</f>
        <v>-509007155.97783971</v>
      </c>
      <c r="BE17" s="606"/>
      <c r="BF17" s="712">
        <f>SUM(BF12:BF16)</f>
        <v>-706793391</v>
      </c>
      <c r="BG17" s="610"/>
      <c r="BH17" s="590">
        <f t="shared" si="0"/>
        <v>105</v>
      </c>
    </row>
    <row r="18" spans="1:60" ht="14.5">
      <c r="A18" s="590"/>
      <c r="B18" s="588"/>
      <c r="C18" s="588"/>
      <c r="D18" s="590"/>
      <c r="E18" s="590"/>
      <c r="F18" s="590"/>
      <c r="G18" s="590"/>
      <c r="H18" s="590"/>
      <c r="I18" s="590"/>
      <c r="J18" s="664"/>
      <c r="K18" s="665"/>
      <c r="L18" s="664"/>
      <c r="M18" s="665"/>
      <c r="N18" s="664"/>
      <c r="O18" s="665"/>
      <c r="P18" s="590"/>
      <c r="Q18" s="590"/>
      <c r="R18" s="588"/>
      <c r="S18" s="588"/>
      <c r="T18" s="588"/>
      <c r="U18" s="588"/>
      <c r="V18" s="588"/>
      <c r="W18" s="588"/>
      <c r="X18" s="588"/>
      <c r="Y18" s="588"/>
      <c r="Z18" s="702"/>
      <c r="AA18" s="588"/>
      <c r="AB18" s="588"/>
      <c r="AC18" s="588"/>
      <c r="AD18" s="588"/>
      <c r="AE18" s="588"/>
      <c r="AF18" s="588"/>
      <c r="AG18" s="588"/>
      <c r="AH18" s="590"/>
      <c r="AI18" s="588"/>
      <c r="AJ18" s="588"/>
      <c r="AK18" s="588"/>
      <c r="AL18" s="588"/>
      <c r="AM18" s="588"/>
      <c r="AN18" s="588"/>
      <c r="AO18" s="588"/>
      <c r="AP18" s="588"/>
      <c r="AQ18" s="588"/>
      <c r="AR18" s="588"/>
      <c r="AS18" s="588"/>
      <c r="AT18" s="588"/>
      <c r="AU18" s="588"/>
      <c r="AV18" s="588"/>
      <c r="AW18" s="588"/>
      <c r="AX18" s="588"/>
      <c r="AY18" s="588"/>
      <c r="AZ18" s="588"/>
      <c r="BA18" s="588"/>
      <c r="BB18" s="588"/>
      <c r="BC18" s="588"/>
      <c r="BD18" s="588"/>
      <c r="BE18" s="588"/>
      <c r="BF18" s="590"/>
      <c r="BG18" s="610"/>
      <c r="BH18" s="590"/>
    </row>
    <row r="19" spans="1:60" ht="14.5">
      <c r="A19" s="590">
        <f>+A17+1</f>
        <v>106</v>
      </c>
      <c r="B19" s="611" t="s">
        <v>1553</v>
      </c>
      <c r="C19" s="611"/>
      <c r="D19" s="589"/>
      <c r="E19" s="590"/>
      <c r="F19" s="590"/>
      <c r="G19" s="590"/>
      <c r="H19" s="590"/>
      <c r="I19" s="590"/>
      <c r="J19" s="590"/>
      <c r="K19" s="590"/>
      <c r="L19" s="590"/>
      <c r="M19" s="590"/>
      <c r="N19" s="590"/>
      <c r="O19" s="590"/>
      <c r="P19" s="590"/>
      <c r="Q19" s="590"/>
      <c r="R19" s="588"/>
      <c r="S19" s="588"/>
      <c r="T19" s="588"/>
      <c r="U19" s="588"/>
      <c r="V19" s="588"/>
      <c r="W19" s="588"/>
      <c r="X19" s="588"/>
      <c r="Y19" s="588"/>
      <c r="Z19" s="702"/>
      <c r="AA19" s="588"/>
      <c r="AB19" s="588"/>
      <c r="AC19" s="588"/>
      <c r="AD19" s="588"/>
      <c r="AE19" s="588"/>
      <c r="AF19" s="588"/>
      <c r="AG19" s="588"/>
      <c r="AH19" s="590"/>
      <c r="AI19" s="588"/>
      <c r="AJ19" s="588"/>
      <c r="AK19" s="588"/>
      <c r="AL19" s="588"/>
      <c r="AM19" s="588"/>
      <c r="AN19" s="588"/>
      <c r="AO19" s="588"/>
      <c r="AP19" s="588"/>
      <c r="AQ19" s="588"/>
      <c r="AR19" s="588"/>
      <c r="AS19" s="588"/>
      <c r="AT19" s="588"/>
      <c r="AU19" s="588"/>
      <c r="AV19" s="588"/>
      <c r="AW19" s="588"/>
      <c r="AX19" s="588"/>
      <c r="AY19" s="588"/>
      <c r="AZ19" s="588"/>
      <c r="BA19" s="588"/>
      <c r="BB19" s="588"/>
      <c r="BC19" s="588"/>
      <c r="BD19" s="588"/>
      <c r="BE19" s="588"/>
      <c r="BF19" s="590"/>
      <c r="BG19" s="612"/>
      <c r="BH19" s="590">
        <f>A19</f>
        <v>106</v>
      </c>
    </row>
    <row r="20" spans="1:60" ht="14.5">
      <c r="A20" s="590">
        <f>+A19+1</f>
        <v>107</v>
      </c>
      <c r="B20" s="622" t="s">
        <v>1914</v>
      </c>
      <c r="C20" s="588"/>
      <c r="D20" s="590"/>
      <c r="E20" s="590"/>
      <c r="F20" s="590"/>
      <c r="G20" s="590"/>
      <c r="H20" s="712">
        <f>+H125</f>
        <v>0</v>
      </c>
      <c r="I20" s="590"/>
      <c r="J20" s="606">
        <f>J124</f>
        <v>-22361973.694661092</v>
      </c>
      <c r="K20" s="606"/>
      <c r="L20" s="606">
        <f>L124</f>
        <v>-13417682.378914446</v>
      </c>
      <c r="M20" s="606"/>
      <c r="N20" s="606">
        <f>N124</f>
        <v>-8944291.3157466538</v>
      </c>
      <c r="O20" s="606"/>
      <c r="P20" s="706" t="s">
        <v>1751</v>
      </c>
      <c r="Q20" s="590"/>
      <c r="R20" s="606">
        <f>R124</f>
        <v>0</v>
      </c>
      <c r="S20" s="606"/>
      <c r="T20" s="606">
        <f>T124</f>
        <v>-8944291.3157466538</v>
      </c>
      <c r="U20" s="606"/>
      <c r="V20" s="606">
        <f>V124</f>
        <v>0</v>
      </c>
      <c r="W20" s="606"/>
      <c r="X20" s="606">
        <f>SUM(R20:V20)</f>
        <v>-8944291.3157466538</v>
      </c>
      <c r="Y20" s="606"/>
      <c r="Z20" s="607" t="s">
        <v>1548</v>
      </c>
      <c r="AA20" s="606"/>
      <c r="AB20" s="606">
        <f>AB124</f>
        <v>0</v>
      </c>
      <c r="AC20" s="606"/>
      <c r="AD20" s="606">
        <f>AD124</f>
        <v>-3067693.3140946515</v>
      </c>
      <c r="AE20" s="606"/>
      <c r="AF20" s="606">
        <f>AF124</f>
        <v>0</v>
      </c>
      <c r="AG20" s="606"/>
      <c r="AH20" s="706" t="s">
        <v>1751</v>
      </c>
      <c r="AI20" s="606"/>
      <c r="AJ20" s="606">
        <f>AJ124</f>
        <v>0</v>
      </c>
      <c r="AK20" s="606"/>
      <c r="AL20" s="606">
        <f>AL124</f>
        <v>-5876598.0016520014</v>
      </c>
      <c r="AM20" s="606"/>
      <c r="AN20" s="606">
        <f>AN124</f>
        <v>0</v>
      </c>
      <c r="AO20" s="606"/>
      <c r="AP20" s="606">
        <f t="shared" ref="AP20:AP22" si="13">SUM(AJ20:AN20)</f>
        <v>-5876598.0016520014</v>
      </c>
      <c r="AQ20" s="606"/>
      <c r="AR20" s="606">
        <f>AR124</f>
        <v>0</v>
      </c>
      <c r="AS20" s="606"/>
      <c r="AT20" s="606">
        <f>AT124</f>
        <v>-929946.9651860015</v>
      </c>
      <c r="AU20" s="606"/>
      <c r="AV20" s="606">
        <f>AV124</f>
        <v>0</v>
      </c>
      <c r="AW20" s="606"/>
      <c r="AX20" s="606">
        <f>AX124</f>
        <v>0</v>
      </c>
      <c r="AY20" s="606"/>
      <c r="AZ20" s="606">
        <f>AZ124</f>
        <v>-4946651.0364659987</v>
      </c>
      <c r="BA20" s="606"/>
      <c r="BB20" s="606">
        <f>BB124</f>
        <v>0</v>
      </c>
      <c r="BC20" s="606"/>
      <c r="BD20" s="606">
        <f>SUM(AX20:BB20)</f>
        <v>-4946651.0364659987</v>
      </c>
      <c r="BE20" s="606"/>
      <c r="BF20" s="712">
        <f>BF125</f>
        <v>-16360800.678953011</v>
      </c>
      <c r="BG20" s="610"/>
      <c r="BH20" s="590">
        <f>A20</f>
        <v>107</v>
      </c>
    </row>
    <row r="21" spans="1:60" ht="14.5">
      <c r="A21" s="590">
        <f t="shared" ref="A21:A30" si="14">A20+1</f>
        <v>108</v>
      </c>
      <c r="B21" s="595" t="s">
        <v>632</v>
      </c>
      <c r="C21" s="588"/>
      <c r="D21" s="590"/>
      <c r="E21" s="590"/>
      <c r="F21" s="590"/>
      <c r="G21" s="590"/>
      <c r="H21" s="712">
        <f t="shared" ref="H21:H22" si="15">+H126</f>
        <v>0</v>
      </c>
      <c r="I21" s="590"/>
      <c r="J21" s="606">
        <v>0</v>
      </c>
      <c r="K21" s="606"/>
      <c r="L21" s="606">
        <v>0</v>
      </c>
      <c r="M21" s="606"/>
      <c r="N21" s="606">
        <v>0</v>
      </c>
      <c r="O21" s="606"/>
      <c r="P21" s="706" t="s">
        <v>1751</v>
      </c>
      <c r="Q21" s="590"/>
      <c r="R21" s="606">
        <f t="shared" ref="R21:R22" si="16">R125</f>
        <v>0</v>
      </c>
      <c r="S21" s="606"/>
      <c r="T21" s="606">
        <v>0</v>
      </c>
      <c r="U21" s="606"/>
      <c r="V21" s="606">
        <v>0</v>
      </c>
      <c r="W21" s="606"/>
      <c r="X21" s="606">
        <f t="shared" ref="X21:X22" si="17">SUM(R21:V21)</f>
        <v>0</v>
      </c>
      <c r="Y21" s="606"/>
      <c r="Z21" s="607" t="s">
        <v>1548</v>
      </c>
      <c r="AA21" s="606"/>
      <c r="AB21" s="606">
        <v>0</v>
      </c>
      <c r="AC21" s="606"/>
      <c r="AD21" s="606">
        <v>0</v>
      </c>
      <c r="AE21" s="606"/>
      <c r="AF21" s="606">
        <v>0</v>
      </c>
      <c r="AG21" s="606"/>
      <c r="AH21" s="706" t="s">
        <v>1751</v>
      </c>
      <c r="AI21" s="606"/>
      <c r="AJ21" s="606">
        <v>0</v>
      </c>
      <c r="AK21" s="606"/>
      <c r="AL21" s="606">
        <v>0</v>
      </c>
      <c r="AM21" s="606"/>
      <c r="AN21" s="606">
        <f t="shared" ref="AN21:AN22" si="18">AN125</f>
        <v>0</v>
      </c>
      <c r="AO21" s="606"/>
      <c r="AP21" s="606">
        <f t="shared" si="13"/>
        <v>0</v>
      </c>
      <c r="AQ21" s="606"/>
      <c r="AR21" s="606">
        <v>0</v>
      </c>
      <c r="AS21" s="606"/>
      <c r="AT21" s="606">
        <v>0</v>
      </c>
      <c r="AU21" s="606"/>
      <c r="AV21" s="606">
        <v>0</v>
      </c>
      <c r="AW21" s="606"/>
      <c r="AX21" s="606">
        <v>0</v>
      </c>
      <c r="AY21" s="606"/>
      <c r="AZ21" s="606">
        <v>0</v>
      </c>
      <c r="BA21" s="606"/>
      <c r="BB21" s="606">
        <v>0</v>
      </c>
      <c r="BC21" s="606"/>
      <c r="BD21" s="606">
        <f t="shared" ref="BD21:BD22" si="19">SUM(AX21:BB21)</f>
        <v>0</v>
      </c>
      <c r="BE21" s="606"/>
      <c r="BF21" s="712">
        <f>BF126</f>
        <v>1800105.0092228993</v>
      </c>
      <c r="BG21" s="612"/>
      <c r="BH21" s="590">
        <f>A21</f>
        <v>108</v>
      </c>
    </row>
    <row r="22" spans="1:60" ht="14.5">
      <c r="A22" s="590">
        <f t="shared" si="14"/>
        <v>109</v>
      </c>
      <c r="B22" s="595"/>
      <c r="C22" s="588"/>
      <c r="D22" s="590"/>
      <c r="E22" s="590"/>
      <c r="F22" s="590"/>
      <c r="G22" s="590"/>
      <c r="H22" s="721">
        <f t="shared" si="15"/>
        <v>0</v>
      </c>
      <c r="I22" s="590"/>
      <c r="J22" s="609">
        <v>0</v>
      </c>
      <c r="K22" s="609"/>
      <c r="L22" s="609">
        <v>0</v>
      </c>
      <c r="M22" s="609"/>
      <c r="N22" s="609">
        <v>0</v>
      </c>
      <c r="O22" s="609"/>
      <c r="P22" s="706" t="s">
        <v>1751</v>
      </c>
      <c r="Q22" s="590"/>
      <c r="R22" s="609">
        <f t="shared" si="16"/>
        <v>0</v>
      </c>
      <c r="S22" s="609"/>
      <c r="T22" s="609">
        <v>0</v>
      </c>
      <c r="U22" s="609"/>
      <c r="V22" s="609">
        <v>0</v>
      </c>
      <c r="W22" s="609"/>
      <c r="X22" s="609">
        <f t="shared" si="17"/>
        <v>0</v>
      </c>
      <c r="Y22" s="606"/>
      <c r="Z22" s="607" t="s">
        <v>1548</v>
      </c>
      <c r="AA22" s="606"/>
      <c r="AB22" s="609">
        <v>0</v>
      </c>
      <c r="AC22" s="609"/>
      <c r="AD22" s="609">
        <v>0</v>
      </c>
      <c r="AE22" s="609"/>
      <c r="AF22" s="609">
        <v>0</v>
      </c>
      <c r="AG22" s="606"/>
      <c r="AH22" s="706" t="s">
        <v>1751</v>
      </c>
      <c r="AI22" s="606"/>
      <c r="AJ22" s="609">
        <v>0</v>
      </c>
      <c r="AK22" s="609"/>
      <c r="AL22" s="609">
        <v>0</v>
      </c>
      <c r="AM22" s="609"/>
      <c r="AN22" s="609">
        <f t="shared" si="18"/>
        <v>0</v>
      </c>
      <c r="AO22" s="609"/>
      <c r="AP22" s="609">
        <f t="shared" si="13"/>
        <v>0</v>
      </c>
      <c r="AQ22" s="606"/>
      <c r="AR22" s="609">
        <v>0</v>
      </c>
      <c r="AS22" s="609"/>
      <c r="AT22" s="609">
        <v>0</v>
      </c>
      <c r="AU22" s="609"/>
      <c r="AV22" s="609">
        <v>0</v>
      </c>
      <c r="AW22" s="606"/>
      <c r="AX22" s="609">
        <v>0</v>
      </c>
      <c r="AY22" s="609"/>
      <c r="AZ22" s="609">
        <v>0</v>
      </c>
      <c r="BA22" s="609"/>
      <c r="BB22" s="609">
        <v>0</v>
      </c>
      <c r="BC22" s="609"/>
      <c r="BD22" s="609">
        <f t="shared" si="19"/>
        <v>0</v>
      </c>
      <c r="BE22" s="606"/>
      <c r="BF22" s="721">
        <f>BF127</f>
        <v>2140897.7962642731</v>
      </c>
      <c r="BG22" s="612"/>
      <c r="BH22" s="590">
        <f>A22</f>
        <v>109</v>
      </c>
    </row>
    <row r="23" spans="1:60" ht="14.5">
      <c r="A23" s="590">
        <f t="shared" si="14"/>
        <v>110</v>
      </c>
      <c r="B23" s="588" t="s">
        <v>1554</v>
      </c>
      <c r="C23" s="588"/>
      <c r="D23" s="590"/>
      <c r="E23" s="590"/>
      <c r="F23" s="590"/>
      <c r="G23" s="590"/>
      <c r="H23" s="712">
        <f>SUM(H17:H22)</f>
        <v>0</v>
      </c>
      <c r="I23" s="590"/>
      <c r="J23" s="606">
        <f>SUM(J17:J22)</f>
        <v>-1718692045.6946611</v>
      </c>
      <c r="K23" s="606"/>
      <c r="L23" s="606">
        <f t="shared" ref="L23" si="20">SUM(L17:L22)</f>
        <v>-1100193299.3789144</v>
      </c>
      <c r="M23" s="606"/>
      <c r="N23" s="606">
        <f t="shared" ref="N23" si="21">SUM(N17:N22)</f>
        <v>-618498747.31574667</v>
      </c>
      <c r="O23" s="606"/>
      <c r="P23" s="712"/>
      <c r="Q23" s="590"/>
      <c r="R23" s="606">
        <f>SUM(R17:R22)</f>
        <v>-473357154</v>
      </c>
      <c r="S23" s="606"/>
      <c r="T23" s="606">
        <f t="shared" ref="T23" si="22">SUM(T17:T22)</f>
        <v>-149032297.31574667</v>
      </c>
      <c r="U23" s="606"/>
      <c r="V23" s="606">
        <f t="shared" ref="V23" si="23">SUM(V17:V22)</f>
        <v>3890704</v>
      </c>
      <c r="W23" s="606"/>
      <c r="X23" s="606">
        <f>SUM(X17:X22)</f>
        <v>-618498747.31574667</v>
      </c>
      <c r="Y23" s="606"/>
      <c r="Z23" s="712"/>
      <c r="AA23" s="606"/>
      <c r="AB23" s="606">
        <f>SUM(AB17:AB22)</f>
        <v>-31056410.407457024</v>
      </c>
      <c r="AC23" s="606"/>
      <c r="AD23" s="606">
        <f t="shared" ref="AD23" si="24">SUM(AD17:AD22)</f>
        <v>-52637196.209939137</v>
      </c>
      <c r="AE23" s="606"/>
      <c r="AF23" s="606">
        <f t="shared" ref="AF23" si="25">SUM(AF17:AF22)</f>
        <v>357465.50417482667</v>
      </c>
      <c r="AG23" s="606"/>
      <c r="AH23" s="712"/>
      <c r="AI23" s="606"/>
      <c r="AJ23" s="606">
        <f>SUM(AJ17:AJ22)</f>
        <v>-442300743.29848146</v>
      </c>
      <c r="AK23" s="606"/>
      <c r="AL23" s="606">
        <f t="shared" ref="AL23" si="26">SUM(AL17:AL22)</f>
        <v>-96395101.126877248</v>
      </c>
      <c r="AM23" s="606"/>
      <c r="AN23" s="606">
        <f t="shared" ref="AN23" si="27">SUM(AN17:AN22)</f>
        <v>3533238.631668462</v>
      </c>
      <c r="AO23" s="606"/>
      <c r="AP23" s="606">
        <f t="shared" ref="AP23" si="28">SUM(AP17:AP22)</f>
        <v>-535162605.7936902</v>
      </c>
      <c r="AQ23" s="606"/>
      <c r="AR23" s="606">
        <f>SUM(AR17:AR22)</f>
        <v>-6513798.7793845115</v>
      </c>
      <c r="AS23" s="606"/>
      <c r="AT23" s="606">
        <f t="shared" ref="AT23" si="29">SUM(AT17:AT22)</f>
        <v>-15254120.109379167</v>
      </c>
      <c r="AU23" s="606"/>
      <c r="AV23" s="606">
        <f t="shared" ref="AV23" si="30">SUM(AV17:AV22)</f>
        <v>559120.10937917756</v>
      </c>
      <c r="AW23" s="606"/>
      <c r="AX23" s="606">
        <f>SUM(AX17:AX22)</f>
        <v>-435786944.51909685</v>
      </c>
      <c r="AY23" s="606"/>
      <c r="AZ23" s="606">
        <f t="shared" ref="AZ23" si="31">SUM(AZ17:AZ22)</f>
        <v>-81140981.017498106</v>
      </c>
      <c r="BA23" s="606"/>
      <c r="BB23" s="606">
        <f t="shared" ref="BB23" si="32">SUM(BB17:BB22)</f>
        <v>2974118.5222892845</v>
      </c>
      <c r="BC23" s="606"/>
      <c r="BD23" s="606">
        <f t="shared" ref="BD23" si="33">SUM(BD17:BD22)</f>
        <v>-513953807.01430571</v>
      </c>
      <c r="BE23" s="606"/>
      <c r="BF23" s="712">
        <f>SUM(BF17:BF22)</f>
        <v>-719213188.8734659</v>
      </c>
      <c r="BG23" s="612"/>
      <c r="BH23" s="590">
        <f>A23</f>
        <v>110</v>
      </c>
    </row>
    <row r="24" spans="1:60" ht="14.5">
      <c r="A24" s="590"/>
      <c r="B24" s="588"/>
      <c r="C24" s="588"/>
      <c r="D24" s="590"/>
      <c r="E24" s="590"/>
      <c r="F24" s="590"/>
      <c r="G24" s="590"/>
      <c r="H24" s="590"/>
      <c r="I24" s="590"/>
      <c r="J24" s="590"/>
      <c r="K24" s="590"/>
      <c r="L24" s="590"/>
      <c r="M24" s="590"/>
      <c r="N24" s="590"/>
      <c r="O24" s="590"/>
      <c r="P24" s="590"/>
      <c r="Q24" s="590"/>
      <c r="R24" s="606"/>
      <c r="S24" s="606"/>
      <c r="T24" s="606"/>
      <c r="U24" s="606"/>
      <c r="V24" s="606"/>
      <c r="W24" s="606"/>
      <c r="X24" s="606"/>
      <c r="Y24" s="606"/>
      <c r="Z24" s="712"/>
      <c r="AA24" s="606"/>
      <c r="AB24" s="606"/>
      <c r="AC24" s="606"/>
      <c r="AD24" s="606"/>
      <c r="AE24" s="606"/>
      <c r="AF24" s="606"/>
      <c r="AG24" s="606"/>
      <c r="AH24" s="712"/>
      <c r="AI24" s="606"/>
      <c r="AJ24" s="606"/>
      <c r="AK24" s="606"/>
      <c r="AL24" s="606"/>
      <c r="AM24" s="606"/>
      <c r="AN24" s="606"/>
      <c r="AO24" s="606"/>
      <c r="AP24" s="606"/>
      <c r="AQ24" s="606"/>
      <c r="AR24" s="606"/>
      <c r="AS24" s="606"/>
      <c r="AT24" s="606"/>
      <c r="AU24" s="606"/>
      <c r="AV24" s="606"/>
      <c r="AW24" s="606"/>
      <c r="AX24" s="606"/>
      <c r="AY24" s="606"/>
      <c r="AZ24" s="606"/>
      <c r="BA24" s="606"/>
      <c r="BB24" s="606"/>
      <c r="BC24" s="606"/>
      <c r="BD24" s="606"/>
      <c r="BE24" s="606"/>
      <c r="BF24" s="590"/>
      <c r="BG24" s="612"/>
      <c r="BH24" s="590"/>
    </row>
    <row r="25" spans="1:60" ht="14.5">
      <c r="A25" s="323" t="s">
        <v>122</v>
      </c>
      <c r="B25" s="611" t="s">
        <v>1555</v>
      </c>
      <c r="C25" s="613"/>
      <c r="D25" s="589" t="s">
        <v>123</v>
      </c>
      <c r="E25" s="590"/>
      <c r="F25" s="590"/>
      <c r="G25" s="590"/>
      <c r="H25" s="590"/>
      <c r="I25" s="590"/>
      <c r="J25" s="590"/>
      <c r="K25" s="590"/>
      <c r="L25" s="590"/>
      <c r="M25" s="590"/>
      <c r="N25" s="590"/>
      <c r="O25" s="590"/>
      <c r="P25" s="590"/>
      <c r="Q25" s="590"/>
      <c r="R25" s="606"/>
      <c r="S25" s="606"/>
      <c r="T25" s="606"/>
      <c r="U25" s="606"/>
      <c r="V25" s="588"/>
      <c r="W25" s="588"/>
      <c r="X25" s="588"/>
      <c r="Y25" s="588"/>
      <c r="Z25" s="702"/>
      <c r="AA25" s="588"/>
      <c r="AB25" s="588"/>
      <c r="AC25" s="588"/>
      <c r="AD25" s="588"/>
      <c r="AE25" s="588"/>
      <c r="AF25" s="588"/>
      <c r="AG25" s="588"/>
      <c r="AH25" s="702"/>
      <c r="AI25" s="588"/>
      <c r="AJ25" s="606"/>
      <c r="AK25" s="606"/>
      <c r="AL25" s="606"/>
      <c r="AM25" s="606"/>
      <c r="AN25" s="588"/>
      <c r="AO25" s="588"/>
      <c r="AP25" s="588"/>
      <c r="AQ25" s="588"/>
      <c r="AR25" s="588"/>
      <c r="AS25" s="588"/>
      <c r="AT25" s="606"/>
      <c r="AU25" s="588"/>
      <c r="AV25" s="588"/>
      <c r="AW25" s="588"/>
      <c r="AX25" s="606"/>
      <c r="AY25" s="606"/>
      <c r="AZ25" s="606"/>
      <c r="BA25" s="606"/>
      <c r="BB25" s="588"/>
      <c r="BC25" s="588"/>
      <c r="BD25" s="588"/>
      <c r="BE25" s="588"/>
      <c r="BF25" s="590"/>
      <c r="BG25" s="612"/>
      <c r="BH25" s="616" t="s">
        <v>122</v>
      </c>
    </row>
    <row r="26" spans="1:60" ht="14.5">
      <c r="A26" s="590">
        <v>200</v>
      </c>
      <c r="B26" s="588" t="s">
        <v>1561</v>
      </c>
      <c r="C26" s="588"/>
      <c r="D26" s="590"/>
      <c r="E26" s="590"/>
      <c r="F26" s="590"/>
      <c r="G26" s="590"/>
      <c r="H26" s="721">
        <f>ROUND(SUM(H27:H31),0)</f>
        <v>0</v>
      </c>
      <c r="I26" s="590"/>
      <c r="J26" s="609">
        <f>ROUND(SUM(J27:J31),0)</f>
        <v>-1695727972</v>
      </c>
      <c r="K26" s="606"/>
      <c r="L26" s="609">
        <f>ROUND(SUM(L27:L31),0)</f>
        <v>-1087798598</v>
      </c>
      <c r="M26" s="606"/>
      <c r="N26" s="609">
        <f>ROUND(SUM(N27:N31),0)</f>
        <v>-607929374</v>
      </c>
      <c r="O26" s="590"/>
      <c r="P26" s="590"/>
      <c r="Q26" s="590"/>
      <c r="R26" s="609">
        <f>ROUND(SUM(R27:R31),0)</f>
        <v>-607929374</v>
      </c>
      <c r="S26" s="606"/>
      <c r="T26" s="609">
        <f>ROUND(SUM(T27:T31),0)</f>
        <v>0</v>
      </c>
      <c r="U26" s="606"/>
      <c r="V26" s="609">
        <f>ROUND(SUM(V27:V31),0)</f>
        <v>0</v>
      </c>
      <c r="W26" s="606"/>
      <c r="X26" s="609">
        <f>ROUND(SUM(X27:X31),0)</f>
        <v>-607929374</v>
      </c>
      <c r="Y26" s="606"/>
      <c r="Z26" s="712"/>
      <c r="AA26" s="606"/>
      <c r="AB26" s="609">
        <f>SUM(AB27:AB31)</f>
        <v>-39885536.743633352</v>
      </c>
      <c r="AC26" s="606"/>
      <c r="AD26" s="609">
        <f>SUM(AD27:AD31)</f>
        <v>0</v>
      </c>
      <c r="AE26" s="606"/>
      <c r="AF26" s="609">
        <f>SUM(AF27:AF31)</f>
        <v>0</v>
      </c>
      <c r="AG26" s="606"/>
      <c r="AH26" s="712"/>
      <c r="AI26" s="606"/>
      <c r="AJ26" s="609">
        <f>SUM(AJ27:AJ31)</f>
        <v>-568043837.16833913</v>
      </c>
      <c r="AK26" s="606"/>
      <c r="AL26" s="609">
        <f>SUM(AL27:AL31)</f>
        <v>0</v>
      </c>
      <c r="AM26" s="606"/>
      <c r="AN26" s="609">
        <f>SUM(AN27:AN31)</f>
        <v>0</v>
      </c>
      <c r="AO26" s="606"/>
      <c r="AP26" s="609">
        <f>SUM(AP27:AP31)</f>
        <v>-568043837.16833913</v>
      </c>
      <c r="AQ26" s="606"/>
      <c r="AR26" s="609">
        <f>SUM(AR27:AR31)</f>
        <v>-8365627.4873481328</v>
      </c>
      <c r="AS26" s="606"/>
      <c r="AT26" s="609">
        <f>SUM(AT27:AT31)</f>
        <v>0</v>
      </c>
      <c r="AU26" s="606"/>
      <c r="AV26" s="609">
        <f>SUM(AV27:AV31)</f>
        <v>0</v>
      </c>
      <c r="AW26" s="606"/>
      <c r="AX26" s="609">
        <f>SUM(AX27:AX31)</f>
        <v>-559678209.68099093</v>
      </c>
      <c r="AY26" s="606"/>
      <c r="AZ26" s="609">
        <f>SUM(AZ27:AZ31)</f>
        <v>0</v>
      </c>
      <c r="BA26" s="606"/>
      <c r="BB26" s="609">
        <f>SUM(BB27:BB31)</f>
        <v>0</v>
      </c>
      <c r="BC26" s="606"/>
      <c r="BD26" s="609">
        <f>SUM(BD27:BD31)</f>
        <v>-559678209.68099093</v>
      </c>
      <c r="BE26" s="606"/>
      <c r="BF26" s="721">
        <f>ROUND(SUM(BF27:BF31),0)</f>
        <v>-777153828</v>
      </c>
      <c r="BG26" s="610"/>
      <c r="BH26" s="590">
        <f t="shared" ref="BH26:BH31" si="34">A26</f>
        <v>200</v>
      </c>
    </row>
    <row r="27" spans="1:60" ht="14.5">
      <c r="A27" s="590">
        <f t="shared" si="14"/>
        <v>201</v>
      </c>
      <c r="B27" s="622" t="s">
        <v>1775</v>
      </c>
      <c r="C27" s="588"/>
      <c r="D27" s="588" t="s">
        <v>1752</v>
      </c>
      <c r="E27" s="590"/>
      <c r="F27" s="706" t="s">
        <v>1753</v>
      </c>
      <c r="G27" s="590"/>
      <c r="H27" s="723"/>
      <c r="I27" s="590"/>
      <c r="J27" s="620">
        <v>-177951619.23296779</v>
      </c>
      <c r="K27" s="606"/>
      <c r="L27" s="620">
        <v>-177951617.90316525</v>
      </c>
      <c r="M27" s="606"/>
      <c r="N27" s="620">
        <v>-1.3298025289016575</v>
      </c>
      <c r="O27" s="590"/>
      <c r="P27" s="706" t="s">
        <v>1749</v>
      </c>
      <c r="Q27" s="590"/>
      <c r="R27" s="606">
        <f>N27</f>
        <v>-1.3298025289016575</v>
      </c>
      <c r="S27" s="606"/>
      <c r="T27" s="606">
        <v>0</v>
      </c>
      <c r="U27" s="606"/>
      <c r="V27" s="606">
        <v>0</v>
      </c>
      <c r="W27" s="606"/>
      <c r="X27" s="606">
        <f t="shared" ref="X27:X31" si="35">SUM(R27:V27)</f>
        <v>-1.3298025289016575</v>
      </c>
      <c r="Y27" s="606"/>
      <c r="Z27" s="607" t="s">
        <v>1548</v>
      </c>
      <c r="AA27" s="606"/>
      <c r="AB27" s="620">
        <v>0</v>
      </c>
      <c r="AC27" s="606"/>
      <c r="AD27" s="606">
        <v>0</v>
      </c>
      <c r="AE27" s="606"/>
      <c r="AF27" s="606">
        <v>0</v>
      </c>
      <c r="AG27" s="606"/>
      <c r="AH27" s="607" t="s">
        <v>1759</v>
      </c>
      <c r="AI27" s="606"/>
      <c r="AJ27" s="605">
        <f t="shared" ref="AJ27:AJ31" si="36">+R27-AB27</f>
        <v>-1.3298025289016575</v>
      </c>
      <c r="AK27" s="606"/>
      <c r="AL27" s="605">
        <f t="shared" ref="AL27:AL31" si="37">+T27-AD27</f>
        <v>0</v>
      </c>
      <c r="AM27" s="606"/>
      <c r="AN27" s="605">
        <f t="shared" ref="AN27:AN31" si="38">+V27-AF27</f>
        <v>0</v>
      </c>
      <c r="AO27" s="606"/>
      <c r="AP27" s="606">
        <f t="shared" ref="AP27:AP31" si="39">SUM(AJ27:AN27)</f>
        <v>-1.3298025289016575</v>
      </c>
      <c r="AQ27" s="606"/>
      <c r="AR27" s="620">
        <v>0</v>
      </c>
      <c r="AS27" s="606"/>
      <c r="AT27" s="606">
        <v>0</v>
      </c>
      <c r="AU27" s="606"/>
      <c r="AV27" s="606">
        <v>0</v>
      </c>
      <c r="AW27" s="606"/>
      <c r="AX27" s="605">
        <f>+AJ27-AR27</f>
        <v>-1.3298025289016575</v>
      </c>
      <c r="AY27" s="606"/>
      <c r="AZ27" s="605">
        <f>+AL27-AT27</f>
        <v>0</v>
      </c>
      <c r="BA27" s="606"/>
      <c r="BB27" s="605">
        <f>+AN27-AV27</f>
        <v>0</v>
      </c>
      <c r="BC27" s="606"/>
      <c r="BD27" s="606">
        <f t="shared" ref="BD27:BD31" si="40">SUM(AX27:BB27)</f>
        <v>-1.3298025289016575</v>
      </c>
      <c r="BE27" s="606"/>
      <c r="BF27" s="712">
        <f>+BD27*$BF$9</f>
        <v>-1.8465273589094393</v>
      </c>
      <c r="BG27" s="610"/>
      <c r="BH27" s="590">
        <f t="shared" si="34"/>
        <v>201</v>
      </c>
    </row>
    <row r="28" spans="1:60" ht="14.5">
      <c r="A28" s="590">
        <f t="shared" si="14"/>
        <v>202</v>
      </c>
      <c r="B28" s="622" t="s">
        <v>1776</v>
      </c>
      <c r="C28" s="588"/>
      <c r="D28" s="588" t="s">
        <v>1752</v>
      </c>
      <c r="E28" s="590"/>
      <c r="F28" s="706" t="s">
        <v>1753</v>
      </c>
      <c r="G28" s="590"/>
      <c r="H28" s="723"/>
      <c r="I28" s="590"/>
      <c r="J28" s="620">
        <v>-1580569733.7014818</v>
      </c>
      <c r="K28" s="606"/>
      <c r="L28" s="620">
        <v>-947208768.22001982</v>
      </c>
      <c r="M28" s="606"/>
      <c r="N28" s="620">
        <v>-633360965.481462</v>
      </c>
      <c r="O28" s="590"/>
      <c r="P28" s="706" t="s">
        <v>1749</v>
      </c>
      <c r="Q28" s="590"/>
      <c r="R28" s="606">
        <f t="shared" ref="R28:R29" si="41">N28</f>
        <v>-633360965.481462</v>
      </c>
      <c r="S28" s="606"/>
      <c r="T28" s="606">
        <v>0</v>
      </c>
      <c r="U28" s="606"/>
      <c r="V28" s="606">
        <v>0</v>
      </c>
      <c r="W28" s="606"/>
      <c r="X28" s="606">
        <f t="shared" si="35"/>
        <v>-633360965.481462</v>
      </c>
      <c r="Y28" s="606"/>
      <c r="Z28" s="607" t="s">
        <v>1548</v>
      </c>
      <c r="AA28" s="606"/>
      <c r="AB28" s="620">
        <v>-41554073.877684623</v>
      </c>
      <c r="AC28" s="606"/>
      <c r="AD28" s="606">
        <v>0</v>
      </c>
      <c r="AE28" s="606"/>
      <c r="AF28" s="606">
        <v>0</v>
      </c>
      <c r="AG28" s="606"/>
      <c r="AH28" s="607" t="s">
        <v>1759</v>
      </c>
      <c r="AI28" s="606"/>
      <c r="AJ28" s="605">
        <f t="shared" si="36"/>
        <v>-591806891.60377741</v>
      </c>
      <c r="AK28" s="606"/>
      <c r="AL28" s="605">
        <f t="shared" si="37"/>
        <v>0</v>
      </c>
      <c r="AM28" s="606"/>
      <c r="AN28" s="605">
        <f t="shared" si="38"/>
        <v>0</v>
      </c>
      <c r="AO28" s="606"/>
      <c r="AP28" s="606">
        <f t="shared" si="39"/>
        <v>-591806891.60377741</v>
      </c>
      <c r="AQ28" s="606"/>
      <c r="AR28" s="620">
        <v>-8715587.9304530751</v>
      </c>
      <c r="AS28" s="606"/>
      <c r="AT28" s="606">
        <v>0</v>
      </c>
      <c r="AU28" s="606"/>
      <c r="AV28" s="606">
        <v>0</v>
      </c>
      <c r="AW28" s="606"/>
      <c r="AX28" s="605">
        <f>+AJ28-AR28</f>
        <v>-583091303.67332435</v>
      </c>
      <c r="AY28" s="606"/>
      <c r="AZ28" s="605">
        <f>+AL28-AT28</f>
        <v>0</v>
      </c>
      <c r="BA28" s="606"/>
      <c r="BB28" s="605">
        <f>+AN28-AV28</f>
        <v>0</v>
      </c>
      <c r="BC28" s="606"/>
      <c r="BD28" s="606">
        <f t="shared" si="40"/>
        <v>-583091303.67332435</v>
      </c>
      <c r="BE28" s="606"/>
      <c r="BF28" s="712">
        <f t="shared" ref="BF28:BF31" si="42">+BD28*$BF$9</f>
        <v>-809664609.27417135</v>
      </c>
      <c r="BG28" s="610"/>
      <c r="BH28" s="590">
        <f t="shared" si="34"/>
        <v>202</v>
      </c>
    </row>
    <row r="29" spans="1:60" ht="14.5">
      <c r="A29" s="590">
        <f t="shared" si="14"/>
        <v>203</v>
      </c>
      <c r="B29" s="622"/>
      <c r="C29" s="588"/>
      <c r="D29" s="588" t="s">
        <v>1752</v>
      </c>
      <c r="E29" s="590"/>
      <c r="F29" s="706" t="s">
        <v>1753</v>
      </c>
      <c r="G29" s="590"/>
      <c r="H29" s="723"/>
      <c r="I29" s="590"/>
      <c r="J29" s="620">
        <v>62793380.796865478</v>
      </c>
      <c r="K29" s="606"/>
      <c r="L29" s="620">
        <v>37361787.897573374</v>
      </c>
      <c r="M29" s="606"/>
      <c r="N29" s="620">
        <v>25431592.899292093</v>
      </c>
      <c r="O29" s="590"/>
      <c r="P29" s="706" t="s">
        <v>1749</v>
      </c>
      <c r="Q29" s="590"/>
      <c r="R29" s="606">
        <f t="shared" si="41"/>
        <v>25431592.899292093</v>
      </c>
      <c r="S29" s="606"/>
      <c r="T29" s="606">
        <v>0</v>
      </c>
      <c r="U29" s="606"/>
      <c r="V29" s="606">
        <v>0</v>
      </c>
      <c r="W29" s="606"/>
      <c r="X29" s="606">
        <f t="shared" si="35"/>
        <v>25431592.899292093</v>
      </c>
      <c r="Y29" s="606"/>
      <c r="Z29" s="607" t="s">
        <v>1548</v>
      </c>
      <c r="AA29" s="606"/>
      <c r="AB29" s="620">
        <v>1668537.1340512689</v>
      </c>
      <c r="AC29" s="606"/>
      <c r="AD29" s="606">
        <v>0</v>
      </c>
      <c r="AE29" s="606"/>
      <c r="AF29" s="606">
        <v>0</v>
      </c>
      <c r="AG29" s="606"/>
      <c r="AH29" s="607" t="s">
        <v>1759</v>
      </c>
      <c r="AI29" s="606"/>
      <c r="AJ29" s="605">
        <f t="shared" si="36"/>
        <v>23763055.765240826</v>
      </c>
      <c r="AK29" s="606"/>
      <c r="AL29" s="605">
        <f t="shared" si="37"/>
        <v>0</v>
      </c>
      <c r="AM29" s="606"/>
      <c r="AN29" s="605">
        <f t="shared" si="38"/>
        <v>0</v>
      </c>
      <c r="AO29" s="606"/>
      <c r="AP29" s="606">
        <f t="shared" si="39"/>
        <v>23763055.765240826</v>
      </c>
      <c r="AQ29" s="606"/>
      <c r="AR29" s="620">
        <v>349960.4431049421</v>
      </c>
      <c r="AS29" s="606"/>
      <c r="AT29" s="606">
        <v>0</v>
      </c>
      <c r="AU29" s="606"/>
      <c r="AV29" s="606">
        <v>0</v>
      </c>
      <c r="AW29" s="606"/>
      <c r="AX29" s="605">
        <f>+AJ29-AR29</f>
        <v>23413095.322135884</v>
      </c>
      <c r="AY29" s="606"/>
      <c r="AZ29" s="605">
        <f>+AL29-AT29</f>
        <v>0</v>
      </c>
      <c r="BA29" s="606"/>
      <c r="BB29" s="605">
        <f>+AN29-AV29</f>
        <v>0</v>
      </c>
      <c r="BC29" s="606"/>
      <c r="BD29" s="606">
        <f t="shared" si="40"/>
        <v>23413095.322135884</v>
      </c>
      <c r="BE29" s="606"/>
      <c r="BF29" s="712">
        <f t="shared" si="42"/>
        <v>32510782.713570636</v>
      </c>
      <c r="BG29" s="610"/>
      <c r="BH29" s="590">
        <f t="shared" si="34"/>
        <v>203</v>
      </c>
    </row>
    <row r="30" spans="1:60" ht="14.5">
      <c r="A30" s="590">
        <f t="shared" si="14"/>
        <v>204</v>
      </c>
      <c r="B30" s="621"/>
      <c r="C30" s="588"/>
      <c r="D30" s="590"/>
      <c r="E30" s="590"/>
      <c r="F30" s="590"/>
      <c r="G30" s="590"/>
      <c r="H30" s="723"/>
      <c r="I30" s="590"/>
      <c r="J30" s="620"/>
      <c r="K30" s="606"/>
      <c r="L30" s="620"/>
      <c r="M30" s="606"/>
      <c r="N30" s="620"/>
      <c r="O30" s="590"/>
      <c r="P30" s="590"/>
      <c r="Q30" s="590"/>
      <c r="R30" s="606">
        <v>0</v>
      </c>
      <c r="S30" s="606"/>
      <c r="T30" s="606">
        <v>0</v>
      </c>
      <c r="U30" s="606"/>
      <c r="V30" s="606">
        <v>0</v>
      </c>
      <c r="W30" s="606"/>
      <c r="X30" s="606">
        <f t="shared" si="35"/>
        <v>0</v>
      </c>
      <c r="Y30" s="606"/>
      <c r="Z30" s="712"/>
      <c r="AA30" s="606"/>
      <c r="AB30" s="620">
        <v>0</v>
      </c>
      <c r="AC30" s="606"/>
      <c r="AD30" s="606">
        <v>0</v>
      </c>
      <c r="AE30" s="606"/>
      <c r="AF30" s="606">
        <v>0</v>
      </c>
      <c r="AG30" s="606"/>
      <c r="AH30" s="712"/>
      <c r="AI30" s="606"/>
      <c r="AJ30" s="605">
        <f t="shared" si="36"/>
        <v>0</v>
      </c>
      <c r="AK30" s="606"/>
      <c r="AL30" s="605">
        <f t="shared" si="37"/>
        <v>0</v>
      </c>
      <c r="AM30" s="606"/>
      <c r="AN30" s="605">
        <f t="shared" si="38"/>
        <v>0</v>
      </c>
      <c r="AO30" s="606"/>
      <c r="AP30" s="606">
        <f t="shared" si="39"/>
        <v>0</v>
      </c>
      <c r="AQ30" s="606"/>
      <c r="AR30" s="620"/>
      <c r="AS30" s="606"/>
      <c r="AT30" s="606">
        <v>0</v>
      </c>
      <c r="AU30" s="606"/>
      <c r="AV30" s="606">
        <v>0</v>
      </c>
      <c r="AW30" s="606"/>
      <c r="AX30" s="605">
        <f>+AJ30-AR30</f>
        <v>0</v>
      </c>
      <c r="AY30" s="606"/>
      <c r="AZ30" s="605">
        <f>+AL30-AT30</f>
        <v>0</v>
      </c>
      <c r="BA30" s="606"/>
      <c r="BB30" s="605">
        <f>+AN30-AV30</f>
        <v>0</v>
      </c>
      <c r="BC30" s="606"/>
      <c r="BD30" s="606">
        <f t="shared" si="40"/>
        <v>0</v>
      </c>
      <c r="BE30" s="606"/>
      <c r="BF30" s="712">
        <f t="shared" si="42"/>
        <v>0</v>
      </c>
      <c r="BG30" s="610"/>
      <c r="BH30" s="590">
        <f t="shared" si="34"/>
        <v>204</v>
      </c>
    </row>
    <row r="31" spans="1:60" ht="14.5">
      <c r="A31" s="590">
        <f>+A30+1</f>
        <v>205</v>
      </c>
      <c r="B31" s="621"/>
      <c r="C31" s="614"/>
      <c r="D31" s="588"/>
      <c r="E31" s="588"/>
      <c r="F31" s="706"/>
      <c r="G31" s="588"/>
      <c r="H31" s="723"/>
      <c r="I31" s="588"/>
      <c r="J31" s="620"/>
      <c r="K31" s="606"/>
      <c r="L31" s="620"/>
      <c r="M31" s="606"/>
      <c r="N31" s="620"/>
      <c r="O31" s="588"/>
      <c r="P31" s="702"/>
      <c r="Q31" s="588"/>
      <c r="R31" s="606">
        <v>0</v>
      </c>
      <c r="S31" s="606"/>
      <c r="T31" s="606">
        <v>0</v>
      </c>
      <c r="U31" s="606"/>
      <c r="V31" s="606">
        <v>0</v>
      </c>
      <c r="W31" s="606"/>
      <c r="X31" s="606">
        <f t="shared" si="35"/>
        <v>0</v>
      </c>
      <c r="Y31" s="606"/>
      <c r="Z31" s="712"/>
      <c r="AA31" s="606"/>
      <c r="AB31" s="620">
        <v>0</v>
      </c>
      <c r="AC31" s="606"/>
      <c r="AD31" s="606">
        <v>0</v>
      </c>
      <c r="AE31" s="606"/>
      <c r="AF31" s="606">
        <v>0</v>
      </c>
      <c r="AG31" s="606"/>
      <c r="AH31" s="712"/>
      <c r="AI31" s="606"/>
      <c r="AJ31" s="605">
        <f t="shared" si="36"/>
        <v>0</v>
      </c>
      <c r="AK31" s="606"/>
      <c r="AL31" s="605">
        <f t="shared" si="37"/>
        <v>0</v>
      </c>
      <c r="AM31" s="606"/>
      <c r="AN31" s="605">
        <f t="shared" si="38"/>
        <v>0</v>
      </c>
      <c r="AO31" s="606"/>
      <c r="AP31" s="606">
        <f t="shared" si="39"/>
        <v>0</v>
      </c>
      <c r="AQ31" s="615"/>
      <c r="AR31" s="620"/>
      <c r="AS31" s="606"/>
      <c r="AT31" s="606">
        <v>0</v>
      </c>
      <c r="AU31" s="606"/>
      <c r="AV31" s="606">
        <v>0</v>
      </c>
      <c r="AW31" s="606"/>
      <c r="AX31" s="605">
        <f>+AJ31-AR31</f>
        <v>0</v>
      </c>
      <c r="AY31" s="606"/>
      <c r="AZ31" s="605">
        <f>+AL31-AT31</f>
        <v>0</v>
      </c>
      <c r="BA31" s="606"/>
      <c r="BB31" s="605">
        <f>+AN31-AV31</f>
        <v>0</v>
      </c>
      <c r="BC31" s="606"/>
      <c r="BD31" s="606">
        <f t="shared" si="40"/>
        <v>0</v>
      </c>
      <c r="BE31" s="615"/>
      <c r="BF31" s="712">
        <f t="shared" si="42"/>
        <v>0</v>
      </c>
      <c r="BG31" s="588"/>
      <c r="BH31" s="590">
        <f t="shared" si="34"/>
        <v>205</v>
      </c>
    </row>
    <row r="32" spans="1:60" ht="14.5">
      <c r="A32" s="590"/>
      <c r="B32" s="595"/>
      <c r="C32" s="614"/>
      <c r="D32" s="588"/>
      <c r="E32" s="588"/>
      <c r="F32" s="706"/>
      <c r="G32" s="588"/>
      <c r="H32" s="712"/>
      <c r="I32" s="588"/>
      <c r="J32" s="606"/>
      <c r="K32" s="606"/>
      <c r="L32" s="606"/>
      <c r="M32" s="606"/>
      <c r="N32" s="606"/>
      <c r="O32" s="588"/>
      <c r="P32" s="702"/>
      <c r="Q32" s="588"/>
      <c r="R32" s="606"/>
      <c r="S32" s="606"/>
      <c r="T32" s="606"/>
      <c r="U32" s="606"/>
      <c r="V32" s="606"/>
      <c r="W32" s="606"/>
      <c r="X32" s="606"/>
      <c r="Y32" s="606"/>
      <c r="Z32" s="712"/>
      <c r="AA32" s="606"/>
      <c r="AB32" s="606"/>
      <c r="AC32" s="606"/>
      <c r="AD32" s="606"/>
      <c r="AE32" s="606"/>
      <c r="AF32" s="606"/>
      <c r="AG32" s="606"/>
      <c r="AH32" s="712"/>
      <c r="AI32" s="606"/>
      <c r="AJ32" s="606"/>
      <c r="AK32" s="606"/>
      <c r="AL32" s="606"/>
      <c r="AM32" s="606"/>
      <c r="AN32" s="606"/>
      <c r="AO32" s="606"/>
      <c r="AP32" s="606"/>
      <c r="AQ32" s="615"/>
      <c r="AR32" s="606"/>
      <c r="AS32" s="606"/>
      <c r="AT32" s="606"/>
      <c r="AU32" s="606"/>
      <c r="AV32" s="606"/>
      <c r="AW32" s="606"/>
      <c r="AX32" s="606"/>
      <c r="AY32" s="606"/>
      <c r="AZ32" s="606"/>
      <c r="BA32" s="606"/>
      <c r="BB32" s="606"/>
      <c r="BC32" s="606"/>
      <c r="BD32" s="606"/>
      <c r="BE32" s="615"/>
      <c r="BF32" s="712"/>
      <c r="BG32" s="588"/>
      <c r="BH32" s="590"/>
    </row>
    <row r="33" spans="1:60" ht="14.5">
      <c r="A33" s="323" t="s">
        <v>122</v>
      </c>
      <c r="B33" s="587"/>
      <c r="F33" s="715"/>
      <c r="H33" s="705"/>
      <c r="BH33" s="616" t="s">
        <v>122</v>
      </c>
    </row>
    <row r="34" spans="1:60" ht="14.5">
      <c r="A34" s="590">
        <v>300</v>
      </c>
      <c r="B34" s="588" t="s">
        <v>1556</v>
      </c>
      <c r="F34" s="715"/>
      <c r="H34" s="721">
        <f>SUM(H35:H39)</f>
        <v>0</v>
      </c>
      <c r="J34" s="609">
        <f>SUM(J35:J39)</f>
        <v>0</v>
      </c>
      <c r="K34" s="606"/>
      <c r="L34" s="609">
        <f>SUM(L35:L39)</f>
        <v>0</v>
      </c>
      <c r="M34" s="606"/>
      <c r="N34" s="609">
        <f>SUM(N35:N39)</f>
        <v>0</v>
      </c>
      <c r="O34" s="590"/>
      <c r="P34" s="590"/>
      <c r="Q34" s="590"/>
      <c r="R34" s="609">
        <f>SUM(R35:R39)</f>
        <v>0</v>
      </c>
      <c r="S34" s="606"/>
      <c r="T34" s="609">
        <f>SUM(T35:T39)</f>
        <v>0</v>
      </c>
      <c r="U34" s="606"/>
      <c r="V34" s="609">
        <f>SUM(V35:V39)</f>
        <v>0</v>
      </c>
      <c r="W34" s="606"/>
      <c r="X34" s="609">
        <f>SUM(X35:X39)</f>
        <v>0</v>
      </c>
      <c r="Y34" s="606"/>
      <c r="Z34" s="712"/>
      <c r="AA34" s="606"/>
      <c r="AB34" s="609">
        <f>SUM(AB35:AB39)</f>
        <v>0</v>
      </c>
      <c r="AC34" s="606"/>
      <c r="AD34" s="609">
        <f>SUM(AD35:AD39)</f>
        <v>0</v>
      </c>
      <c r="AE34" s="606"/>
      <c r="AF34" s="609">
        <f>SUM(AF35:AF39)</f>
        <v>0</v>
      </c>
      <c r="AG34" s="606"/>
      <c r="AH34" s="712"/>
      <c r="AI34" s="606"/>
      <c r="AJ34" s="609">
        <f>SUM(AJ35:AJ39)</f>
        <v>0</v>
      </c>
      <c r="AK34" s="606"/>
      <c r="AL34" s="609">
        <f>SUM(AL35:AL39)</f>
        <v>0</v>
      </c>
      <c r="AM34" s="606"/>
      <c r="AN34" s="609">
        <f>SUM(AN35:AN39)</f>
        <v>0</v>
      </c>
      <c r="AO34" s="606"/>
      <c r="AP34" s="609">
        <f>SUM(AP35:AP39)</f>
        <v>0</v>
      </c>
      <c r="AR34" s="609">
        <f>SUM(AR35:AR39)</f>
        <v>0</v>
      </c>
      <c r="AS34" s="606"/>
      <c r="AT34" s="609">
        <f>SUM(AT35:AT39)</f>
        <v>0</v>
      </c>
      <c r="AU34" s="606"/>
      <c r="AV34" s="609">
        <f>SUM(AV35:AV39)</f>
        <v>0</v>
      </c>
      <c r="AW34" s="606"/>
      <c r="AX34" s="609">
        <f>SUM(AX35:AX39)</f>
        <v>0</v>
      </c>
      <c r="AY34" s="606"/>
      <c r="AZ34" s="609">
        <f>SUM(AZ35:AZ39)</f>
        <v>0</v>
      </c>
      <c r="BA34" s="606"/>
      <c r="BB34" s="609">
        <f>SUM(BB35:BB39)</f>
        <v>0</v>
      </c>
      <c r="BC34" s="606"/>
      <c r="BD34" s="609">
        <f>SUM(BD35:BD39)</f>
        <v>0</v>
      </c>
      <c r="BF34" s="721">
        <f>SUM(BF35:BF39)</f>
        <v>0</v>
      </c>
      <c r="BH34" s="590">
        <f t="shared" ref="BH34:BH39" si="43">A34</f>
        <v>300</v>
      </c>
    </row>
    <row r="35" spans="1:60" ht="14.5">
      <c r="A35" s="590">
        <f t="shared" ref="A35:A38" si="44">A34+1</f>
        <v>301</v>
      </c>
      <c r="B35" s="634" t="s">
        <v>1777</v>
      </c>
      <c r="D35" s="710" t="s">
        <v>1764</v>
      </c>
      <c r="F35" s="715" t="s">
        <v>1753</v>
      </c>
      <c r="H35" s="723"/>
      <c r="J35" s="620">
        <v>0</v>
      </c>
      <c r="K35" s="606"/>
      <c r="L35" s="620">
        <v>0</v>
      </c>
      <c r="M35" s="606"/>
      <c r="N35" s="620">
        <v>0</v>
      </c>
      <c r="P35" s="706" t="s">
        <v>1749</v>
      </c>
      <c r="R35" s="606">
        <f t="shared" ref="R35:R39" si="45">N35</f>
        <v>0</v>
      </c>
      <c r="S35" s="606"/>
      <c r="T35" s="606">
        <v>0</v>
      </c>
      <c r="U35" s="606"/>
      <c r="V35" s="606">
        <v>0</v>
      </c>
      <c r="W35" s="606"/>
      <c r="X35" s="606">
        <f>SUM(R35:V35)</f>
        <v>0</v>
      </c>
      <c r="Y35" s="606"/>
      <c r="Z35" s="712"/>
      <c r="AA35" s="606"/>
      <c r="AB35" s="620"/>
      <c r="AC35" s="606"/>
      <c r="AD35" s="620"/>
      <c r="AE35" s="606"/>
      <c r="AF35" s="606">
        <v>0</v>
      </c>
      <c r="AG35" s="606"/>
      <c r="AH35" s="712"/>
      <c r="AI35" s="606"/>
      <c r="AJ35" s="605">
        <f t="shared" ref="AJ35:AJ39" si="46">+R35-AB35</f>
        <v>0</v>
      </c>
      <c r="AK35" s="606"/>
      <c r="AL35" s="605">
        <f t="shared" ref="AL35:AL39" si="47">+T35-AD35</f>
        <v>0</v>
      </c>
      <c r="AM35" s="606"/>
      <c r="AN35" s="605">
        <f t="shared" ref="AN35:AN39" si="48">+V35-AF35</f>
        <v>0</v>
      </c>
      <c r="AO35" s="606"/>
      <c r="AP35" s="606">
        <f t="shared" ref="AP35:AP39" si="49">SUM(AJ35:AN35)</f>
        <v>0</v>
      </c>
      <c r="AR35" s="620"/>
      <c r="AS35" s="606"/>
      <c r="AT35" s="620"/>
      <c r="AU35" s="606"/>
      <c r="AV35" s="606">
        <v>0</v>
      </c>
      <c r="AW35" s="606"/>
      <c r="AX35" s="605">
        <f>+AJ35-AR35</f>
        <v>0</v>
      </c>
      <c r="AY35" s="606"/>
      <c r="AZ35" s="605">
        <f>+AL35-AT35</f>
        <v>0</v>
      </c>
      <c r="BA35" s="606"/>
      <c r="BB35" s="605">
        <f>+AN35-AV35</f>
        <v>0</v>
      </c>
      <c r="BC35" s="606"/>
      <c r="BD35" s="606">
        <f t="shared" ref="BD35:BD39" si="50">SUM(AX35:BB35)</f>
        <v>0</v>
      </c>
      <c r="BF35" s="712">
        <f t="shared" ref="BF35:BF39" si="51">+BD35*$BF$9</f>
        <v>0</v>
      </c>
      <c r="BH35" s="590">
        <f t="shared" si="43"/>
        <v>301</v>
      </c>
    </row>
    <row r="36" spans="1:60" ht="14.5">
      <c r="A36" s="590">
        <f t="shared" si="44"/>
        <v>302</v>
      </c>
      <c r="B36" s="634" t="s">
        <v>1777</v>
      </c>
      <c r="D36" s="710" t="s">
        <v>1764</v>
      </c>
      <c r="F36" s="715" t="s">
        <v>1753</v>
      </c>
      <c r="H36" s="723"/>
      <c r="J36" s="620">
        <v>0</v>
      </c>
      <c r="K36" s="606"/>
      <c r="L36" s="620">
        <v>0</v>
      </c>
      <c r="M36" s="606"/>
      <c r="N36" s="620">
        <v>0</v>
      </c>
      <c r="P36" s="706" t="s">
        <v>1749</v>
      </c>
      <c r="R36" s="606">
        <f t="shared" si="45"/>
        <v>0</v>
      </c>
      <c r="S36" s="606"/>
      <c r="T36" s="606">
        <v>0</v>
      </c>
      <c r="U36" s="606"/>
      <c r="V36" s="606">
        <v>0</v>
      </c>
      <c r="W36" s="606"/>
      <c r="X36" s="606">
        <f t="shared" ref="X36:X39" si="52">SUM(R36:V36)</f>
        <v>0</v>
      </c>
      <c r="Y36" s="606"/>
      <c r="Z36" s="712"/>
      <c r="AA36" s="606"/>
      <c r="AB36" s="620"/>
      <c r="AC36" s="606"/>
      <c r="AD36" s="620"/>
      <c r="AE36" s="606"/>
      <c r="AF36" s="606">
        <v>0</v>
      </c>
      <c r="AG36" s="606"/>
      <c r="AH36" s="712"/>
      <c r="AI36" s="606"/>
      <c r="AJ36" s="605">
        <f t="shared" si="46"/>
        <v>0</v>
      </c>
      <c r="AK36" s="606"/>
      <c r="AL36" s="605">
        <f t="shared" si="47"/>
        <v>0</v>
      </c>
      <c r="AM36" s="606"/>
      <c r="AN36" s="605">
        <f t="shared" si="48"/>
        <v>0</v>
      </c>
      <c r="AO36" s="606"/>
      <c r="AP36" s="606">
        <f t="shared" si="49"/>
        <v>0</v>
      </c>
      <c r="AR36" s="620"/>
      <c r="AS36" s="606"/>
      <c r="AT36" s="620"/>
      <c r="AU36" s="606"/>
      <c r="AV36" s="606">
        <v>0</v>
      </c>
      <c r="AW36" s="606"/>
      <c r="AX36" s="605">
        <f>+AJ36-AR36</f>
        <v>0</v>
      </c>
      <c r="AY36" s="606"/>
      <c r="AZ36" s="605">
        <f>+AL36-AT36</f>
        <v>0</v>
      </c>
      <c r="BA36" s="606"/>
      <c r="BB36" s="605">
        <f>+AN36-AV36</f>
        <v>0</v>
      </c>
      <c r="BC36" s="606"/>
      <c r="BD36" s="606">
        <f t="shared" si="50"/>
        <v>0</v>
      </c>
      <c r="BF36" s="712">
        <f t="shared" si="51"/>
        <v>0</v>
      </c>
      <c r="BH36" s="590">
        <f t="shared" si="43"/>
        <v>302</v>
      </c>
    </row>
    <row r="37" spans="1:60" ht="14.5">
      <c r="A37" s="590">
        <f t="shared" si="44"/>
        <v>303</v>
      </c>
      <c r="B37" s="634" t="s">
        <v>1777</v>
      </c>
      <c r="D37" s="710" t="s">
        <v>1764</v>
      </c>
      <c r="F37" s="715" t="s">
        <v>1753</v>
      </c>
      <c r="H37" s="723"/>
      <c r="J37" s="620">
        <v>0</v>
      </c>
      <c r="K37" s="606"/>
      <c r="L37" s="620">
        <v>0</v>
      </c>
      <c r="M37" s="606"/>
      <c r="N37" s="620">
        <v>0</v>
      </c>
      <c r="P37" s="706" t="s">
        <v>1749</v>
      </c>
      <c r="R37" s="606">
        <f t="shared" si="45"/>
        <v>0</v>
      </c>
      <c r="S37" s="606"/>
      <c r="T37" s="606">
        <v>0</v>
      </c>
      <c r="U37" s="606"/>
      <c r="V37" s="606">
        <v>0</v>
      </c>
      <c r="W37" s="606"/>
      <c r="X37" s="606">
        <f t="shared" si="52"/>
        <v>0</v>
      </c>
      <c r="Y37" s="606"/>
      <c r="Z37" s="712"/>
      <c r="AA37" s="606"/>
      <c r="AB37" s="620"/>
      <c r="AC37" s="606"/>
      <c r="AD37" s="620"/>
      <c r="AE37" s="606"/>
      <c r="AF37" s="606">
        <v>0</v>
      </c>
      <c r="AG37" s="606"/>
      <c r="AH37" s="712"/>
      <c r="AI37" s="606"/>
      <c r="AJ37" s="605">
        <f t="shared" si="46"/>
        <v>0</v>
      </c>
      <c r="AK37" s="606"/>
      <c r="AL37" s="605">
        <f t="shared" si="47"/>
        <v>0</v>
      </c>
      <c r="AM37" s="606"/>
      <c r="AN37" s="605">
        <f t="shared" si="48"/>
        <v>0</v>
      </c>
      <c r="AO37" s="606"/>
      <c r="AP37" s="606">
        <f t="shared" si="49"/>
        <v>0</v>
      </c>
      <c r="AR37" s="620"/>
      <c r="AS37" s="606"/>
      <c r="AT37" s="620"/>
      <c r="AU37" s="606"/>
      <c r="AV37" s="606">
        <v>0</v>
      </c>
      <c r="AW37" s="606"/>
      <c r="AX37" s="605">
        <f>+AJ37-AR37</f>
        <v>0</v>
      </c>
      <c r="AY37" s="606"/>
      <c r="AZ37" s="605">
        <f>+AL37-AT37</f>
        <v>0</v>
      </c>
      <c r="BA37" s="606"/>
      <c r="BB37" s="605">
        <f>+AN37-AV37</f>
        <v>0</v>
      </c>
      <c r="BC37" s="606"/>
      <c r="BD37" s="606">
        <f t="shared" si="50"/>
        <v>0</v>
      </c>
      <c r="BF37" s="712">
        <f t="shared" si="51"/>
        <v>0</v>
      </c>
      <c r="BH37" s="590">
        <f t="shared" si="43"/>
        <v>303</v>
      </c>
    </row>
    <row r="38" spans="1:60" ht="14.5">
      <c r="A38" s="590">
        <f t="shared" si="44"/>
        <v>304</v>
      </c>
      <c r="B38" s="621"/>
      <c r="F38" s="715"/>
      <c r="H38" s="723"/>
      <c r="J38" s="620"/>
      <c r="K38" s="606"/>
      <c r="L38" s="620"/>
      <c r="M38" s="606"/>
      <c r="N38" s="620"/>
      <c r="R38" s="606">
        <f t="shared" si="45"/>
        <v>0</v>
      </c>
      <c r="S38" s="606"/>
      <c r="T38" s="606">
        <v>0</v>
      </c>
      <c r="U38" s="606"/>
      <c r="V38" s="606">
        <v>0</v>
      </c>
      <c r="W38" s="606"/>
      <c r="X38" s="606">
        <f t="shared" si="52"/>
        <v>0</v>
      </c>
      <c r="Y38" s="606"/>
      <c r="Z38" s="712"/>
      <c r="AA38" s="606"/>
      <c r="AB38" s="620"/>
      <c r="AC38" s="606"/>
      <c r="AD38" s="620"/>
      <c r="AE38" s="606"/>
      <c r="AF38" s="606">
        <v>0</v>
      </c>
      <c r="AG38" s="606"/>
      <c r="AH38" s="712"/>
      <c r="AI38" s="606"/>
      <c r="AJ38" s="605">
        <f t="shared" si="46"/>
        <v>0</v>
      </c>
      <c r="AK38" s="606"/>
      <c r="AL38" s="605">
        <f t="shared" si="47"/>
        <v>0</v>
      </c>
      <c r="AM38" s="606"/>
      <c r="AN38" s="605">
        <f t="shared" si="48"/>
        <v>0</v>
      </c>
      <c r="AO38" s="606"/>
      <c r="AP38" s="606">
        <f t="shared" si="49"/>
        <v>0</v>
      </c>
      <c r="AR38" s="620"/>
      <c r="AS38" s="606"/>
      <c r="AT38" s="620"/>
      <c r="AU38" s="606"/>
      <c r="AV38" s="606">
        <v>0</v>
      </c>
      <c r="AW38" s="606"/>
      <c r="AX38" s="605">
        <f>+AJ38-AR38</f>
        <v>0</v>
      </c>
      <c r="AY38" s="606"/>
      <c r="AZ38" s="605">
        <f>+AL38-AT38</f>
        <v>0</v>
      </c>
      <c r="BA38" s="606"/>
      <c r="BB38" s="605">
        <f>+AN38-AV38</f>
        <v>0</v>
      </c>
      <c r="BC38" s="606"/>
      <c r="BD38" s="606">
        <f t="shared" si="50"/>
        <v>0</v>
      </c>
      <c r="BF38" s="712">
        <f t="shared" si="51"/>
        <v>0</v>
      </c>
      <c r="BH38" s="590">
        <f t="shared" si="43"/>
        <v>304</v>
      </c>
    </row>
    <row r="39" spans="1:60" ht="14.5">
      <c r="A39" s="590">
        <f>+A38+1</f>
        <v>305</v>
      </c>
      <c r="B39" s="621"/>
      <c r="F39" s="715"/>
      <c r="H39" s="723"/>
      <c r="J39" s="620"/>
      <c r="K39" s="606"/>
      <c r="L39" s="620"/>
      <c r="M39" s="606"/>
      <c r="N39" s="620"/>
      <c r="R39" s="606">
        <f t="shared" si="45"/>
        <v>0</v>
      </c>
      <c r="S39" s="606"/>
      <c r="T39" s="606">
        <v>0</v>
      </c>
      <c r="U39" s="606"/>
      <c r="V39" s="606">
        <v>0</v>
      </c>
      <c r="W39" s="606"/>
      <c r="X39" s="606">
        <f t="shared" si="52"/>
        <v>0</v>
      </c>
      <c r="Y39" s="606"/>
      <c r="Z39" s="712"/>
      <c r="AA39" s="606"/>
      <c r="AB39" s="620"/>
      <c r="AC39" s="606"/>
      <c r="AD39" s="620"/>
      <c r="AE39" s="606"/>
      <c r="AF39" s="606">
        <v>0</v>
      </c>
      <c r="AG39" s="606"/>
      <c r="AH39" s="712"/>
      <c r="AI39" s="606"/>
      <c r="AJ39" s="605">
        <f t="shared" si="46"/>
        <v>0</v>
      </c>
      <c r="AK39" s="606"/>
      <c r="AL39" s="605">
        <f t="shared" si="47"/>
        <v>0</v>
      </c>
      <c r="AM39" s="606"/>
      <c r="AN39" s="605">
        <f t="shared" si="48"/>
        <v>0</v>
      </c>
      <c r="AO39" s="606"/>
      <c r="AP39" s="606">
        <f t="shared" si="49"/>
        <v>0</v>
      </c>
      <c r="AR39" s="620"/>
      <c r="AS39" s="606"/>
      <c r="AT39" s="620"/>
      <c r="AU39" s="606"/>
      <c r="AV39" s="606">
        <v>0</v>
      </c>
      <c r="AW39" s="606"/>
      <c r="AX39" s="605">
        <f>+AJ39-AR39</f>
        <v>0</v>
      </c>
      <c r="AY39" s="606"/>
      <c r="AZ39" s="605">
        <f>+AL39-AT39</f>
        <v>0</v>
      </c>
      <c r="BA39" s="606"/>
      <c r="BB39" s="605">
        <f>+AN39-AV39</f>
        <v>0</v>
      </c>
      <c r="BC39" s="606"/>
      <c r="BD39" s="606">
        <f t="shared" si="50"/>
        <v>0</v>
      </c>
      <c r="BF39" s="712">
        <f t="shared" si="51"/>
        <v>0</v>
      </c>
      <c r="BH39" s="590">
        <f t="shared" si="43"/>
        <v>305</v>
      </c>
    </row>
    <row r="40" spans="1:60" ht="14.5">
      <c r="A40" s="590"/>
      <c r="B40" s="595"/>
      <c r="F40" s="715"/>
      <c r="H40" s="712"/>
      <c r="J40" s="606"/>
      <c r="K40" s="606"/>
      <c r="L40" s="606"/>
      <c r="M40" s="606"/>
      <c r="N40" s="606"/>
      <c r="R40" s="606"/>
      <c r="S40" s="606"/>
      <c r="T40" s="606"/>
      <c r="U40" s="606"/>
      <c r="V40" s="606"/>
      <c r="W40" s="606"/>
      <c r="X40" s="606"/>
      <c r="Y40" s="606"/>
      <c r="Z40" s="712"/>
      <c r="AA40" s="606"/>
      <c r="AB40" s="606"/>
      <c r="AC40" s="606"/>
      <c r="AD40" s="606"/>
      <c r="AE40" s="606"/>
      <c r="AF40" s="606"/>
      <c r="AG40" s="606"/>
      <c r="AH40" s="712"/>
      <c r="AI40" s="606"/>
      <c r="AJ40" s="606"/>
      <c r="AK40" s="606"/>
      <c r="AL40" s="606"/>
      <c r="AM40" s="606"/>
      <c r="AN40" s="606"/>
      <c r="AO40" s="606"/>
      <c r="AP40" s="606"/>
      <c r="AR40" s="606"/>
      <c r="AS40" s="606"/>
      <c r="AT40" s="606"/>
      <c r="AU40" s="606"/>
      <c r="AV40" s="606"/>
      <c r="AW40" s="606"/>
      <c r="AX40" s="606"/>
      <c r="AY40" s="606"/>
      <c r="AZ40" s="606"/>
      <c r="BA40" s="606"/>
      <c r="BB40" s="606"/>
      <c r="BC40" s="606"/>
      <c r="BD40" s="606"/>
      <c r="BF40" s="712"/>
      <c r="BH40" s="590"/>
    </row>
    <row r="41" spans="1:60" ht="14.5">
      <c r="A41" s="323" t="s">
        <v>122</v>
      </c>
      <c r="F41" s="715"/>
      <c r="H41" s="705"/>
      <c r="R41" s="606"/>
      <c r="S41" s="606"/>
      <c r="T41" s="606"/>
      <c r="U41" s="606"/>
      <c r="V41" s="606"/>
      <c r="W41" s="606"/>
      <c r="X41" s="606"/>
      <c r="Y41" s="606"/>
      <c r="Z41" s="712"/>
      <c r="AA41" s="606"/>
      <c r="AC41" s="606"/>
      <c r="AE41" s="606"/>
      <c r="AG41" s="606"/>
      <c r="AH41" s="712"/>
      <c r="AI41" s="606"/>
      <c r="AJ41" s="606"/>
      <c r="AK41" s="606"/>
      <c r="AL41" s="606"/>
      <c r="AM41" s="606"/>
      <c r="AN41" s="606"/>
      <c r="AO41" s="606"/>
      <c r="AP41" s="606"/>
      <c r="AS41" s="606"/>
      <c r="AU41" s="606"/>
      <c r="AW41" s="606"/>
      <c r="AX41" s="606"/>
      <c r="AY41" s="606"/>
      <c r="AZ41" s="606"/>
      <c r="BA41" s="606"/>
      <c r="BB41" s="606"/>
      <c r="BC41" s="606"/>
      <c r="BD41" s="606"/>
      <c r="BH41" s="323" t="s">
        <v>122</v>
      </c>
    </row>
    <row r="42" spans="1:60" ht="14.5">
      <c r="A42" s="590">
        <v>400</v>
      </c>
      <c r="B42" s="588" t="s">
        <v>1557</v>
      </c>
      <c r="F42" s="715"/>
      <c r="H42" s="721">
        <f>ROUND(SUM(H43:H99),0)</f>
        <v>0</v>
      </c>
      <c r="J42" s="609">
        <f>ROUND(SUM(J43:J99),0)</f>
        <v>-346763385</v>
      </c>
      <c r="K42" s="606"/>
      <c r="L42" s="609">
        <f>ROUND(SUM(L43:L99),0)</f>
        <v>-206675379</v>
      </c>
      <c r="M42" s="606"/>
      <c r="N42" s="609">
        <f>ROUND(SUM(N43:N99),0)</f>
        <v>-140088006</v>
      </c>
      <c r="O42" s="590"/>
      <c r="P42" s="590"/>
      <c r="Q42" s="590"/>
      <c r="R42" s="609">
        <f>ROUND(SUM(R43:R99),0)</f>
        <v>0</v>
      </c>
      <c r="S42" s="606"/>
      <c r="T42" s="609">
        <f>ROUND(SUM(T43:T99),0)</f>
        <v>-140088006</v>
      </c>
      <c r="U42" s="606"/>
      <c r="V42" s="609">
        <f>ROUND(SUM(V43:V99),0)</f>
        <v>0</v>
      </c>
      <c r="W42" s="606"/>
      <c r="X42" s="609">
        <f>ROUND(SUM(X43:X99),0)</f>
        <v>-140088006</v>
      </c>
      <c r="Y42" s="606"/>
      <c r="Z42" s="712"/>
      <c r="AA42" s="606"/>
      <c r="AB42" s="609">
        <f>SUM(AB43:AB99)</f>
        <v>0</v>
      </c>
      <c r="AC42" s="606"/>
      <c r="AD42" s="609">
        <f>SUM(AD43:AD99)</f>
        <v>-49569502.895844482</v>
      </c>
      <c r="AE42" s="606"/>
      <c r="AF42" s="609">
        <f>SUM(AF43:AF99)</f>
        <v>0</v>
      </c>
      <c r="AG42" s="606"/>
      <c r="AH42" s="712"/>
      <c r="AI42" s="606"/>
      <c r="AJ42" s="609">
        <f>SUM(AJ43:AJ99)</f>
        <v>0</v>
      </c>
      <c r="AK42" s="606"/>
      <c r="AL42" s="609">
        <f>SUM(AL43:AL99)</f>
        <v>-90518503.125225246</v>
      </c>
      <c r="AM42" s="606"/>
      <c r="AN42" s="609">
        <f>SUM(AN43:AN99)</f>
        <v>0</v>
      </c>
      <c r="AO42" s="606"/>
      <c r="AP42" s="609">
        <f>SUM(AP43:AP99)</f>
        <v>-90518503.125225246</v>
      </c>
      <c r="AR42" s="609">
        <f>SUM(AR43:AR99)</f>
        <v>0</v>
      </c>
      <c r="AS42" s="606"/>
      <c r="AT42" s="609">
        <f>SUM(AT43:AT99)</f>
        <v>-14324173.144193165</v>
      </c>
      <c r="AU42" s="606"/>
      <c r="AV42" s="609">
        <f>SUM(AV43:AV99)</f>
        <v>0</v>
      </c>
      <c r="AW42" s="606"/>
      <c r="AX42" s="609">
        <f>SUM(AX43:AX99)</f>
        <v>0</v>
      </c>
      <c r="AY42" s="606"/>
      <c r="AZ42" s="609">
        <f>SUM(AZ43:AZ99)</f>
        <v>-76194329.981032103</v>
      </c>
      <c r="BA42" s="606"/>
      <c r="BB42" s="609">
        <f>SUM(BB43:BB99)</f>
        <v>0</v>
      </c>
      <c r="BC42" s="606"/>
      <c r="BD42" s="609">
        <f>SUM(BD43:BD99)</f>
        <v>-76194329.981032103</v>
      </c>
      <c r="BF42" s="721">
        <f>ROUND(SUM(BF43:BF99),0)</f>
        <v>-105801359</v>
      </c>
      <c r="BH42" s="590">
        <f t="shared" ref="BH42:BH73" si="53">A42</f>
        <v>400</v>
      </c>
    </row>
    <row r="43" spans="1:60" ht="14.5">
      <c r="A43" s="590">
        <f t="shared" ref="A43:A99" si="54">A42+1</f>
        <v>401</v>
      </c>
      <c r="B43" s="622" t="s">
        <v>1778</v>
      </c>
      <c r="F43" s="715" t="s">
        <v>1753</v>
      </c>
      <c r="H43" s="723"/>
      <c r="J43" s="620">
        <v>-2434619.1484139045</v>
      </c>
      <c r="K43" s="606"/>
      <c r="L43" s="620">
        <v>-1460771.1451043426</v>
      </c>
      <c r="M43" s="606"/>
      <c r="N43" s="620">
        <v>-973848.00330956175</v>
      </c>
      <c r="P43" s="713" t="s">
        <v>1749</v>
      </c>
      <c r="R43" s="606">
        <v>0</v>
      </c>
      <c r="S43" s="606"/>
      <c r="T43" s="606">
        <f>N43</f>
        <v>-973848.00330956175</v>
      </c>
      <c r="U43" s="606"/>
      <c r="V43" s="606">
        <v>0</v>
      </c>
      <c r="W43" s="606"/>
      <c r="X43" s="606">
        <f>SUM(R43:V43)</f>
        <v>-973848.00330956175</v>
      </c>
      <c r="Y43" s="606"/>
      <c r="Z43" s="607" t="s">
        <v>1548</v>
      </c>
      <c r="AA43" s="606"/>
      <c r="AB43" s="606">
        <v>0</v>
      </c>
      <c r="AC43" s="606"/>
      <c r="AD43" s="620">
        <v>-344591.6805533318</v>
      </c>
      <c r="AE43" s="606"/>
      <c r="AF43" s="606">
        <v>0</v>
      </c>
      <c r="AG43" s="606"/>
      <c r="AH43" s="607" t="s">
        <v>1759</v>
      </c>
      <c r="AI43" s="606"/>
      <c r="AJ43" s="605">
        <f t="shared" ref="AJ43:AJ99" si="55">+R43-AB43</f>
        <v>0</v>
      </c>
      <c r="AK43" s="606"/>
      <c r="AL43" s="605">
        <f t="shared" ref="AL43:AL99" si="56">+T43-AD43</f>
        <v>-629256.3227562299</v>
      </c>
      <c r="AM43" s="606"/>
      <c r="AN43" s="605">
        <f t="shared" ref="AN43:AN99" si="57">+V43-AF43</f>
        <v>0</v>
      </c>
      <c r="AO43" s="606"/>
      <c r="AP43" s="606">
        <f t="shared" ref="AP43:AP99" si="58">SUM(AJ43:AN43)</f>
        <v>-629256.3227562299</v>
      </c>
      <c r="AR43" s="606">
        <v>0</v>
      </c>
      <c r="AS43" s="606"/>
      <c r="AT43" s="620">
        <v>-99577.17160621802</v>
      </c>
      <c r="AU43" s="606"/>
      <c r="AV43" s="606">
        <v>0</v>
      </c>
      <c r="AW43" s="606"/>
      <c r="AX43" s="605">
        <f t="shared" ref="AX43:AX74" si="59">+AJ43-AR43</f>
        <v>0</v>
      </c>
      <c r="AY43" s="606"/>
      <c r="AZ43" s="605">
        <f t="shared" ref="AZ43:AZ74" si="60">+AL43-AT43</f>
        <v>-529679.15115001192</v>
      </c>
      <c r="BA43" s="606"/>
      <c r="BB43" s="605">
        <f t="shared" ref="BB43:BB74" si="61">+AN43-AV43</f>
        <v>0</v>
      </c>
      <c r="BC43" s="606"/>
      <c r="BD43" s="606">
        <f t="shared" ref="BD43:BD99" si="62">SUM(AX43:BB43)</f>
        <v>-529679.15115001192</v>
      </c>
      <c r="BF43" s="712">
        <f t="shared" ref="BF43:BF99" si="63">+BD43*$BF$9</f>
        <v>-735497.95761800348</v>
      </c>
      <c r="BH43" s="590">
        <f t="shared" si="53"/>
        <v>401</v>
      </c>
    </row>
    <row r="44" spans="1:60" ht="14.5">
      <c r="A44" s="590">
        <f t="shared" si="54"/>
        <v>402</v>
      </c>
      <c r="B44" s="622" t="s">
        <v>1779</v>
      </c>
      <c r="F44" s="715" t="s">
        <v>1753</v>
      </c>
      <c r="H44" s="723"/>
      <c r="J44" s="620">
        <v>-448269.85840000003</v>
      </c>
      <c r="K44" s="606"/>
      <c r="L44" s="620">
        <v>-268961.71440600004</v>
      </c>
      <c r="M44" s="606"/>
      <c r="N44" s="620">
        <v>-179308.14399399998</v>
      </c>
      <c r="P44" s="713" t="s">
        <v>1749</v>
      </c>
      <c r="R44" s="606">
        <v>0</v>
      </c>
      <c r="S44" s="606"/>
      <c r="T44" s="606">
        <f t="shared" ref="T44:T96" si="64">N44</f>
        <v>-179308.14399399998</v>
      </c>
      <c r="U44" s="606"/>
      <c r="V44" s="606">
        <v>0</v>
      </c>
      <c r="W44" s="606"/>
      <c r="X44" s="606">
        <f t="shared" ref="X44:X96" si="65">SUM(R44:V44)</f>
        <v>-179308.14399399998</v>
      </c>
      <c r="Y44" s="606"/>
      <c r="Z44" s="607" t="s">
        <v>1548</v>
      </c>
      <c r="AA44" s="606"/>
      <c r="AB44" s="606">
        <v>0</v>
      </c>
      <c r="AC44" s="606"/>
      <c r="AD44" s="620">
        <v>-63447.370088359035</v>
      </c>
      <c r="AE44" s="606"/>
      <c r="AF44" s="606">
        <v>0</v>
      </c>
      <c r="AG44" s="606"/>
      <c r="AH44" s="607" t="s">
        <v>1759</v>
      </c>
      <c r="AI44" s="606"/>
      <c r="AJ44" s="605">
        <f t="shared" si="55"/>
        <v>0</v>
      </c>
      <c r="AK44" s="606"/>
      <c r="AL44" s="605">
        <f t="shared" si="56"/>
        <v>-115860.77390564095</v>
      </c>
      <c r="AM44" s="606"/>
      <c r="AN44" s="605">
        <f t="shared" si="57"/>
        <v>0</v>
      </c>
      <c r="AO44" s="606"/>
      <c r="AP44" s="606">
        <f t="shared" si="58"/>
        <v>-115860.77390564095</v>
      </c>
      <c r="AR44" s="606">
        <v>0</v>
      </c>
      <c r="AS44" s="606"/>
      <c r="AT44" s="620">
        <v>-18334.481114305199</v>
      </c>
      <c r="AU44" s="606"/>
      <c r="AV44" s="606">
        <v>0</v>
      </c>
      <c r="AW44" s="606"/>
      <c r="AX44" s="605">
        <f t="shared" si="59"/>
        <v>0</v>
      </c>
      <c r="AY44" s="606"/>
      <c r="AZ44" s="605">
        <f t="shared" si="60"/>
        <v>-97526.292791335756</v>
      </c>
      <c r="BA44" s="606"/>
      <c r="BB44" s="605">
        <f t="shared" si="61"/>
        <v>0</v>
      </c>
      <c r="BC44" s="606"/>
      <c r="BD44" s="606">
        <f t="shared" si="62"/>
        <v>-97526.292791335756</v>
      </c>
      <c r="BF44" s="712">
        <f t="shared" si="63"/>
        <v>-135422.33823314655</v>
      </c>
      <c r="BH44" s="590">
        <f t="shared" si="53"/>
        <v>402</v>
      </c>
    </row>
    <row r="45" spans="1:60" ht="14.5">
      <c r="A45" s="590">
        <f t="shared" si="54"/>
        <v>403</v>
      </c>
      <c r="B45" s="622" t="s">
        <v>1780</v>
      </c>
      <c r="F45" s="715" t="s">
        <v>1753</v>
      </c>
      <c r="H45" s="723"/>
      <c r="J45" s="620">
        <v>-54964684.313400358</v>
      </c>
      <c r="K45" s="606"/>
      <c r="L45" s="620">
        <v>-32978810.784167517</v>
      </c>
      <c r="M45" s="606"/>
      <c r="N45" s="620">
        <v>-21985873.529232834</v>
      </c>
      <c r="P45" s="713" t="s">
        <v>1749</v>
      </c>
      <c r="R45" s="606">
        <v>0</v>
      </c>
      <c r="S45" s="606"/>
      <c r="T45" s="606">
        <f t="shared" si="64"/>
        <v>-21985873.529232834</v>
      </c>
      <c r="U45" s="606"/>
      <c r="V45" s="606">
        <v>0</v>
      </c>
      <c r="W45" s="606"/>
      <c r="X45" s="606">
        <f t="shared" si="65"/>
        <v>-21985873.529232834</v>
      </c>
      <c r="Y45" s="606"/>
      <c r="Z45" s="607" t="s">
        <v>1548</v>
      </c>
      <c r="AA45" s="606"/>
      <c r="AB45" s="606">
        <v>0</v>
      </c>
      <c r="AC45" s="606"/>
      <c r="AD45" s="620">
        <v>-7779601.2130479133</v>
      </c>
      <c r="AE45" s="606"/>
      <c r="AF45" s="606">
        <v>0</v>
      </c>
      <c r="AG45" s="606"/>
      <c r="AH45" s="607" t="s">
        <v>1759</v>
      </c>
      <c r="AI45" s="606"/>
      <c r="AJ45" s="605">
        <f t="shared" si="55"/>
        <v>0</v>
      </c>
      <c r="AK45" s="606"/>
      <c r="AL45" s="605">
        <f t="shared" si="56"/>
        <v>-14206272.316184919</v>
      </c>
      <c r="AM45" s="606"/>
      <c r="AN45" s="605">
        <f t="shared" si="57"/>
        <v>0</v>
      </c>
      <c r="AO45" s="606"/>
      <c r="AP45" s="606">
        <f t="shared" si="58"/>
        <v>-14206272.316184919</v>
      </c>
      <c r="AR45" s="606">
        <v>0</v>
      </c>
      <c r="AS45" s="606"/>
      <c r="AT45" s="620">
        <v>-2248082.9594483483</v>
      </c>
      <c r="AU45" s="606"/>
      <c r="AV45" s="606">
        <v>0</v>
      </c>
      <c r="AW45" s="606"/>
      <c r="AX45" s="605">
        <f t="shared" si="59"/>
        <v>0</v>
      </c>
      <c r="AY45" s="606"/>
      <c r="AZ45" s="605">
        <f t="shared" si="60"/>
        <v>-11958189.356736571</v>
      </c>
      <c r="BA45" s="606"/>
      <c r="BB45" s="605">
        <f t="shared" si="61"/>
        <v>0</v>
      </c>
      <c r="BC45" s="606"/>
      <c r="BD45" s="606">
        <f t="shared" si="62"/>
        <v>-11958189.356736571</v>
      </c>
      <c r="BF45" s="712">
        <f t="shared" si="63"/>
        <v>-16604814.121139865</v>
      </c>
      <c r="BH45" s="590">
        <f t="shared" si="53"/>
        <v>403</v>
      </c>
    </row>
    <row r="46" spans="1:60" ht="14.5">
      <c r="A46" s="590">
        <f t="shared" si="54"/>
        <v>404</v>
      </c>
      <c r="B46" s="622" t="s">
        <v>1781</v>
      </c>
      <c r="F46" s="715" t="s">
        <v>1753</v>
      </c>
      <c r="H46" s="723"/>
      <c r="J46" s="620">
        <v>-20602724.375152476</v>
      </c>
      <c r="K46" s="606"/>
      <c r="L46" s="620">
        <v>-12361634.400661021</v>
      </c>
      <c r="M46" s="606"/>
      <c r="N46" s="620">
        <v>-8241089.9744914537</v>
      </c>
      <c r="P46" s="713" t="s">
        <v>1749</v>
      </c>
      <c r="R46" s="606">
        <v>0</v>
      </c>
      <c r="S46" s="606"/>
      <c r="T46" s="606">
        <f t="shared" si="64"/>
        <v>-8241089.9744914537</v>
      </c>
      <c r="U46" s="606"/>
      <c r="V46" s="606">
        <v>0</v>
      </c>
      <c r="W46" s="606"/>
      <c r="X46" s="606">
        <f t="shared" si="65"/>
        <v>-8241089.9744914537</v>
      </c>
      <c r="Y46" s="606"/>
      <c r="Z46" s="607" t="s">
        <v>1548</v>
      </c>
      <c r="AA46" s="606"/>
      <c r="AB46" s="606">
        <v>0</v>
      </c>
      <c r="AC46" s="606"/>
      <c r="AD46" s="620">
        <v>-2916072.1532008108</v>
      </c>
      <c r="AE46" s="606"/>
      <c r="AF46" s="606">
        <v>0</v>
      </c>
      <c r="AG46" s="606"/>
      <c r="AH46" s="607" t="s">
        <v>1759</v>
      </c>
      <c r="AI46" s="606"/>
      <c r="AJ46" s="605">
        <f t="shared" si="55"/>
        <v>0</v>
      </c>
      <c r="AK46" s="606"/>
      <c r="AL46" s="605">
        <f t="shared" si="56"/>
        <v>-5325017.821290643</v>
      </c>
      <c r="AM46" s="606"/>
      <c r="AN46" s="605">
        <f t="shared" si="57"/>
        <v>0</v>
      </c>
      <c r="AO46" s="606"/>
      <c r="AP46" s="606">
        <f t="shared" si="58"/>
        <v>-5325017.821290643</v>
      </c>
      <c r="AR46" s="606">
        <v>0</v>
      </c>
      <c r="AS46" s="606"/>
      <c r="AT46" s="620">
        <v>-842661.71704760636</v>
      </c>
      <c r="AU46" s="606"/>
      <c r="AV46" s="606">
        <v>0</v>
      </c>
      <c r="AW46" s="606"/>
      <c r="AX46" s="605">
        <f t="shared" si="59"/>
        <v>0</v>
      </c>
      <c r="AY46" s="606"/>
      <c r="AZ46" s="605">
        <f t="shared" si="60"/>
        <v>-4482356.1042430364</v>
      </c>
      <c r="BA46" s="606"/>
      <c r="BB46" s="605">
        <f t="shared" si="61"/>
        <v>0</v>
      </c>
      <c r="BC46" s="606"/>
      <c r="BD46" s="606">
        <f t="shared" si="62"/>
        <v>-4482356.1042430364</v>
      </c>
      <c r="BF46" s="712">
        <f t="shared" si="63"/>
        <v>-6224076.8828253513</v>
      </c>
      <c r="BH46" s="590">
        <f t="shared" si="53"/>
        <v>404</v>
      </c>
    </row>
    <row r="47" spans="1:60" ht="14.5">
      <c r="A47" s="590">
        <f t="shared" si="54"/>
        <v>405</v>
      </c>
      <c r="B47" s="622" t="s">
        <v>1782</v>
      </c>
      <c r="F47" s="715" t="s">
        <v>1753</v>
      </c>
      <c r="H47" s="723"/>
      <c r="J47" s="620">
        <v>-523661.88911936671</v>
      </c>
      <c r="K47" s="606"/>
      <c r="L47" s="620">
        <v>-314197.16501846712</v>
      </c>
      <c r="M47" s="606"/>
      <c r="N47" s="620">
        <v>-209464.72410089959</v>
      </c>
      <c r="P47" s="713" t="s">
        <v>1749</v>
      </c>
      <c r="R47" s="606">
        <v>0</v>
      </c>
      <c r="S47" s="606"/>
      <c r="T47" s="606">
        <f t="shared" si="64"/>
        <v>-209464.72410089959</v>
      </c>
      <c r="U47" s="606"/>
      <c r="V47" s="606">
        <v>0</v>
      </c>
      <c r="W47" s="606"/>
      <c r="X47" s="606">
        <f t="shared" si="65"/>
        <v>-209464.72410089959</v>
      </c>
      <c r="Y47" s="606"/>
      <c r="Z47" s="607" t="s">
        <v>1548</v>
      </c>
      <c r="AA47" s="606"/>
      <c r="AB47" s="606">
        <v>0</v>
      </c>
      <c r="AC47" s="606"/>
      <c r="AD47" s="620">
        <v>-74118.138610204478</v>
      </c>
      <c r="AE47" s="606"/>
      <c r="AF47" s="606">
        <v>0</v>
      </c>
      <c r="AG47" s="606"/>
      <c r="AH47" s="607" t="s">
        <v>1759</v>
      </c>
      <c r="AI47" s="606"/>
      <c r="AJ47" s="605">
        <f t="shared" si="55"/>
        <v>0</v>
      </c>
      <c r="AK47" s="606"/>
      <c r="AL47" s="605">
        <f t="shared" si="56"/>
        <v>-135346.58549069511</v>
      </c>
      <c r="AM47" s="606"/>
      <c r="AN47" s="605">
        <f t="shared" si="57"/>
        <v>0</v>
      </c>
      <c r="AO47" s="606"/>
      <c r="AP47" s="606">
        <f t="shared" si="58"/>
        <v>-135346.58549069511</v>
      </c>
      <c r="AR47" s="606">
        <v>0</v>
      </c>
      <c r="AS47" s="606"/>
      <c r="AT47" s="620">
        <v>-21418.029000788727</v>
      </c>
      <c r="AU47" s="606"/>
      <c r="AV47" s="606">
        <v>0</v>
      </c>
      <c r="AW47" s="606"/>
      <c r="AX47" s="605">
        <f t="shared" si="59"/>
        <v>0</v>
      </c>
      <c r="AY47" s="606"/>
      <c r="AZ47" s="605">
        <f t="shared" si="60"/>
        <v>-113928.55648990639</v>
      </c>
      <c r="BA47" s="606"/>
      <c r="BB47" s="605">
        <f t="shared" si="61"/>
        <v>0</v>
      </c>
      <c r="BC47" s="606"/>
      <c r="BD47" s="606">
        <f t="shared" si="62"/>
        <v>-113928.55648990639</v>
      </c>
      <c r="BF47" s="712">
        <f t="shared" si="63"/>
        <v>-158198.07223063966</v>
      </c>
      <c r="BH47" s="590">
        <f t="shared" si="53"/>
        <v>405</v>
      </c>
    </row>
    <row r="48" spans="1:60" ht="14.5">
      <c r="A48" s="590">
        <f t="shared" si="54"/>
        <v>406</v>
      </c>
      <c r="B48" s="622" t="s">
        <v>1783</v>
      </c>
      <c r="F48" s="715" t="s">
        <v>1753</v>
      </c>
      <c r="H48" s="723"/>
      <c r="J48" s="620">
        <v>200460.11720000001</v>
      </c>
      <c r="K48" s="606"/>
      <c r="L48" s="620">
        <v>120276.27095399999</v>
      </c>
      <c r="M48" s="606"/>
      <c r="N48" s="620">
        <v>80183.846246000001</v>
      </c>
      <c r="P48" s="713" t="s">
        <v>1749</v>
      </c>
      <c r="R48" s="606">
        <v>0</v>
      </c>
      <c r="S48" s="606"/>
      <c r="T48" s="606">
        <f t="shared" si="64"/>
        <v>80183.846246000001</v>
      </c>
      <c r="U48" s="606"/>
      <c r="V48" s="606">
        <v>0</v>
      </c>
      <c r="W48" s="606"/>
      <c r="X48" s="606">
        <f t="shared" si="65"/>
        <v>80183.846246000001</v>
      </c>
      <c r="Y48" s="606"/>
      <c r="Z48" s="607" t="s">
        <v>1548</v>
      </c>
      <c r="AA48" s="606"/>
      <c r="AB48" s="606">
        <v>0</v>
      </c>
      <c r="AC48" s="606"/>
      <c r="AD48" s="620">
        <v>28372.688794594163</v>
      </c>
      <c r="AE48" s="606"/>
      <c r="AF48" s="606">
        <v>0</v>
      </c>
      <c r="AG48" s="606"/>
      <c r="AH48" s="607" t="s">
        <v>1759</v>
      </c>
      <c r="AI48" s="606"/>
      <c r="AJ48" s="605">
        <f t="shared" si="55"/>
        <v>0</v>
      </c>
      <c r="AK48" s="606"/>
      <c r="AL48" s="605">
        <f t="shared" si="56"/>
        <v>51811.157451405837</v>
      </c>
      <c r="AM48" s="606"/>
      <c r="AN48" s="605">
        <f t="shared" si="57"/>
        <v>0</v>
      </c>
      <c r="AO48" s="606"/>
      <c r="AP48" s="606">
        <f t="shared" si="58"/>
        <v>51811.157451405837</v>
      </c>
      <c r="AR48" s="606">
        <v>0</v>
      </c>
      <c r="AS48" s="606"/>
      <c r="AT48" s="620">
        <v>8198.8981756390967</v>
      </c>
      <c r="AU48" s="606"/>
      <c r="AV48" s="606">
        <v>0</v>
      </c>
      <c r="AW48" s="606"/>
      <c r="AX48" s="605">
        <f t="shared" si="59"/>
        <v>0</v>
      </c>
      <c r="AY48" s="606"/>
      <c r="AZ48" s="605">
        <f t="shared" si="60"/>
        <v>43612.259275766744</v>
      </c>
      <c r="BA48" s="606"/>
      <c r="BB48" s="605">
        <f t="shared" si="61"/>
        <v>0</v>
      </c>
      <c r="BC48" s="606"/>
      <c r="BD48" s="606">
        <f t="shared" si="62"/>
        <v>43612.259275766744</v>
      </c>
      <c r="BF48" s="712">
        <f t="shared" si="63"/>
        <v>60558.788381211416</v>
      </c>
      <c r="BH48" s="590">
        <f t="shared" si="53"/>
        <v>406</v>
      </c>
    </row>
    <row r="49" spans="1:60" ht="14.5">
      <c r="A49" s="590">
        <f t="shared" si="54"/>
        <v>407</v>
      </c>
      <c r="B49" s="622" t="s">
        <v>1784</v>
      </c>
      <c r="F49" s="715" t="s">
        <v>1753</v>
      </c>
      <c r="H49" s="723"/>
      <c r="J49" s="620">
        <v>-213631.2616</v>
      </c>
      <c r="K49" s="606"/>
      <c r="L49" s="620">
        <v>-128178.642312</v>
      </c>
      <c r="M49" s="606"/>
      <c r="N49" s="620">
        <v>-85452.619288000002</v>
      </c>
      <c r="P49" s="713" t="s">
        <v>1749</v>
      </c>
      <c r="R49" s="606">
        <v>0</v>
      </c>
      <c r="S49" s="606"/>
      <c r="T49" s="606">
        <f t="shared" si="64"/>
        <v>-85452.619288000002</v>
      </c>
      <c r="U49" s="606"/>
      <c r="V49" s="606">
        <v>0</v>
      </c>
      <c r="W49" s="606"/>
      <c r="X49" s="606">
        <f t="shared" si="65"/>
        <v>-85452.619288000002</v>
      </c>
      <c r="Y49" s="606"/>
      <c r="Z49" s="607" t="s">
        <v>1548</v>
      </c>
      <c r="AA49" s="606"/>
      <c r="AB49" s="606">
        <v>0</v>
      </c>
      <c r="AC49" s="606"/>
      <c r="AD49" s="620">
        <v>-30237.020138732834</v>
      </c>
      <c r="AE49" s="606"/>
      <c r="AF49" s="606">
        <v>0</v>
      </c>
      <c r="AG49" s="606"/>
      <c r="AH49" s="607" t="s">
        <v>1759</v>
      </c>
      <c r="AI49" s="606"/>
      <c r="AJ49" s="605">
        <f t="shared" si="55"/>
        <v>0</v>
      </c>
      <c r="AK49" s="606"/>
      <c r="AL49" s="605">
        <f t="shared" si="56"/>
        <v>-55215.599149267167</v>
      </c>
      <c r="AM49" s="606"/>
      <c r="AN49" s="605">
        <f t="shared" si="57"/>
        <v>0</v>
      </c>
      <c r="AO49" s="606"/>
      <c r="AP49" s="606">
        <f t="shared" si="58"/>
        <v>-55215.599149267167</v>
      </c>
      <c r="AR49" s="606">
        <v>0</v>
      </c>
      <c r="AS49" s="606"/>
      <c r="AT49" s="620">
        <v>-8737.636783280599</v>
      </c>
      <c r="AU49" s="606"/>
      <c r="AV49" s="606">
        <v>0</v>
      </c>
      <c r="AW49" s="606"/>
      <c r="AX49" s="605">
        <f t="shared" si="59"/>
        <v>0</v>
      </c>
      <c r="AY49" s="606"/>
      <c r="AZ49" s="605">
        <f t="shared" si="60"/>
        <v>-46477.962365986568</v>
      </c>
      <c r="BA49" s="606"/>
      <c r="BB49" s="605">
        <f t="shared" si="61"/>
        <v>0</v>
      </c>
      <c r="BC49" s="606"/>
      <c r="BD49" s="606">
        <f t="shared" si="62"/>
        <v>-46477.962365986568</v>
      </c>
      <c r="BF49" s="712">
        <f t="shared" si="63"/>
        <v>-64538.025180356926</v>
      </c>
      <c r="BH49" s="590">
        <f t="shared" si="53"/>
        <v>407</v>
      </c>
    </row>
    <row r="50" spans="1:60" ht="14.5">
      <c r="A50" s="590">
        <f t="shared" si="54"/>
        <v>408</v>
      </c>
      <c r="B50" s="622" t="s">
        <v>1785</v>
      </c>
      <c r="F50" s="715" t="s">
        <v>1753</v>
      </c>
      <c r="H50" s="723"/>
      <c r="J50" s="620">
        <v>2328139.9133534944</v>
      </c>
      <c r="K50" s="606"/>
      <c r="L50" s="620">
        <v>1396884.1244907889</v>
      </c>
      <c r="M50" s="606"/>
      <c r="N50" s="620">
        <v>931255.78886270523</v>
      </c>
      <c r="P50" s="713" t="s">
        <v>1749</v>
      </c>
      <c r="R50" s="606">
        <v>0</v>
      </c>
      <c r="S50" s="606"/>
      <c r="T50" s="606">
        <f t="shared" si="64"/>
        <v>931255.78886270523</v>
      </c>
      <c r="U50" s="606"/>
      <c r="V50" s="606">
        <v>0</v>
      </c>
      <c r="W50" s="606"/>
      <c r="X50" s="606">
        <f t="shared" si="65"/>
        <v>931255.78886270523</v>
      </c>
      <c r="Y50" s="606"/>
      <c r="Z50" s="607" t="s">
        <v>1548</v>
      </c>
      <c r="AA50" s="606"/>
      <c r="AB50" s="606">
        <v>0</v>
      </c>
      <c r="AC50" s="606"/>
      <c r="AD50" s="620">
        <v>329520.61945873429</v>
      </c>
      <c r="AE50" s="606"/>
      <c r="AF50" s="606">
        <v>0</v>
      </c>
      <c r="AG50" s="606"/>
      <c r="AH50" s="607" t="s">
        <v>1759</v>
      </c>
      <c r="AI50" s="606"/>
      <c r="AJ50" s="605">
        <f t="shared" si="55"/>
        <v>0</v>
      </c>
      <c r="AK50" s="606"/>
      <c r="AL50" s="605">
        <f t="shared" si="56"/>
        <v>601735.16940397094</v>
      </c>
      <c r="AM50" s="606"/>
      <c r="AN50" s="605">
        <f t="shared" si="57"/>
        <v>0</v>
      </c>
      <c r="AO50" s="606"/>
      <c r="AP50" s="606">
        <f t="shared" si="58"/>
        <v>601735.16940397094</v>
      </c>
      <c r="AR50" s="606">
        <v>0</v>
      </c>
      <c r="AS50" s="606"/>
      <c r="AT50" s="620">
        <v>95222.064615548064</v>
      </c>
      <c r="AU50" s="606"/>
      <c r="AV50" s="606">
        <v>0</v>
      </c>
      <c r="AW50" s="606"/>
      <c r="AX50" s="605">
        <f t="shared" si="59"/>
        <v>0</v>
      </c>
      <c r="AY50" s="606"/>
      <c r="AZ50" s="605">
        <f t="shared" si="60"/>
        <v>506513.10478842288</v>
      </c>
      <c r="BA50" s="606"/>
      <c r="BB50" s="605">
        <f t="shared" si="61"/>
        <v>0</v>
      </c>
      <c r="BC50" s="606"/>
      <c r="BD50" s="606">
        <f t="shared" si="62"/>
        <v>506513.10478842288</v>
      </c>
      <c r="BF50" s="712">
        <f t="shared" si="63"/>
        <v>703330.2203226249</v>
      </c>
      <c r="BH50" s="590">
        <f t="shared" si="53"/>
        <v>408</v>
      </c>
    </row>
    <row r="51" spans="1:60" ht="14.5">
      <c r="A51" s="590">
        <f t="shared" si="54"/>
        <v>409</v>
      </c>
      <c r="B51" s="622" t="s">
        <v>1786</v>
      </c>
      <c r="F51" s="715" t="s">
        <v>1753</v>
      </c>
      <c r="H51" s="723"/>
      <c r="J51" s="620">
        <v>-215413.08259999999</v>
      </c>
      <c r="K51" s="606"/>
      <c r="L51" s="620">
        <v>-129247.82089800001</v>
      </c>
      <c r="M51" s="606"/>
      <c r="N51" s="620">
        <v>-86165.261702000003</v>
      </c>
      <c r="P51" s="713" t="s">
        <v>1749</v>
      </c>
      <c r="R51" s="606">
        <v>0</v>
      </c>
      <c r="S51" s="606"/>
      <c r="T51" s="606">
        <f t="shared" si="64"/>
        <v>-86165.261702000003</v>
      </c>
      <c r="U51" s="606"/>
      <c r="V51" s="606">
        <v>0</v>
      </c>
      <c r="W51" s="606"/>
      <c r="X51" s="606">
        <f t="shared" si="65"/>
        <v>-86165.261702000003</v>
      </c>
      <c r="Y51" s="606"/>
      <c r="Z51" s="607" t="s">
        <v>1548</v>
      </c>
      <c r="AA51" s="606"/>
      <c r="AB51" s="606">
        <v>0</v>
      </c>
      <c r="AC51" s="606"/>
      <c r="AD51" s="620">
        <v>-30489.185411177081</v>
      </c>
      <c r="AE51" s="606"/>
      <c r="AF51" s="606">
        <v>0</v>
      </c>
      <c r="AG51" s="606"/>
      <c r="AH51" s="607" t="s">
        <v>1759</v>
      </c>
      <c r="AI51" s="606"/>
      <c r="AJ51" s="605">
        <f t="shared" si="55"/>
        <v>0</v>
      </c>
      <c r="AK51" s="606"/>
      <c r="AL51" s="605">
        <f t="shared" si="56"/>
        <v>-55676.076290822923</v>
      </c>
      <c r="AM51" s="606"/>
      <c r="AN51" s="605">
        <f t="shared" si="57"/>
        <v>0</v>
      </c>
      <c r="AO51" s="606"/>
      <c r="AP51" s="606">
        <f t="shared" si="58"/>
        <v>-55676.076290822923</v>
      </c>
      <c r="AR51" s="606">
        <v>0</v>
      </c>
      <c r="AS51" s="606"/>
      <c r="AT51" s="620">
        <v>-8810.5053579571213</v>
      </c>
      <c r="AU51" s="606"/>
      <c r="AV51" s="606">
        <v>0</v>
      </c>
      <c r="AW51" s="606"/>
      <c r="AX51" s="605">
        <f t="shared" si="59"/>
        <v>0</v>
      </c>
      <c r="AY51" s="606"/>
      <c r="AZ51" s="605">
        <f t="shared" si="60"/>
        <v>-46865.570932865798</v>
      </c>
      <c r="BA51" s="606"/>
      <c r="BB51" s="605">
        <f t="shared" si="61"/>
        <v>0</v>
      </c>
      <c r="BC51" s="606"/>
      <c r="BD51" s="606">
        <f t="shared" si="62"/>
        <v>-46865.570932865798</v>
      </c>
      <c r="BF51" s="712">
        <f t="shared" si="63"/>
        <v>-65076.247816977513</v>
      </c>
      <c r="BH51" s="590">
        <f t="shared" si="53"/>
        <v>409</v>
      </c>
    </row>
    <row r="52" spans="1:60" ht="14.5">
      <c r="A52" s="590">
        <f t="shared" si="54"/>
        <v>410</v>
      </c>
      <c r="B52" s="622" t="s">
        <v>1787</v>
      </c>
      <c r="F52" s="715" t="s">
        <v>1753</v>
      </c>
      <c r="H52" s="723"/>
      <c r="J52" s="620">
        <v>-2118462.1781889452</v>
      </c>
      <c r="K52" s="606"/>
      <c r="L52" s="620">
        <v>-1271077.2434608291</v>
      </c>
      <c r="M52" s="606"/>
      <c r="N52" s="620">
        <v>-847384.9347281158</v>
      </c>
      <c r="P52" s="713" t="s">
        <v>1749</v>
      </c>
      <c r="R52" s="606">
        <v>0</v>
      </c>
      <c r="S52" s="606"/>
      <c r="T52" s="606">
        <f t="shared" si="64"/>
        <v>-847384.9347281158</v>
      </c>
      <c r="U52" s="606"/>
      <c r="V52" s="606">
        <v>0</v>
      </c>
      <c r="W52" s="606"/>
      <c r="X52" s="606">
        <f t="shared" si="65"/>
        <v>-847384.9347281158</v>
      </c>
      <c r="Y52" s="606"/>
      <c r="Z52" s="607" t="s">
        <v>1548</v>
      </c>
      <c r="AA52" s="606"/>
      <c r="AB52" s="606">
        <v>0</v>
      </c>
      <c r="AC52" s="606"/>
      <c r="AD52" s="620">
        <v>-299843.29971534252</v>
      </c>
      <c r="AE52" s="606"/>
      <c r="AF52" s="606">
        <v>0</v>
      </c>
      <c r="AG52" s="606"/>
      <c r="AH52" s="607" t="s">
        <v>1759</v>
      </c>
      <c r="AI52" s="606"/>
      <c r="AJ52" s="605">
        <f t="shared" si="55"/>
        <v>0</v>
      </c>
      <c r="AK52" s="606"/>
      <c r="AL52" s="605">
        <f t="shared" si="56"/>
        <v>-547541.63501277333</v>
      </c>
      <c r="AM52" s="606"/>
      <c r="AN52" s="605">
        <f t="shared" si="57"/>
        <v>0</v>
      </c>
      <c r="AO52" s="606"/>
      <c r="AP52" s="606">
        <f t="shared" si="58"/>
        <v>-547541.63501277333</v>
      </c>
      <c r="AR52" s="606">
        <v>0</v>
      </c>
      <c r="AS52" s="606"/>
      <c r="AT52" s="620">
        <v>-86646.165289844634</v>
      </c>
      <c r="AU52" s="606"/>
      <c r="AV52" s="606">
        <v>0</v>
      </c>
      <c r="AW52" s="606"/>
      <c r="AX52" s="605">
        <f t="shared" si="59"/>
        <v>0</v>
      </c>
      <c r="AY52" s="606"/>
      <c r="AZ52" s="605">
        <f t="shared" si="60"/>
        <v>-460895.46972292871</v>
      </c>
      <c r="BA52" s="606"/>
      <c r="BB52" s="605">
        <f t="shared" si="61"/>
        <v>0</v>
      </c>
      <c r="BC52" s="606"/>
      <c r="BD52" s="606">
        <f t="shared" si="62"/>
        <v>-460895.46972292871</v>
      </c>
      <c r="BF52" s="712">
        <f t="shared" si="63"/>
        <v>-639986.82206126477</v>
      </c>
      <c r="BH52" s="590">
        <f t="shared" si="53"/>
        <v>410</v>
      </c>
    </row>
    <row r="53" spans="1:60" ht="14.5">
      <c r="A53" s="590">
        <f t="shared" si="54"/>
        <v>411</v>
      </c>
      <c r="B53" s="622" t="s">
        <v>1788</v>
      </c>
      <c r="F53" s="715" t="s">
        <v>1753</v>
      </c>
      <c r="H53" s="723"/>
      <c r="J53" s="620">
        <v>-7026118.1700553214</v>
      </c>
      <c r="K53" s="606"/>
      <c r="L53" s="620">
        <v>-4215671.4134425009</v>
      </c>
      <c r="M53" s="606"/>
      <c r="N53" s="620">
        <v>-2810446.7566128215</v>
      </c>
      <c r="P53" s="713" t="s">
        <v>1749</v>
      </c>
      <c r="R53" s="606">
        <v>0</v>
      </c>
      <c r="S53" s="606"/>
      <c r="T53" s="606">
        <f t="shared" si="64"/>
        <v>-2810446.7566128215</v>
      </c>
      <c r="U53" s="606"/>
      <c r="V53" s="606">
        <v>0</v>
      </c>
      <c r="W53" s="606"/>
      <c r="X53" s="606">
        <f t="shared" si="65"/>
        <v>-2810446.7566128215</v>
      </c>
      <c r="Y53" s="606"/>
      <c r="Z53" s="607" t="s">
        <v>1548</v>
      </c>
      <c r="AA53" s="606"/>
      <c r="AB53" s="606">
        <v>0</v>
      </c>
      <c r="AC53" s="606"/>
      <c r="AD53" s="620">
        <v>-994463.78456970036</v>
      </c>
      <c r="AE53" s="606"/>
      <c r="AF53" s="606">
        <v>0</v>
      </c>
      <c r="AG53" s="606"/>
      <c r="AH53" s="607" t="s">
        <v>1759</v>
      </c>
      <c r="AI53" s="606"/>
      <c r="AJ53" s="605">
        <f t="shared" si="55"/>
        <v>0</v>
      </c>
      <c r="AK53" s="606"/>
      <c r="AL53" s="605">
        <f t="shared" si="56"/>
        <v>-1815982.9720431212</v>
      </c>
      <c r="AM53" s="606"/>
      <c r="AN53" s="605">
        <f t="shared" si="57"/>
        <v>0</v>
      </c>
      <c r="AO53" s="606"/>
      <c r="AP53" s="606">
        <f t="shared" si="58"/>
        <v>-1815982.9720431212</v>
      </c>
      <c r="AR53" s="606">
        <v>0</v>
      </c>
      <c r="AS53" s="606"/>
      <c r="AT53" s="620">
        <v>-287371.68225667597</v>
      </c>
      <c r="AU53" s="606"/>
      <c r="AV53" s="606">
        <v>0</v>
      </c>
      <c r="AW53" s="606"/>
      <c r="AX53" s="605">
        <f t="shared" si="59"/>
        <v>0</v>
      </c>
      <c r="AY53" s="606"/>
      <c r="AZ53" s="605">
        <f t="shared" si="60"/>
        <v>-1528611.2897864452</v>
      </c>
      <c r="BA53" s="606"/>
      <c r="BB53" s="605">
        <f t="shared" si="61"/>
        <v>0</v>
      </c>
      <c r="BC53" s="606"/>
      <c r="BD53" s="606">
        <f t="shared" si="62"/>
        <v>-1528611.2897864452</v>
      </c>
      <c r="BF53" s="712">
        <f t="shared" si="63"/>
        <v>-2122587.7574919672</v>
      </c>
      <c r="BH53" s="590">
        <f t="shared" si="53"/>
        <v>411</v>
      </c>
    </row>
    <row r="54" spans="1:60" ht="14.5">
      <c r="A54" s="590">
        <f t="shared" si="54"/>
        <v>412</v>
      </c>
      <c r="B54" s="622" t="s">
        <v>1789</v>
      </c>
      <c r="F54" s="715" t="s">
        <v>1753</v>
      </c>
      <c r="H54" s="723"/>
      <c r="J54" s="620">
        <v>-21209153.518288884</v>
      </c>
      <c r="K54" s="606"/>
      <c r="L54" s="620">
        <v>-12725492.086459177</v>
      </c>
      <c r="M54" s="606"/>
      <c r="N54" s="620">
        <v>-8483661.4318297058</v>
      </c>
      <c r="P54" s="713" t="s">
        <v>1749</v>
      </c>
      <c r="R54" s="606">
        <v>0</v>
      </c>
      <c r="S54" s="606"/>
      <c r="T54" s="606">
        <f t="shared" si="64"/>
        <v>-8483661.4318297058</v>
      </c>
      <c r="U54" s="606"/>
      <c r="V54" s="606">
        <v>0</v>
      </c>
      <c r="W54" s="606"/>
      <c r="X54" s="606">
        <f t="shared" si="65"/>
        <v>-8483661.4318297058</v>
      </c>
      <c r="Y54" s="606"/>
      <c r="Z54" s="607" t="s">
        <v>1548</v>
      </c>
      <c r="AA54" s="606"/>
      <c r="AB54" s="606">
        <v>0</v>
      </c>
      <c r="AC54" s="606"/>
      <c r="AD54" s="620">
        <v>-3001904.9585815175</v>
      </c>
      <c r="AE54" s="606"/>
      <c r="AF54" s="606">
        <v>0</v>
      </c>
      <c r="AG54" s="606"/>
      <c r="AH54" s="607" t="s">
        <v>1759</v>
      </c>
      <c r="AI54" s="606"/>
      <c r="AJ54" s="605">
        <f t="shared" si="55"/>
        <v>0</v>
      </c>
      <c r="AK54" s="606"/>
      <c r="AL54" s="605">
        <f t="shared" si="56"/>
        <v>-5481756.4732481884</v>
      </c>
      <c r="AM54" s="606"/>
      <c r="AN54" s="605">
        <f t="shared" si="57"/>
        <v>0</v>
      </c>
      <c r="AO54" s="606"/>
      <c r="AP54" s="606">
        <f t="shared" si="58"/>
        <v>-5481756.4732481884</v>
      </c>
      <c r="AR54" s="606">
        <v>0</v>
      </c>
      <c r="AS54" s="606"/>
      <c r="AT54" s="620">
        <v>-867464.95076791348</v>
      </c>
      <c r="AU54" s="606"/>
      <c r="AV54" s="606">
        <v>0</v>
      </c>
      <c r="AW54" s="606"/>
      <c r="AX54" s="605">
        <f t="shared" si="59"/>
        <v>0</v>
      </c>
      <c r="AY54" s="606"/>
      <c r="AZ54" s="605">
        <f t="shared" si="60"/>
        <v>-4614291.5224802746</v>
      </c>
      <c r="BA54" s="606"/>
      <c r="BB54" s="605">
        <f t="shared" si="61"/>
        <v>0</v>
      </c>
      <c r="BC54" s="606"/>
      <c r="BD54" s="606">
        <f t="shared" si="62"/>
        <v>-4614291.5224802746</v>
      </c>
      <c r="BF54" s="712">
        <f t="shared" si="63"/>
        <v>-6407278.7899426715</v>
      </c>
      <c r="BH54" s="590">
        <f t="shared" si="53"/>
        <v>412</v>
      </c>
    </row>
    <row r="55" spans="1:60" ht="14.5">
      <c r="A55" s="590">
        <f t="shared" si="54"/>
        <v>413</v>
      </c>
      <c r="B55" s="622" t="s">
        <v>1790</v>
      </c>
      <c r="F55" s="715" t="s">
        <v>1753</v>
      </c>
      <c r="H55" s="723"/>
      <c r="J55" s="620">
        <v>-836924.33457711921</v>
      </c>
      <c r="K55" s="606"/>
      <c r="L55" s="620">
        <v>-662647.5181006192</v>
      </c>
      <c r="M55" s="606"/>
      <c r="N55" s="620">
        <v>-174276.81647649998</v>
      </c>
      <c r="P55" s="713" t="s">
        <v>1749</v>
      </c>
      <c r="R55" s="606">
        <v>0</v>
      </c>
      <c r="S55" s="606"/>
      <c r="T55" s="606">
        <f t="shared" si="64"/>
        <v>-174276.81647649998</v>
      </c>
      <c r="U55" s="606"/>
      <c r="V55" s="606">
        <v>0</v>
      </c>
      <c r="W55" s="606"/>
      <c r="X55" s="606">
        <f t="shared" si="65"/>
        <v>-174276.81647649998</v>
      </c>
      <c r="Y55" s="606"/>
      <c r="Z55" s="607" t="s">
        <v>1548</v>
      </c>
      <c r="AA55" s="606"/>
      <c r="AB55" s="606">
        <v>0</v>
      </c>
      <c r="AC55" s="606"/>
      <c r="AD55" s="620">
        <v>-61667.057761612465</v>
      </c>
      <c r="AE55" s="606"/>
      <c r="AF55" s="606">
        <v>0</v>
      </c>
      <c r="AG55" s="606"/>
      <c r="AH55" s="607" t="s">
        <v>1759</v>
      </c>
      <c r="AI55" s="606"/>
      <c r="AJ55" s="605">
        <f t="shared" si="55"/>
        <v>0</v>
      </c>
      <c r="AK55" s="606"/>
      <c r="AL55" s="605">
        <f t="shared" si="56"/>
        <v>-112609.75871488752</v>
      </c>
      <c r="AM55" s="606"/>
      <c r="AN55" s="605">
        <f t="shared" si="57"/>
        <v>0</v>
      </c>
      <c r="AO55" s="606"/>
      <c r="AP55" s="606">
        <f t="shared" si="58"/>
        <v>-112609.75871488752</v>
      </c>
      <c r="AR55" s="606">
        <v>0</v>
      </c>
      <c r="AS55" s="606"/>
      <c r="AT55" s="620">
        <v>-17820.021607365154</v>
      </c>
      <c r="AU55" s="606"/>
      <c r="AV55" s="606">
        <v>0</v>
      </c>
      <c r="AW55" s="606"/>
      <c r="AX55" s="605">
        <f t="shared" si="59"/>
        <v>0</v>
      </c>
      <c r="AY55" s="606"/>
      <c r="AZ55" s="605">
        <f t="shared" si="60"/>
        <v>-94789.737107522364</v>
      </c>
      <c r="BA55" s="606"/>
      <c r="BB55" s="605">
        <f t="shared" si="61"/>
        <v>0</v>
      </c>
      <c r="BC55" s="606"/>
      <c r="BD55" s="606">
        <f t="shared" si="62"/>
        <v>-94789.737107522364</v>
      </c>
      <c r="BF55" s="712">
        <f t="shared" si="63"/>
        <v>-131622.43198427351</v>
      </c>
      <c r="BH55" s="590">
        <f t="shared" si="53"/>
        <v>413</v>
      </c>
    </row>
    <row r="56" spans="1:60" ht="14.5">
      <c r="A56" s="590">
        <f t="shared" si="54"/>
        <v>414</v>
      </c>
      <c r="B56" s="622" t="s">
        <v>1791</v>
      </c>
      <c r="F56" s="715" t="s">
        <v>1753</v>
      </c>
      <c r="H56" s="723"/>
      <c r="J56" s="620">
        <v>-218308782.94916928</v>
      </c>
      <c r="K56" s="606"/>
      <c r="L56" s="620">
        <v>-129315766.69833358</v>
      </c>
      <c r="M56" s="606"/>
      <c r="N56" s="620">
        <v>-88993016.250835702</v>
      </c>
      <c r="P56" s="713" t="s">
        <v>1749</v>
      </c>
      <c r="R56" s="606">
        <v>0</v>
      </c>
      <c r="S56" s="606"/>
      <c r="T56" s="606">
        <f t="shared" si="64"/>
        <v>-88993016.250835702</v>
      </c>
      <c r="U56" s="606"/>
      <c r="V56" s="606">
        <v>0</v>
      </c>
      <c r="W56" s="606"/>
      <c r="X56" s="606">
        <f t="shared" si="65"/>
        <v>-88993016.250835702</v>
      </c>
      <c r="Y56" s="606"/>
      <c r="Z56" s="607" t="s">
        <v>1548</v>
      </c>
      <c r="AA56" s="606"/>
      <c r="AB56" s="606">
        <v>0</v>
      </c>
      <c r="AC56" s="606"/>
      <c r="AD56" s="620">
        <v>-31489773.479196027</v>
      </c>
      <c r="AE56" s="606"/>
      <c r="AF56" s="606">
        <v>0</v>
      </c>
      <c r="AG56" s="606"/>
      <c r="AH56" s="607" t="s">
        <v>1759</v>
      </c>
      <c r="AI56" s="606"/>
      <c r="AJ56" s="605">
        <f t="shared" si="55"/>
        <v>0</v>
      </c>
      <c r="AK56" s="606"/>
      <c r="AL56" s="605">
        <f t="shared" si="56"/>
        <v>-57503242.771639675</v>
      </c>
      <c r="AM56" s="606"/>
      <c r="AN56" s="605">
        <f t="shared" si="57"/>
        <v>0</v>
      </c>
      <c r="AO56" s="606"/>
      <c r="AP56" s="606">
        <f t="shared" si="58"/>
        <v>-57503242.771639675</v>
      </c>
      <c r="AR56" s="606">
        <v>0</v>
      </c>
      <c r="AS56" s="606"/>
      <c r="AT56" s="620">
        <v>-9099646.7835314889</v>
      </c>
      <c r="AU56" s="606"/>
      <c r="AV56" s="606">
        <v>0</v>
      </c>
      <c r="AW56" s="606"/>
      <c r="AX56" s="605">
        <f t="shared" si="59"/>
        <v>0</v>
      </c>
      <c r="AY56" s="606"/>
      <c r="AZ56" s="605">
        <f t="shared" si="60"/>
        <v>-48403595.988108188</v>
      </c>
      <c r="BA56" s="606"/>
      <c r="BB56" s="605">
        <f t="shared" si="61"/>
        <v>0</v>
      </c>
      <c r="BC56" s="606"/>
      <c r="BD56" s="606">
        <f t="shared" si="62"/>
        <v>-48403595.988108188</v>
      </c>
      <c r="BF56" s="712">
        <f t="shared" si="63"/>
        <v>-67211907.271271795</v>
      </c>
      <c r="BH56" s="590">
        <f t="shared" si="53"/>
        <v>414</v>
      </c>
    </row>
    <row r="57" spans="1:60" ht="14.5">
      <c r="A57" s="590">
        <f t="shared" si="54"/>
        <v>415</v>
      </c>
      <c r="B57" s="622" t="s">
        <v>1792</v>
      </c>
      <c r="F57" s="715" t="s">
        <v>1753</v>
      </c>
      <c r="H57" s="723"/>
      <c r="J57" s="620">
        <v>-14250105.3266</v>
      </c>
      <c r="K57" s="606"/>
      <c r="L57" s="620">
        <v>-8550063.0526500009</v>
      </c>
      <c r="M57" s="606"/>
      <c r="N57" s="620">
        <v>-5700042.2739500003</v>
      </c>
      <c r="P57" s="713" t="s">
        <v>1749</v>
      </c>
      <c r="R57" s="606">
        <v>0</v>
      </c>
      <c r="S57" s="606"/>
      <c r="T57" s="606">
        <f t="shared" si="64"/>
        <v>-5700042.2739500003</v>
      </c>
      <c r="U57" s="606"/>
      <c r="V57" s="606">
        <v>0</v>
      </c>
      <c r="W57" s="606"/>
      <c r="X57" s="606">
        <f t="shared" si="65"/>
        <v>-5700042.2739500003</v>
      </c>
      <c r="Y57" s="606"/>
      <c r="Z57" s="607" t="s">
        <v>1548</v>
      </c>
      <c r="AA57" s="606"/>
      <c r="AB57" s="606">
        <v>0</v>
      </c>
      <c r="AC57" s="606"/>
      <c r="AD57" s="620">
        <v>-2016933.9976364868</v>
      </c>
      <c r="AE57" s="606"/>
      <c r="AF57" s="606">
        <v>0</v>
      </c>
      <c r="AG57" s="606"/>
      <c r="AH57" s="607" t="s">
        <v>1759</v>
      </c>
      <c r="AI57" s="606"/>
      <c r="AJ57" s="605">
        <f t="shared" si="55"/>
        <v>0</v>
      </c>
      <c r="AK57" s="606"/>
      <c r="AL57" s="605">
        <f t="shared" si="56"/>
        <v>-3683108.2763135135</v>
      </c>
      <c r="AM57" s="606"/>
      <c r="AN57" s="605">
        <f t="shared" si="57"/>
        <v>0</v>
      </c>
      <c r="AO57" s="606"/>
      <c r="AP57" s="606">
        <f t="shared" si="58"/>
        <v>-3683108.2763135135</v>
      </c>
      <c r="AR57" s="606">
        <v>0</v>
      </c>
      <c r="AS57" s="606"/>
      <c r="AT57" s="620">
        <v>-582836.4239048427</v>
      </c>
      <c r="AU57" s="606"/>
      <c r="AV57" s="606">
        <v>0</v>
      </c>
      <c r="AW57" s="606"/>
      <c r="AX57" s="605">
        <f t="shared" si="59"/>
        <v>0</v>
      </c>
      <c r="AY57" s="606"/>
      <c r="AZ57" s="605">
        <f t="shared" si="60"/>
        <v>-3100271.8524086708</v>
      </c>
      <c r="BA57" s="606"/>
      <c r="BB57" s="605">
        <f t="shared" si="61"/>
        <v>0</v>
      </c>
      <c r="BC57" s="606"/>
      <c r="BD57" s="606">
        <f t="shared" si="62"/>
        <v>-3100271.8524086708</v>
      </c>
      <c r="BF57" s="712">
        <f t="shared" si="63"/>
        <v>-4304952.5558187729</v>
      </c>
      <c r="BH57" s="590">
        <f t="shared" si="53"/>
        <v>415</v>
      </c>
    </row>
    <row r="58" spans="1:60" ht="14.5">
      <c r="A58" s="590">
        <f t="shared" si="54"/>
        <v>416</v>
      </c>
      <c r="B58" s="622" t="s">
        <v>1793</v>
      </c>
      <c r="F58" s="715" t="s">
        <v>1753</v>
      </c>
      <c r="H58" s="723"/>
      <c r="J58" s="620">
        <v>-29782170.194800001</v>
      </c>
      <c r="K58" s="606"/>
      <c r="L58" s="620">
        <v>-17869302.088218</v>
      </c>
      <c r="M58" s="606"/>
      <c r="N58" s="620">
        <v>-11912868.106582003</v>
      </c>
      <c r="P58" s="713" t="s">
        <v>1749</v>
      </c>
      <c r="R58" s="606">
        <v>0</v>
      </c>
      <c r="S58" s="606"/>
      <c r="T58" s="606">
        <f t="shared" si="64"/>
        <v>-11912868.106582003</v>
      </c>
      <c r="U58" s="606"/>
      <c r="V58" s="606">
        <v>0</v>
      </c>
      <c r="W58" s="606"/>
      <c r="X58" s="606">
        <f t="shared" si="65"/>
        <v>-11912868.106582003</v>
      </c>
      <c r="Y58" s="606"/>
      <c r="Z58" s="607" t="s">
        <v>1548</v>
      </c>
      <c r="AA58" s="606"/>
      <c r="AB58" s="606">
        <v>0</v>
      </c>
      <c r="AC58" s="606"/>
      <c r="AD58" s="620">
        <v>-4215314.1220256519</v>
      </c>
      <c r="AE58" s="606"/>
      <c r="AF58" s="606">
        <v>0</v>
      </c>
      <c r="AG58" s="606"/>
      <c r="AH58" s="607" t="s">
        <v>1759</v>
      </c>
      <c r="AI58" s="606"/>
      <c r="AJ58" s="605">
        <f t="shared" si="55"/>
        <v>0</v>
      </c>
      <c r="AK58" s="606"/>
      <c r="AL58" s="605">
        <f t="shared" si="56"/>
        <v>-7697553.9845563509</v>
      </c>
      <c r="AM58" s="606"/>
      <c r="AN58" s="605">
        <f t="shared" si="57"/>
        <v>0</v>
      </c>
      <c r="AO58" s="606"/>
      <c r="AP58" s="606">
        <f t="shared" si="58"/>
        <v>-7697553.9845563509</v>
      </c>
      <c r="AR58" s="606">
        <v>0</v>
      </c>
      <c r="AS58" s="606"/>
      <c r="AT58" s="620">
        <v>-1218105.6055359379</v>
      </c>
      <c r="AU58" s="606"/>
      <c r="AV58" s="606">
        <v>0</v>
      </c>
      <c r="AW58" s="606"/>
      <c r="AX58" s="605">
        <f t="shared" si="59"/>
        <v>0</v>
      </c>
      <c r="AY58" s="606"/>
      <c r="AZ58" s="605">
        <f t="shared" si="60"/>
        <v>-6479448.3790204134</v>
      </c>
      <c r="BA58" s="606"/>
      <c r="BB58" s="605">
        <f t="shared" si="61"/>
        <v>0</v>
      </c>
      <c r="BC58" s="606"/>
      <c r="BD58" s="606">
        <f t="shared" si="62"/>
        <v>-6479448.3790204134</v>
      </c>
      <c r="BF58" s="712">
        <f t="shared" si="63"/>
        <v>-8997184.501058666</v>
      </c>
      <c r="BH58" s="590">
        <f t="shared" si="53"/>
        <v>416</v>
      </c>
    </row>
    <row r="59" spans="1:60" ht="14.5">
      <c r="A59" s="590">
        <f t="shared" si="54"/>
        <v>417</v>
      </c>
      <c r="B59" s="622" t="s">
        <v>1794</v>
      </c>
      <c r="F59" s="715" t="s">
        <v>1753</v>
      </c>
      <c r="H59" s="723"/>
      <c r="J59" s="620">
        <v>-3287922.8230146882</v>
      </c>
      <c r="K59" s="606"/>
      <c r="L59" s="620">
        <v>-1972753.6622619657</v>
      </c>
      <c r="M59" s="606"/>
      <c r="N59" s="620">
        <v>-1315169.1607527225</v>
      </c>
      <c r="P59" s="713" t="s">
        <v>1749</v>
      </c>
      <c r="R59" s="606">
        <v>0</v>
      </c>
      <c r="S59" s="606"/>
      <c r="T59" s="606">
        <f t="shared" si="64"/>
        <v>-1315169.1607527225</v>
      </c>
      <c r="U59" s="606"/>
      <c r="V59" s="606">
        <v>0</v>
      </c>
      <c r="W59" s="606"/>
      <c r="X59" s="606">
        <f t="shared" si="65"/>
        <v>-1315169.1607527225</v>
      </c>
      <c r="Y59" s="606"/>
      <c r="Z59" s="607" t="s">
        <v>1548</v>
      </c>
      <c r="AA59" s="606"/>
      <c r="AB59" s="606">
        <v>0</v>
      </c>
      <c r="AC59" s="606"/>
      <c r="AD59" s="620">
        <v>-465366.61755791062</v>
      </c>
      <c r="AE59" s="606"/>
      <c r="AF59" s="606">
        <v>0</v>
      </c>
      <c r="AG59" s="606"/>
      <c r="AH59" s="607" t="s">
        <v>1759</v>
      </c>
      <c r="AI59" s="606"/>
      <c r="AJ59" s="605">
        <f t="shared" si="55"/>
        <v>0</v>
      </c>
      <c r="AK59" s="606"/>
      <c r="AL59" s="605">
        <f t="shared" si="56"/>
        <v>-849802.54319481191</v>
      </c>
      <c r="AM59" s="606"/>
      <c r="AN59" s="605">
        <f t="shared" si="57"/>
        <v>0</v>
      </c>
      <c r="AO59" s="606"/>
      <c r="AP59" s="606">
        <f t="shared" si="58"/>
        <v>-849802.54319481191</v>
      </c>
      <c r="AR59" s="606">
        <v>0</v>
      </c>
      <c r="AS59" s="606"/>
      <c r="AT59" s="620">
        <v>-134477.68518949303</v>
      </c>
      <c r="AU59" s="606"/>
      <c r="AV59" s="606">
        <v>0</v>
      </c>
      <c r="AW59" s="606"/>
      <c r="AX59" s="605">
        <f t="shared" si="59"/>
        <v>0</v>
      </c>
      <c r="AY59" s="606"/>
      <c r="AZ59" s="605">
        <f t="shared" si="60"/>
        <v>-715324.85800531891</v>
      </c>
      <c r="BA59" s="606"/>
      <c r="BB59" s="605">
        <f t="shared" si="61"/>
        <v>0</v>
      </c>
      <c r="BC59" s="606"/>
      <c r="BD59" s="606">
        <f t="shared" si="62"/>
        <v>-715324.85800531891</v>
      </c>
      <c r="BF59" s="712">
        <f t="shared" si="63"/>
        <v>-993280.50000460842</v>
      </c>
      <c r="BH59" s="590">
        <f t="shared" si="53"/>
        <v>417</v>
      </c>
    </row>
    <row r="60" spans="1:60" ht="14.5">
      <c r="A60" s="590">
        <f t="shared" si="54"/>
        <v>418</v>
      </c>
      <c r="B60" s="622" t="s">
        <v>1795</v>
      </c>
      <c r="F60" s="715" t="s">
        <v>1753</v>
      </c>
      <c r="H60" s="723"/>
      <c r="J60" s="620">
        <v>-1300270.1541934409</v>
      </c>
      <c r="K60" s="606"/>
      <c r="L60" s="620">
        <v>-780162.11054283439</v>
      </c>
      <c r="M60" s="606"/>
      <c r="N60" s="620">
        <v>-520108.04365060659</v>
      </c>
      <c r="P60" s="713" t="s">
        <v>1749</v>
      </c>
      <c r="R60" s="606">
        <v>0</v>
      </c>
      <c r="S60" s="606"/>
      <c r="T60" s="606">
        <f t="shared" si="64"/>
        <v>-520108.04365060659</v>
      </c>
      <c r="U60" s="606"/>
      <c r="V60" s="606">
        <v>0</v>
      </c>
      <c r="W60" s="606"/>
      <c r="X60" s="606">
        <f t="shared" si="65"/>
        <v>-520108.04365060659</v>
      </c>
      <c r="Y60" s="606"/>
      <c r="Z60" s="607" t="s">
        <v>1548</v>
      </c>
      <c r="AA60" s="606"/>
      <c r="AB60" s="606">
        <v>0</v>
      </c>
      <c r="AC60" s="606"/>
      <c r="AD60" s="620">
        <v>-184037.86239924864</v>
      </c>
      <c r="AE60" s="606"/>
      <c r="AF60" s="606">
        <v>0</v>
      </c>
      <c r="AG60" s="606"/>
      <c r="AH60" s="607" t="s">
        <v>1759</v>
      </c>
      <c r="AI60" s="606"/>
      <c r="AJ60" s="605">
        <f t="shared" si="55"/>
        <v>0</v>
      </c>
      <c r="AK60" s="606"/>
      <c r="AL60" s="605">
        <f t="shared" si="56"/>
        <v>-336070.18125135795</v>
      </c>
      <c r="AM60" s="606"/>
      <c r="AN60" s="605">
        <f t="shared" si="57"/>
        <v>0</v>
      </c>
      <c r="AO60" s="606"/>
      <c r="AP60" s="606">
        <f t="shared" si="58"/>
        <v>-336070.18125135795</v>
      </c>
      <c r="AR60" s="606">
        <v>0</v>
      </c>
      <c r="AS60" s="606"/>
      <c r="AT60" s="620">
        <v>-53181.695439496383</v>
      </c>
      <c r="AU60" s="606"/>
      <c r="AV60" s="606">
        <v>0</v>
      </c>
      <c r="AW60" s="606"/>
      <c r="AX60" s="605">
        <f t="shared" si="59"/>
        <v>0</v>
      </c>
      <c r="AY60" s="606"/>
      <c r="AZ60" s="605">
        <f t="shared" si="60"/>
        <v>-282888.48581186158</v>
      </c>
      <c r="BA60" s="606"/>
      <c r="BB60" s="605">
        <f t="shared" si="61"/>
        <v>0</v>
      </c>
      <c r="BC60" s="606"/>
      <c r="BD60" s="606">
        <f t="shared" si="62"/>
        <v>-282888.48581186158</v>
      </c>
      <c r="BF60" s="712">
        <f t="shared" si="63"/>
        <v>-392811.20107622922</v>
      </c>
      <c r="BH60" s="590">
        <f t="shared" si="53"/>
        <v>418</v>
      </c>
    </row>
    <row r="61" spans="1:60" ht="14.5">
      <c r="A61" s="590">
        <f t="shared" si="54"/>
        <v>419</v>
      </c>
      <c r="B61" s="622" t="s">
        <v>1796</v>
      </c>
      <c r="F61" s="715" t="s">
        <v>1753</v>
      </c>
      <c r="H61" s="723"/>
      <c r="J61" s="620">
        <v>-9402052.2694172058</v>
      </c>
      <c r="K61" s="606"/>
      <c r="L61" s="620">
        <v>-5641231.3075700132</v>
      </c>
      <c r="M61" s="606"/>
      <c r="N61" s="620">
        <v>-3760820.9618471917</v>
      </c>
      <c r="P61" s="713" t="s">
        <v>1749</v>
      </c>
      <c r="R61" s="606">
        <v>0</v>
      </c>
      <c r="S61" s="606"/>
      <c r="T61" s="606">
        <f t="shared" si="64"/>
        <v>-3760820.9618471917</v>
      </c>
      <c r="U61" s="606"/>
      <c r="V61" s="606">
        <v>0</v>
      </c>
      <c r="W61" s="606"/>
      <c r="X61" s="606">
        <f t="shared" si="65"/>
        <v>-3760820.9618471917</v>
      </c>
      <c r="Y61" s="606"/>
      <c r="Z61" s="607" t="s">
        <v>1548</v>
      </c>
      <c r="AA61" s="606"/>
      <c r="AB61" s="606">
        <v>0</v>
      </c>
      <c r="AC61" s="606"/>
      <c r="AD61" s="620">
        <v>-1330749.36858619</v>
      </c>
      <c r="AE61" s="606"/>
      <c r="AF61" s="606">
        <v>0</v>
      </c>
      <c r="AG61" s="606"/>
      <c r="AH61" s="607" t="s">
        <v>1759</v>
      </c>
      <c r="AI61" s="606"/>
      <c r="AJ61" s="605">
        <f t="shared" si="55"/>
        <v>0</v>
      </c>
      <c r="AK61" s="606"/>
      <c r="AL61" s="605">
        <f t="shared" si="56"/>
        <v>-2430071.5932610016</v>
      </c>
      <c r="AM61" s="606"/>
      <c r="AN61" s="605">
        <f t="shared" si="57"/>
        <v>0</v>
      </c>
      <c r="AO61" s="606"/>
      <c r="AP61" s="606">
        <f t="shared" si="58"/>
        <v>-2430071.5932610016</v>
      </c>
      <c r="AR61" s="606">
        <v>0</v>
      </c>
      <c r="AS61" s="606"/>
      <c r="AT61" s="620">
        <v>-384548.62876489171</v>
      </c>
      <c r="AU61" s="606"/>
      <c r="AV61" s="606">
        <v>0</v>
      </c>
      <c r="AW61" s="606"/>
      <c r="AX61" s="605">
        <f t="shared" si="59"/>
        <v>0</v>
      </c>
      <c r="AY61" s="606"/>
      <c r="AZ61" s="605">
        <f t="shared" si="60"/>
        <v>-2045522.9644961099</v>
      </c>
      <c r="BA61" s="606"/>
      <c r="BB61" s="605">
        <f t="shared" si="61"/>
        <v>0</v>
      </c>
      <c r="BC61" s="606"/>
      <c r="BD61" s="606">
        <f t="shared" si="62"/>
        <v>-2045522.9644961099</v>
      </c>
      <c r="BF61" s="712">
        <f t="shared" si="63"/>
        <v>-2840357.1471166424</v>
      </c>
      <c r="BH61" s="590">
        <f t="shared" si="53"/>
        <v>419</v>
      </c>
    </row>
    <row r="62" spans="1:60" ht="14.5">
      <c r="A62" s="590">
        <f t="shared" si="54"/>
        <v>420</v>
      </c>
      <c r="B62" s="622" t="s">
        <v>1797</v>
      </c>
      <c r="F62" s="715" t="s">
        <v>1753</v>
      </c>
      <c r="H62" s="723"/>
      <c r="J62" s="620">
        <v>-940821.10647100396</v>
      </c>
      <c r="K62" s="606"/>
      <c r="L62" s="620">
        <v>-564492.76789537212</v>
      </c>
      <c r="M62" s="606"/>
      <c r="N62" s="620">
        <v>-376328.33857563185</v>
      </c>
      <c r="P62" s="713" t="s">
        <v>1749</v>
      </c>
      <c r="R62" s="606">
        <v>0</v>
      </c>
      <c r="S62" s="606"/>
      <c r="T62" s="606">
        <f t="shared" si="64"/>
        <v>-376328.33857563185</v>
      </c>
      <c r="U62" s="606"/>
      <c r="V62" s="606">
        <v>0</v>
      </c>
      <c r="W62" s="606"/>
      <c r="X62" s="606">
        <f t="shared" si="65"/>
        <v>-376328.33857563185</v>
      </c>
      <c r="Y62" s="606"/>
      <c r="Z62" s="607" t="s">
        <v>1548</v>
      </c>
      <c r="AA62" s="606"/>
      <c r="AB62" s="606">
        <v>0</v>
      </c>
      <c r="AC62" s="606"/>
      <c r="AD62" s="620">
        <v>-133162.06860712566</v>
      </c>
      <c r="AE62" s="606"/>
      <c r="AF62" s="606">
        <v>0</v>
      </c>
      <c r="AG62" s="606"/>
      <c r="AH62" s="607" t="s">
        <v>1759</v>
      </c>
      <c r="AI62" s="606"/>
      <c r="AJ62" s="605">
        <f t="shared" si="55"/>
        <v>0</v>
      </c>
      <c r="AK62" s="606"/>
      <c r="AL62" s="605">
        <f t="shared" si="56"/>
        <v>-243166.26996850618</v>
      </c>
      <c r="AM62" s="606"/>
      <c r="AN62" s="605">
        <f t="shared" si="57"/>
        <v>0</v>
      </c>
      <c r="AO62" s="606"/>
      <c r="AP62" s="606">
        <f t="shared" si="58"/>
        <v>-243166.26996850618</v>
      </c>
      <c r="AR62" s="606">
        <v>0</v>
      </c>
      <c r="AS62" s="606"/>
      <c r="AT62" s="620">
        <v>-38480.041467740899</v>
      </c>
      <c r="AU62" s="606"/>
      <c r="AV62" s="606">
        <v>0</v>
      </c>
      <c r="AW62" s="606"/>
      <c r="AX62" s="605">
        <f t="shared" si="59"/>
        <v>0</v>
      </c>
      <c r="AY62" s="606"/>
      <c r="AZ62" s="605">
        <f t="shared" si="60"/>
        <v>-204686.22850076528</v>
      </c>
      <c r="BA62" s="606"/>
      <c r="BB62" s="605">
        <f t="shared" si="61"/>
        <v>0</v>
      </c>
      <c r="BC62" s="606"/>
      <c r="BD62" s="606">
        <f t="shared" si="62"/>
        <v>-204686.22850076528</v>
      </c>
      <c r="BF62" s="712">
        <f t="shared" si="63"/>
        <v>-284221.68908854824</v>
      </c>
      <c r="BH62" s="590">
        <f t="shared" si="53"/>
        <v>420</v>
      </c>
    </row>
    <row r="63" spans="1:60" ht="14.5">
      <c r="A63" s="590">
        <f t="shared" si="54"/>
        <v>421</v>
      </c>
      <c r="B63" s="622" t="s">
        <v>1798</v>
      </c>
      <c r="F63" s="715" t="s">
        <v>1753</v>
      </c>
      <c r="H63" s="723"/>
      <c r="J63" s="620">
        <v>-97065.292183923128</v>
      </c>
      <c r="K63" s="606"/>
      <c r="L63" s="620">
        <v>-58239.170803661436</v>
      </c>
      <c r="M63" s="606"/>
      <c r="N63" s="620">
        <v>-38826.121380261699</v>
      </c>
      <c r="P63" s="713" t="s">
        <v>1749</v>
      </c>
      <c r="R63" s="606">
        <v>0</v>
      </c>
      <c r="S63" s="606"/>
      <c r="T63" s="606">
        <f t="shared" si="64"/>
        <v>-38826.121380261699</v>
      </c>
      <c r="U63" s="606"/>
      <c r="V63" s="606">
        <v>0</v>
      </c>
      <c r="W63" s="606"/>
      <c r="X63" s="606">
        <f t="shared" si="65"/>
        <v>-38826.121380261699</v>
      </c>
      <c r="Y63" s="606"/>
      <c r="Z63" s="607" t="s">
        <v>1548</v>
      </c>
      <c r="AA63" s="606"/>
      <c r="AB63" s="606">
        <v>0</v>
      </c>
      <c r="AC63" s="606"/>
      <c r="AD63" s="620">
        <v>-13738.4462157583</v>
      </c>
      <c r="AE63" s="606"/>
      <c r="AF63" s="606">
        <v>0</v>
      </c>
      <c r="AG63" s="606"/>
      <c r="AH63" s="607" t="s">
        <v>1759</v>
      </c>
      <c r="AI63" s="606"/>
      <c r="AJ63" s="605">
        <f t="shared" si="55"/>
        <v>0</v>
      </c>
      <c r="AK63" s="606"/>
      <c r="AL63" s="605">
        <f t="shared" si="56"/>
        <v>-25087.675164503398</v>
      </c>
      <c r="AM63" s="606"/>
      <c r="AN63" s="605">
        <f t="shared" si="57"/>
        <v>0</v>
      </c>
      <c r="AO63" s="606"/>
      <c r="AP63" s="606">
        <f t="shared" si="58"/>
        <v>-25087.675164503398</v>
      </c>
      <c r="AR63" s="606">
        <v>0</v>
      </c>
      <c r="AS63" s="606"/>
      <c r="AT63" s="620">
        <v>-3970.0192826263915</v>
      </c>
      <c r="AU63" s="606"/>
      <c r="AV63" s="606">
        <v>0</v>
      </c>
      <c r="AW63" s="606"/>
      <c r="AX63" s="605">
        <f t="shared" si="59"/>
        <v>0</v>
      </c>
      <c r="AY63" s="606"/>
      <c r="AZ63" s="605">
        <f t="shared" si="60"/>
        <v>-21117.655881877006</v>
      </c>
      <c r="BA63" s="606"/>
      <c r="BB63" s="605">
        <f t="shared" si="61"/>
        <v>0</v>
      </c>
      <c r="BC63" s="606"/>
      <c r="BD63" s="606">
        <f t="shared" si="62"/>
        <v>-21117.655881877006</v>
      </c>
      <c r="BF63" s="712">
        <f t="shared" si="63"/>
        <v>-29323.398395194712</v>
      </c>
      <c r="BH63" s="590">
        <f t="shared" si="53"/>
        <v>421</v>
      </c>
    </row>
    <row r="64" spans="1:60" ht="14.5">
      <c r="A64" s="590">
        <f t="shared" si="54"/>
        <v>422</v>
      </c>
      <c r="B64" s="622" t="s">
        <v>1799</v>
      </c>
      <c r="F64" s="715" t="s">
        <v>1753</v>
      </c>
      <c r="H64" s="723"/>
      <c r="J64" s="620">
        <v>-261.08771586334626</v>
      </c>
      <c r="K64" s="606"/>
      <c r="L64" s="620">
        <v>-156.63009605576406</v>
      </c>
      <c r="M64" s="606"/>
      <c r="N64" s="620">
        <v>-104.45761980758219</v>
      </c>
      <c r="P64" s="713" t="s">
        <v>1749</v>
      </c>
      <c r="R64" s="606">
        <v>0</v>
      </c>
      <c r="S64" s="606"/>
      <c r="T64" s="606">
        <f t="shared" si="64"/>
        <v>-104.45761980758219</v>
      </c>
      <c r="U64" s="606"/>
      <c r="V64" s="606">
        <v>0</v>
      </c>
      <c r="W64" s="606"/>
      <c r="X64" s="606">
        <f t="shared" si="65"/>
        <v>-104.45761980758219</v>
      </c>
      <c r="Y64" s="606"/>
      <c r="Z64" s="607" t="s">
        <v>1548</v>
      </c>
      <c r="AA64" s="606"/>
      <c r="AB64" s="606">
        <v>0</v>
      </c>
      <c r="AC64" s="606"/>
      <c r="AD64" s="620">
        <v>-36.961853013784712</v>
      </c>
      <c r="AE64" s="606"/>
      <c r="AF64" s="606">
        <v>0</v>
      </c>
      <c r="AG64" s="606"/>
      <c r="AH64" s="607" t="s">
        <v>1759</v>
      </c>
      <c r="AI64" s="606"/>
      <c r="AJ64" s="605">
        <f t="shared" si="55"/>
        <v>0</v>
      </c>
      <c r="AK64" s="606"/>
      <c r="AL64" s="605">
        <f t="shared" si="56"/>
        <v>-67.495766793797486</v>
      </c>
      <c r="AM64" s="606"/>
      <c r="AN64" s="605">
        <f t="shared" si="57"/>
        <v>0</v>
      </c>
      <c r="AO64" s="606"/>
      <c r="AP64" s="606">
        <f t="shared" si="58"/>
        <v>-67.495766793797486</v>
      </c>
      <c r="AR64" s="606">
        <v>0</v>
      </c>
      <c r="AS64" s="606"/>
      <c r="AT64" s="620">
        <v>-10.680921763773732</v>
      </c>
      <c r="AU64" s="606"/>
      <c r="AV64" s="606">
        <v>0</v>
      </c>
      <c r="AW64" s="606"/>
      <c r="AX64" s="605">
        <f t="shared" si="59"/>
        <v>0</v>
      </c>
      <c r="AY64" s="606"/>
      <c r="AZ64" s="605">
        <f t="shared" si="60"/>
        <v>-56.814845030023754</v>
      </c>
      <c r="BA64" s="606"/>
      <c r="BB64" s="605">
        <f t="shared" si="61"/>
        <v>0</v>
      </c>
      <c r="BC64" s="606"/>
      <c r="BD64" s="606">
        <f t="shared" si="62"/>
        <v>-56.814845030023754</v>
      </c>
      <c r="BF64" s="712">
        <f t="shared" si="63"/>
        <v>-78.89153724710448</v>
      </c>
      <c r="BH64" s="590">
        <f t="shared" si="53"/>
        <v>422</v>
      </c>
    </row>
    <row r="65" spans="1:60" ht="14.5">
      <c r="A65" s="590">
        <f t="shared" si="54"/>
        <v>423</v>
      </c>
      <c r="B65" s="622" t="s">
        <v>1800</v>
      </c>
      <c r="F65" s="715" t="s">
        <v>1753</v>
      </c>
      <c r="H65" s="723"/>
      <c r="J65" s="620">
        <v>371735.72841851</v>
      </c>
      <c r="K65" s="606"/>
      <c r="L65" s="620">
        <v>223041.47761133805</v>
      </c>
      <c r="M65" s="606"/>
      <c r="N65" s="620">
        <v>148694.25080717195</v>
      </c>
      <c r="P65" s="713" t="s">
        <v>1749</v>
      </c>
      <c r="R65" s="606">
        <v>0</v>
      </c>
      <c r="S65" s="606"/>
      <c r="T65" s="606">
        <f t="shared" si="64"/>
        <v>148694.25080717195</v>
      </c>
      <c r="U65" s="606"/>
      <c r="V65" s="606">
        <v>0</v>
      </c>
      <c r="W65" s="606"/>
      <c r="X65" s="606">
        <f t="shared" si="65"/>
        <v>148694.25080717195</v>
      </c>
      <c r="Y65" s="606"/>
      <c r="Z65" s="607" t="s">
        <v>1548</v>
      </c>
      <c r="AA65" s="606"/>
      <c r="AB65" s="606">
        <v>0</v>
      </c>
      <c r="AC65" s="606"/>
      <c r="AD65" s="620">
        <v>52614.783416026024</v>
      </c>
      <c r="AE65" s="606"/>
      <c r="AF65" s="606">
        <v>0</v>
      </c>
      <c r="AG65" s="606"/>
      <c r="AH65" s="607" t="s">
        <v>1759</v>
      </c>
      <c r="AI65" s="606"/>
      <c r="AJ65" s="605">
        <f t="shared" si="55"/>
        <v>0</v>
      </c>
      <c r="AK65" s="606"/>
      <c r="AL65" s="605">
        <f t="shared" si="56"/>
        <v>96079.467391145925</v>
      </c>
      <c r="AM65" s="606"/>
      <c r="AN65" s="605">
        <f t="shared" si="57"/>
        <v>0</v>
      </c>
      <c r="AO65" s="606"/>
      <c r="AP65" s="606">
        <f t="shared" si="58"/>
        <v>96079.467391145925</v>
      </c>
      <c r="AR65" s="606">
        <v>0</v>
      </c>
      <c r="AS65" s="606"/>
      <c r="AT65" s="620">
        <v>15204.172395655827</v>
      </c>
      <c r="AU65" s="606"/>
      <c r="AV65" s="606">
        <v>0</v>
      </c>
      <c r="AW65" s="606"/>
      <c r="AX65" s="605">
        <f t="shared" si="59"/>
        <v>0</v>
      </c>
      <c r="AY65" s="606"/>
      <c r="AZ65" s="605">
        <f t="shared" si="60"/>
        <v>80875.294995490098</v>
      </c>
      <c r="BA65" s="606"/>
      <c r="BB65" s="605">
        <f t="shared" si="61"/>
        <v>0</v>
      </c>
      <c r="BC65" s="606"/>
      <c r="BD65" s="606">
        <f t="shared" si="62"/>
        <v>80875.294995490098</v>
      </c>
      <c r="BF65" s="712">
        <f t="shared" si="63"/>
        <v>112301.2188827685</v>
      </c>
      <c r="BH65" s="590">
        <f t="shared" si="53"/>
        <v>423</v>
      </c>
    </row>
    <row r="66" spans="1:60" ht="14.5">
      <c r="A66" s="590">
        <f t="shared" si="54"/>
        <v>424</v>
      </c>
      <c r="B66" s="622" t="s">
        <v>1801</v>
      </c>
      <c r="F66" s="715" t="s">
        <v>1753</v>
      </c>
      <c r="H66" s="723"/>
      <c r="J66" s="620">
        <v>39627.125800000002</v>
      </c>
      <c r="K66" s="606"/>
      <c r="L66" s="620">
        <v>23771.092473216002</v>
      </c>
      <c r="M66" s="606"/>
      <c r="N66" s="620">
        <v>15856.033326784</v>
      </c>
      <c r="P66" s="713" t="s">
        <v>1749</v>
      </c>
      <c r="R66" s="606">
        <v>0</v>
      </c>
      <c r="S66" s="606"/>
      <c r="T66" s="606">
        <f t="shared" si="64"/>
        <v>15856.033326784</v>
      </c>
      <c r="U66" s="606"/>
      <c r="V66" s="606">
        <v>0</v>
      </c>
      <c r="W66" s="606"/>
      <c r="X66" s="606">
        <f t="shared" si="65"/>
        <v>15856.033326784</v>
      </c>
      <c r="Y66" s="606"/>
      <c r="Z66" s="607" t="s">
        <v>1548</v>
      </c>
      <c r="AA66" s="606"/>
      <c r="AB66" s="606">
        <v>0</v>
      </c>
      <c r="AC66" s="606"/>
      <c r="AD66" s="620">
        <v>5610.5851759387051</v>
      </c>
      <c r="AE66" s="606"/>
      <c r="AF66" s="606">
        <v>0</v>
      </c>
      <c r="AG66" s="606"/>
      <c r="AH66" s="607" t="s">
        <v>1759</v>
      </c>
      <c r="AI66" s="606"/>
      <c r="AJ66" s="605">
        <f t="shared" si="55"/>
        <v>0</v>
      </c>
      <c r="AK66" s="606"/>
      <c r="AL66" s="605">
        <f t="shared" si="56"/>
        <v>10245.448150845295</v>
      </c>
      <c r="AM66" s="606"/>
      <c r="AN66" s="605">
        <f t="shared" si="57"/>
        <v>0</v>
      </c>
      <c r="AO66" s="606"/>
      <c r="AP66" s="606">
        <f t="shared" si="58"/>
        <v>10245.448150845295</v>
      </c>
      <c r="AR66" s="606">
        <v>0</v>
      </c>
      <c r="AS66" s="606"/>
      <c r="AT66" s="620">
        <v>1621.2991618910676</v>
      </c>
      <c r="AU66" s="606"/>
      <c r="AV66" s="606">
        <v>0</v>
      </c>
      <c r="AW66" s="606"/>
      <c r="AX66" s="605">
        <f t="shared" si="59"/>
        <v>0</v>
      </c>
      <c r="AY66" s="606"/>
      <c r="AZ66" s="605">
        <f t="shared" si="60"/>
        <v>8624.1489889542281</v>
      </c>
      <c r="BA66" s="606"/>
      <c r="BB66" s="605">
        <f t="shared" si="61"/>
        <v>0</v>
      </c>
      <c r="BC66" s="606"/>
      <c r="BD66" s="606">
        <f t="shared" si="62"/>
        <v>8624.1489889542281</v>
      </c>
      <c r="BF66" s="712">
        <f t="shared" si="63"/>
        <v>11975.257009450941</v>
      </c>
      <c r="BH66" s="590">
        <f t="shared" si="53"/>
        <v>424</v>
      </c>
    </row>
    <row r="67" spans="1:60" ht="14.5">
      <c r="A67" s="590">
        <f t="shared" si="54"/>
        <v>425</v>
      </c>
      <c r="B67" s="622" t="s">
        <v>1802</v>
      </c>
      <c r="F67" s="715" t="s">
        <v>1753</v>
      </c>
      <c r="H67" s="723"/>
      <c r="J67" s="620">
        <v>4858877.9765368579</v>
      </c>
      <c r="K67" s="606"/>
      <c r="L67" s="620">
        <v>2914698.7054959484</v>
      </c>
      <c r="M67" s="606"/>
      <c r="N67" s="620">
        <v>1944179.2710409102</v>
      </c>
      <c r="P67" s="713" t="s">
        <v>1749</v>
      </c>
      <c r="R67" s="606">
        <v>0</v>
      </c>
      <c r="S67" s="606"/>
      <c r="T67" s="606">
        <f t="shared" si="64"/>
        <v>1944179.2710409102</v>
      </c>
      <c r="U67" s="606"/>
      <c r="V67" s="606">
        <v>0</v>
      </c>
      <c r="W67" s="606"/>
      <c r="X67" s="606">
        <f t="shared" si="65"/>
        <v>1944179.2710409102</v>
      </c>
      <c r="Y67" s="606"/>
      <c r="Z67" s="607" t="s">
        <v>1548</v>
      </c>
      <c r="AA67" s="606"/>
      <c r="AB67" s="606">
        <v>0</v>
      </c>
      <c r="AC67" s="606"/>
      <c r="AD67" s="620">
        <v>687938.98023938248</v>
      </c>
      <c r="AE67" s="606"/>
      <c r="AF67" s="606">
        <v>0</v>
      </c>
      <c r="AG67" s="606"/>
      <c r="AH67" s="607" t="s">
        <v>1759</v>
      </c>
      <c r="AI67" s="606"/>
      <c r="AJ67" s="605">
        <f t="shared" si="55"/>
        <v>0</v>
      </c>
      <c r="AK67" s="606"/>
      <c r="AL67" s="605">
        <f t="shared" si="56"/>
        <v>1256240.2908015277</v>
      </c>
      <c r="AM67" s="606"/>
      <c r="AN67" s="605">
        <f t="shared" si="57"/>
        <v>0</v>
      </c>
      <c r="AO67" s="606"/>
      <c r="AP67" s="606">
        <f t="shared" si="58"/>
        <v>1256240.2908015277</v>
      </c>
      <c r="AR67" s="606">
        <v>0</v>
      </c>
      <c r="AS67" s="606"/>
      <c r="AT67" s="620">
        <v>198794.7526182413</v>
      </c>
      <c r="AU67" s="606"/>
      <c r="AV67" s="606">
        <v>0</v>
      </c>
      <c r="AW67" s="606"/>
      <c r="AX67" s="605">
        <f t="shared" si="59"/>
        <v>0</v>
      </c>
      <c r="AY67" s="606"/>
      <c r="AZ67" s="605">
        <f t="shared" si="60"/>
        <v>1057445.5381832863</v>
      </c>
      <c r="BA67" s="606"/>
      <c r="BB67" s="605">
        <f t="shared" si="61"/>
        <v>0</v>
      </c>
      <c r="BC67" s="606"/>
      <c r="BD67" s="606">
        <f t="shared" si="62"/>
        <v>1057445.5381832863</v>
      </c>
      <c r="BF67" s="712">
        <f t="shared" si="63"/>
        <v>1468339.9033876813</v>
      </c>
      <c r="BH67" s="590">
        <f t="shared" si="53"/>
        <v>425</v>
      </c>
    </row>
    <row r="68" spans="1:60" ht="14.5">
      <c r="A68" s="590">
        <f t="shared" si="54"/>
        <v>426</v>
      </c>
      <c r="B68" s="622" t="s">
        <v>1803</v>
      </c>
      <c r="F68" s="715" t="s">
        <v>1753</v>
      </c>
      <c r="H68" s="723"/>
      <c r="J68" s="620">
        <v>1290770.57171274</v>
      </c>
      <c r="K68" s="606"/>
      <c r="L68" s="620">
        <v>774295.40260003391</v>
      </c>
      <c r="M68" s="606"/>
      <c r="N68" s="620">
        <v>516475.16911270609</v>
      </c>
      <c r="P68" s="713" t="s">
        <v>1749</v>
      </c>
      <c r="R68" s="606">
        <v>0</v>
      </c>
      <c r="S68" s="606"/>
      <c r="T68" s="606">
        <f t="shared" si="64"/>
        <v>516475.16911270609</v>
      </c>
      <c r="U68" s="606"/>
      <c r="V68" s="606">
        <v>0</v>
      </c>
      <c r="W68" s="606"/>
      <c r="X68" s="606">
        <f t="shared" si="65"/>
        <v>516475.16911270609</v>
      </c>
      <c r="Y68" s="606"/>
      <c r="Z68" s="607" t="s">
        <v>1548</v>
      </c>
      <c r="AA68" s="606"/>
      <c r="AB68" s="606">
        <v>0</v>
      </c>
      <c r="AC68" s="606"/>
      <c r="AD68" s="620">
        <v>182752.38629004048</v>
      </c>
      <c r="AE68" s="606"/>
      <c r="AF68" s="606">
        <v>0</v>
      </c>
      <c r="AG68" s="606"/>
      <c r="AH68" s="607" t="s">
        <v>1759</v>
      </c>
      <c r="AI68" s="606"/>
      <c r="AJ68" s="605">
        <f t="shared" si="55"/>
        <v>0</v>
      </c>
      <c r="AK68" s="606"/>
      <c r="AL68" s="605">
        <f t="shared" si="56"/>
        <v>333722.78282266564</v>
      </c>
      <c r="AM68" s="606"/>
      <c r="AN68" s="605">
        <f t="shared" si="57"/>
        <v>0</v>
      </c>
      <c r="AO68" s="606"/>
      <c r="AP68" s="606">
        <f t="shared" si="58"/>
        <v>333722.78282266564</v>
      </c>
      <c r="AR68" s="606">
        <v>0</v>
      </c>
      <c r="AS68" s="606"/>
      <c r="AT68" s="620">
        <v>52810.229491982012</v>
      </c>
      <c r="AU68" s="606"/>
      <c r="AV68" s="606">
        <v>0</v>
      </c>
      <c r="AW68" s="606"/>
      <c r="AX68" s="605">
        <f t="shared" si="59"/>
        <v>0</v>
      </c>
      <c r="AY68" s="606"/>
      <c r="AZ68" s="605">
        <f t="shared" si="60"/>
        <v>280912.55333068362</v>
      </c>
      <c r="BA68" s="606"/>
      <c r="BB68" s="605">
        <f t="shared" si="61"/>
        <v>0</v>
      </c>
      <c r="BC68" s="606"/>
      <c r="BD68" s="606">
        <f t="shared" si="62"/>
        <v>280912.55333068362</v>
      </c>
      <c r="BF68" s="712">
        <f t="shared" si="63"/>
        <v>390067.47536767123</v>
      </c>
      <c r="BH68" s="590">
        <f t="shared" si="53"/>
        <v>426</v>
      </c>
    </row>
    <row r="69" spans="1:60" ht="14.5">
      <c r="A69" s="590">
        <f t="shared" si="54"/>
        <v>427</v>
      </c>
      <c r="B69" s="622" t="s">
        <v>1804</v>
      </c>
      <c r="F69" s="715" t="s">
        <v>1753</v>
      </c>
      <c r="H69" s="723"/>
      <c r="J69" s="620">
        <v>1949491.3032683765</v>
      </c>
      <c r="K69" s="606"/>
      <c r="L69" s="620">
        <v>1169442.4782304987</v>
      </c>
      <c r="M69" s="606"/>
      <c r="N69" s="620">
        <v>780048.82503787789</v>
      </c>
      <c r="P69" s="713" t="s">
        <v>1749</v>
      </c>
      <c r="R69" s="606">
        <v>0</v>
      </c>
      <c r="S69" s="606"/>
      <c r="T69" s="606">
        <f t="shared" si="64"/>
        <v>780048.82503787789</v>
      </c>
      <c r="U69" s="606"/>
      <c r="V69" s="606">
        <v>0</v>
      </c>
      <c r="W69" s="606"/>
      <c r="X69" s="606">
        <f t="shared" si="65"/>
        <v>780048.82503787789</v>
      </c>
      <c r="Y69" s="606"/>
      <c r="Z69" s="607" t="s">
        <v>1548</v>
      </c>
      <c r="AA69" s="606"/>
      <c r="AB69" s="606">
        <v>0</v>
      </c>
      <c r="AC69" s="606"/>
      <c r="AD69" s="620">
        <v>276016.72398563207</v>
      </c>
      <c r="AE69" s="606"/>
      <c r="AF69" s="606">
        <v>0</v>
      </c>
      <c r="AG69" s="606"/>
      <c r="AH69" s="607" t="s">
        <v>1759</v>
      </c>
      <c r="AI69" s="606"/>
      <c r="AJ69" s="605">
        <f t="shared" si="55"/>
        <v>0</v>
      </c>
      <c r="AK69" s="606"/>
      <c r="AL69" s="605">
        <f t="shared" si="56"/>
        <v>504032.10105224582</v>
      </c>
      <c r="AM69" s="606"/>
      <c r="AN69" s="605">
        <f t="shared" si="57"/>
        <v>0</v>
      </c>
      <c r="AO69" s="606"/>
      <c r="AP69" s="606">
        <f t="shared" si="58"/>
        <v>504032.10105224582</v>
      </c>
      <c r="AR69" s="606">
        <v>0</v>
      </c>
      <c r="AS69" s="606"/>
      <c r="AT69" s="620">
        <v>79760.964183375298</v>
      </c>
      <c r="AU69" s="606"/>
      <c r="AV69" s="606">
        <v>0</v>
      </c>
      <c r="AW69" s="606"/>
      <c r="AX69" s="605">
        <f t="shared" si="59"/>
        <v>0</v>
      </c>
      <c r="AY69" s="606"/>
      <c r="AZ69" s="605">
        <f t="shared" si="60"/>
        <v>424271.13686887053</v>
      </c>
      <c r="BA69" s="606"/>
      <c r="BB69" s="605">
        <f t="shared" si="61"/>
        <v>0</v>
      </c>
      <c r="BC69" s="606"/>
      <c r="BD69" s="606">
        <f t="shared" si="62"/>
        <v>424271.13686887053</v>
      </c>
      <c r="BF69" s="712">
        <f t="shared" si="63"/>
        <v>589131.27686036855</v>
      </c>
      <c r="BH69" s="590">
        <f t="shared" si="53"/>
        <v>427</v>
      </c>
    </row>
    <row r="70" spans="1:60" ht="14.5">
      <c r="A70" s="590">
        <f t="shared" si="54"/>
        <v>428</v>
      </c>
      <c r="B70" s="622" t="s">
        <v>1805</v>
      </c>
      <c r="F70" s="715" t="s">
        <v>1753</v>
      </c>
      <c r="H70" s="723"/>
      <c r="J70" s="620">
        <v>46022.343286475691</v>
      </c>
      <c r="K70" s="606"/>
      <c r="L70" s="620">
        <v>27769.044679727383</v>
      </c>
      <c r="M70" s="606"/>
      <c r="N70" s="620">
        <v>18253.298606748307</v>
      </c>
      <c r="P70" s="713" t="s">
        <v>1749</v>
      </c>
      <c r="R70" s="606">
        <v>0</v>
      </c>
      <c r="S70" s="606"/>
      <c r="T70" s="606">
        <f t="shared" si="64"/>
        <v>18253.298606748307</v>
      </c>
      <c r="U70" s="606"/>
      <c r="V70" s="606">
        <v>0</v>
      </c>
      <c r="W70" s="606"/>
      <c r="X70" s="606">
        <f t="shared" si="65"/>
        <v>18253.298606748307</v>
      </c>
      <c r="Y70" s="606"/>
      <c r="Z70" s="607" t="s">
        <v>1548</v>
      </c>
      <c r="AA70" s="606"/>
      <c r="AB70" s="606">
        <v>0</v>
      </c>
      <c r="AC70" s="606"/>
      <c r="AD70" s="620">
        <v>6458.8465768428305</v>
      </c>
      <c r="AE70" s="606"/>
      <c r="AF70" s="606">
        <v>0</v>
      </c>
      <c r="AG70" s="606"/>
      <c r="AH70" s="607" t="s">
        <v>1759</v>
      </c>
      <c r="AI70" s="606"/>
      <c r="AJ70" s="605">
        <f t="shared" si="55"/>
        <v>0</v>
      </c>
      <c r="AK70" s="606"/>
      <c r="AL70" s="605">
        <f t="shared" si="56"/>
        <v>11794.452029905477</v>
      </c>
      <c r="AM70" s="606"/>
      <c r="AN70" s="605">
        <f t="shared" si="57"/>
        <v>0</v>
      </c>
      <c r="AO70" s="606"/>
      <c r="AP70" s="606">
        <f t="shared" si="58"/>
        <v>11794.452029905477</v>
      </c>
      <c r="AR70" s="606">
        <v>0</v>
      </c>
      <c r="AS70" s="606"/>
      <c r="AT70" s="620">
        <v>1866.4225233985958</v>
      </c>
      <c r="AU70" s="606"/>
      <c r="AV70" s="606">
        <v>0</v>
      </c>
      <c r="AW70" s="606"/>
      <c r="AX70" s="605">
        <f t="shared" si="59"/>
        <v>0</v>
      </c>
      <c r="AY70" s="606"/>
      <c r="AZ70" s="605">
        <f t="shared" si="60"/>
        <v>9928.0295065068804</v>
      </c>
      <c r="BA70" s="606"/>
      <c r="BB70" s="605">
        <f t="shared" si="61"/>
        <v>0</v>
      </c>
      <c r="BC70" s="606"/>
      <c r="BD70" s="606">
        <f t="shared" si="62"/>
        <v>9928.0295065068804</v>
      </c>
      <c r="BF70" s="712">
        <f t="shared" si="63"/>
        <v>13785.789773588904</v>
      </c>
      <c r="BH70" s="590">
        <f t="shared" si="53"/>
        <v>428</v>
      </c>
    </row>
    <row r="71" spans="1:60" ht="14.5">
      <c r="A71" s="590">
        <f t="shared" si="54"/>
        <v>429</v>
      </c>
      <c r="B71" s="622" t="s">
        <v>1806</v>
      </c>
      <c r="F71" s="715" t="s">
        <v>1753</v>
      </c>
      <c r="H71" s="723"/>
      <c r="J71" s="620">
        <v>10.21516955046464</v>
      </c>
      <c r="K71" s="606"/>
      <c r="L71" s="620">
        <v>6.1868835363948245</v>
      </c>
      <c r="M71" s="606"/>
      <c r="N71" s="620">
        <v>4.028286014069816</v>
      </c>
      <c r="P71" s="713" t="s">
        <v>1749</v>
      </c>
      <c r="R71" s="606">
        <v>0</v>
      </c>
      <c r="S71" s="606"/>
      <c r="T71" s="606">
        <f t="shared" si="64"/>
        <v>4.028286014069816</v>
      </c>
      <c r="U71" s="606"/>
      <c r="V71" s="606">
        <v>0</v>
      </c>
      <c r="W71" s="606"/>
      <c r="X71" s="606">
        <f t="shared" si="65"/>
        <v>4.028286014069816</v>
      </c>
      <c r="Y71" s="606"/>
      <c r="Z71" s="607" t="s">
        <v>1548</v>
      </c>
      <c r="AA71" s="606"/>
      <c r="AB71" s="606">
        <v>0</v>
      </c>
      <c r="AC71" s="606"/>
      <c r="AD71" s="620">
        <v>1.4253906591381631</v>
      </c>
      <c r="AE71" s="606"/>
      <c r="AF71" s="606">
        <v>0</v>
      </c>
      <c r="AG71" s="606"/>
      <c r="AH71" s="607" t="s">
        <v>1759</v>
      </c>
      <c r="AI71" s="606"/>
      <c r="AJ71" s="605">
        <f t="shared" si="55"/>
        <v>0</v>
      </c>
      <c r="AK71" s="606"/>
      <c r="AL71" s="605">
        <f t="shared" si="56"/>
        <v>2.6028953549316531</v>
      </c>
      <c r="AM71" s="606"/>
      <c r="AN71" s="605">
        <f t="shared" si="57"/>
        <v>0</v>
      </c>
      <c r="AO71" s="606"/>
      <c r="AP71" s="606">
        <f t="shared" si="58"/>
        <v>2.6028953549316531</v>
      </c>
      <c r="AR71" s="606">
        <v>0</v>
      </c>
      <c r="AS71" s="606"/>
      <c r="AT71" s="620">
        <v>0.41189726357579265</v>
      </c>
      <c r="AU71" s="606"/>
      <c r="AV71" s="606">
        <v>0</v>
      </c>
      <c r="AW71" s="606"/>
      <c r="AX71" s="605">
        <f t="shared" si="59"/>
        <v>0</v>
      </c>
      <c r="AY71" s="606"/>
      <c r="AZ71" s="605">
        <f t="shared" si="60"/>
        <v>2.1909980913558607</v>
      </c>
      <c r="BA71" s="606"/>
      <c r="BB71" s="605">
        <f t="shared" si="61"/>
        <v>0</v>
      </c>
      <c r="BC71" s="606"/>
      <c r="BD71" s="606">
        <f t="shared" si="62"/>
        <v>2.1909980913558607</v>
      </c>
      <c r="BF71" s="712">
        <f t="shared" si="63"/>
        <v>3.0423599226785294</v>
      </c>
      <c r="BH71" s="590">
        <f t="shared" si="53"/>
        <v>429</v>
      </c>
    </row>
    <row r="72" spans="1:60" ht="14.5">
      <c r="A72" s="590">
        <f t="shared" si="54"/>
        <v>430</v>
      </c>
      <c r="B72" s="622" t="s">
        <v>1807</v>
      </c>
      <c r="F72" s="715" t="s">
        <v>1753</v>
      </c>
      <c r="H72" s="723"/>
      <c r="J72" s="620">
        <v>79588.641600000003</v>
      </c>
      <c r="K72" s="606"/>
      <c r="L72" s="620">
        <v>47742.789596543997</v>
      </c>
      <c r="M72" s="606"/>
      <c r="N72" s="620">
        <v>31845.852003456002</v>
      </c>
      <c r="P72" s="713" t="s">
        <v>1749</v>
      </c>
      <c r="R72" s="606">
        <v>0</v>
      </c>
      <c r="S72" s="606"/>
      <c r="T72" s="606">
        <f t="shared" si="64"/>
        <v>31845.852003456002</v>
      </c>
      <c r="U72" s="606"/>
      <c r="V72" s="606">
        <v>0</v>
      </c>
      <c r="W72" s="606"/>
      <c r="X72" s="606">
        <f t="shared" si="65"/>
        <v>31845.852003456002</v>
      </c>
      <c r="Y72" s="606"/>
      <c r="Z72" s="607" t="s">
        <v>1548</v>
      </c>
      <c r="AA72" s="606"/>
      <c r="AB72" s="606">
        <v>0</v>
      </c>
      <c r="AC72" s="606"/>
      <c r="AD72" s="620">
        <v>11268.509688606193</v>
      </c>
      <c r="AE72" s="606"/>
      <c r="AF72" s="606">
        <v>0</v>
      </c>
      <c r="AG72" s="606"/>
      <c r="AH72" s="607" t="s">
        <v>1759</v>
      </c>
      <c r="AI72" s="606"/>
      <c r="AJ72" s="605">
        <f t="shared" si="55"/>
        <v>0</v>
      </c>
      <c r="AK72" s="606"/>
      <c r="AL72" s="605">
        <f t="shared" si="56"/>
        <v>20577.342314849811</v>
      </c>
      <c r="AM72" s="606"/>
      <c r="AN72" s="605">
        <f t="shared" si="57"/>
        <v>0</v>
      </c>
      <c r="AO72" s="606"/>
      <c r="AP72" s="606">
        <f t="shared" si="58"/>
        <v>20577.342314849811</v>
      </c>
      <c r="AR72" s="606">
        <v>0</v>
      </c>
      <c r="AS72" s="606"/>
      <c r="AT72" s="620">
        <v>3256.2780424845641</v>
      </c>
      <c r="AU72" s="606"/>
      <c r="AV72" s="606">
        <v>0</v>
      </c>
      <c r="AW72" s="606"/>
      <c r="AX72" s="605">
        <f t="shared" si="59"/>
        <v>0</v>
      </c>
      <c r="AY72" s="606"/>
      <c r="AZ72" s="605">
        <f t="shared" si="60"/>
        <v>17321.064272365249</v>
      </c>
      <c r="BA72" s="606"/>
      <c r="BB72" s="605">
        <f t="shared" si="61"/>
        <v>0</v>
      </c>
      <c r="BC72" s="606"/>
      <c r="BD72" s="606">
        <f t="shared" si="62"/>
        <v>17321.064272365249</v>
      </c>
      <c r="BF72" s="712">
        <f t="shared" si="63"/>
        <v>24051.555301799657</v>
      </c>
      <c r="BH72" s="590">
        <f t="shared" si="53"/>
        <v>430</v>
      </c>
    </row>
    <row r="73" spans="1:60" ht="14.5">
      <c r="A73" s="590">
        <f t="shared" si="54"/>
        <v>431</v>
      </c>
      <c r="B73" s="622" t="s">
        <v>1808</v>
      </c>
      <c r="F73" s="715" t="s">
        <v>1753</v>
      </c>
      <c r="H73" s="723"/>
      <c r="J73" s="620">
        <v>138316.12419999999</v>
      </c>
      <c r="K73" s="606"/>
      <c r="L73" s="620">
        <v>82971.771394048003</v>
      </c>
      <c r="M73" s="606"/>
      <c r="N73" s="620">
        <v>55344.352805952003</v>
      </c>
      <c r="P73" s="713" t="s">
        <v>1749</v>
      </c>
      <c r="R73" s="606">
        <v>0</v>
      </c>
      <c r="S73" s="606"/>
      <c r="T73" s="606">
        <f t="shared" si="64"/>
        <v>55344.352805952003</v>
      </c>
      <c r="U73" s="606"/>
      <c r="V73" s="606">
        <v>0</v>
      </c>
      <c r="W73" s="606"/>
      <c r="X73" s="606">
        <f t="shared" si="65"/>
        <v>55344.352805952003</v>
      </c>
      <c r="Y73" s="606"/>
      <c r="Z73" s="607" t="s">
        <v>1548</v>
      </c>
      <c r="AA73" s="606"/>
      <c r="AB73" s="606">
        <v>0</v>
      </c>
      <c r="AC73" s="606"/>
      <c r="AD73" s="620">
        <v>19583.347172995382</v>
      </c>
      <c r="AE73" s="606"/>
      <c r="AF73" s="606">
        <v>0</v>
      </c>
      <c r="AG73" s="606"/>
      <c r="AH73" s="607" t="s">
        <v>1759</v>
      </c>
      <c r="AI73" s="606"/>
      <c r="AJ73" s="605">
        <f t="shared" si="55"/>
        <v>0</v>
      </c>
      <c r="AK73" s="606"/>
      <c r="AL73" s="605">
        <f t="shared" si="56"/>
        <v>35761.005632956621</v>
      </c>
      <c r="AM73" s="606"/>
      <c r="AN73" s="605">
        <f t="shared" si="57"/>
        <v>0</v>
      </c>
      <c r="AO73" s="606"/>
      <c r="AP73" s="606">
        <f t="shared" si="58"/>
        <v>35761.005632956621</v>
      </c>
      <c r="AR73" s="606">
        <v>0</v>
      </c>
      <c r="AS73" s="606"/>
      <c r="AT73" s="620">
        <v>5659.029025129641</v>
      </c>
      <c r="AU73" s="606"/>
      <c r="AV73" s="606">
        <v>0</v>
      </c>
      <c r="AW73" s="606"/>
      <c r="AX73" s="605">
        <f t="shared" si="59"/>
        <v>0</v>
      </c>
      <c r="AY73" s="606"/>
      <c r="AZ73" s="605">
        <f t="shared" si="60"/>
        <v>30101.976607826982</v>
      </c>
      <c r="BA73" s="606"/>
      <c r="BB73" s="605">
        <f t="shared" si="61"/>
        <v>0</v>
      </c>
      <c r="BC73" s="606"/>
      <c r="BD73" s="606">
        <f t="shared" si="62"/>
        <v>30101.976607826982</v>
      </c>
      <c r="BF73" s="712">
        <f t="shared" si="63"/>
        <v>41798.780010979419</v>
      </c>
      <c r="BH73" s="590">
        <f t="shared" si="53"/>
        <v>431</v>
      </c>
    </row>
    <row r="74" spans="1:60" ht="14.5">
      <c r="A74" s="590">
        <f t="shared" si="54"/>
        <v>432</v>
      </c>
      <c r="B74" s="622" t="s">
        <v>1809</v>
      </c>
      <c r="F74" s="715" t="s">
        <v>1753</v>
      </c>
      <c r="H74" s="723"/>
      <c r="J74" s="620">
        <v>42824.849600000001</v>
      </c>
      <c r="K74" s="606"/>
      <c r="L74" s="620">
        <v>25839.92877952</v>
      </c>
      <c r="M74" s="606"/>
      <c r="N74" s="620">
        <v>16984.920820480002</v>
      </c>
      <c r="P74" s="713" t="s">
        <v>1749</v>
      </c>
      <c r="R74" s="606">
        <v>0</v>
      </c>
      <c r="S74" s="606"/>
      <c r="T74" s="606">
        <f t="shared" si="64"/>
        <v>16984.920820480002</v>
      </c>
      <c r="U74" s="606"/>
      <c r="V74" s="606">
        <v>0</v>
      </c>
      <c r="W74" s="606"/>
      <c r="X74" s="606">
        <f t="shared" si="65"/>
        <v>16984.920820480002</v>
      </c>
      <c r="Y74" s="606"/>
      <c r="Z74" s="607" t="s">
        <v>1548</v>
      </c>
      <c r="AA74" s="606"/>
      <c r="AB74" s="606">
        <v>0</v>
      </c>
      <c r="AC74" s="606"/>
      <c r="AD74" s="620">
        <v>6010.036874033618</v>
      </c>
      <c r="AE74" s="606"/>
      <c r="AF74" s="606">
        <v>0</v>
      </c>
      <c r="AG74" s="606"/>
      <c r="AH74" s="607" t="s">
        <v>1759</v>
      </c>
      <c r="AI74" s="606"/>
      <c r="AJ74" s="605">
        <f t="shared" si="55"/>
        <v>0</v>
      </c>
      <c r="AK74" s="606"/>
      <c r="AL74" s="605">
        <f t="shared" si="56"/>
        <v>10974.883946446384</v>
      </c>
      <c r="AM74" s="606"/>
      <c r="AN74" s="605">
        <f t="shared" si="57"/>
        <v>0</v>
      </c>
      <c r="AO74" s="606"/>
      <c r="AP74" s="606">
        <f t="shared" si="58"/>
        <v>10974.883946446384</v>
      </c>
      <c r="AR74" s="606">
        <v>0</v>
      </c>
      <c r="AS74" s="606"/>
      <c r="AT74" s="620">
        <v>1736.7293145451342</v>
      </c>
      <c r="AU74" s="606"/>
      <c r="AV74" s="606">
        <v>0</v>
      </c>
      <c r="AW74" s="606"/>
      <c r="AX74" s="605">
        <f t="shared" si="59"/>
        <v>0</v>
      </c>
      <c r="AY74" s="606"/>
      <c r="AZ74" s="605">
        <f t="shared" si="60"/>
        <v>9238.1546319012486</v>
      </c>
      <c r="BA74" s="606"/>
      <c r="BB74" s="605">
        <f t="shared" si="61"/>
        <v>0</v>
      </c>
      <c r="BC74" s="606"/>
      <c r="BD74" s="606">
        <f t="shared" si="62"/>
        <v>9238.1546319012486</v>
      </c>
      <c r="BF74" s="712">
        <f t="shared" si="63"/>
        <v>12827.848423277543</v>
      </c>
      <c r="BH74" s="590">
        <f t="shared" ref="BH74:BH99" si="66">A74</f>
        <v>432</v>
      </c>
    </row>
    <row r="75" spans="1:60" ht="14.5">
      <c r="A75" s="590">
        <f t="shared" si="54"/>
        <v>433</v>
      </c>
      <c r="B75" s="622" t="s">
        <v>1810</v>
      </c>
      <c r="F75" s="715" t="s">
        <v>1753</v>
      </c>
      <c r="H75" s="723"/>
      <c r="J75" s="620">
        <v>-176949.63399999999</v>
      </c>
      <c r="K75" s="606"/>
      <c r="L75" s="620">
        <v>-106152.043895808</v>
      </c>
      <c r="M75" s="606"/>
      <c r="N75" s="620">
        <v>-70797.590104192001</v>
      </c>
      <c r="P75" s="713" t="s">
        <v>1749</v>
      </c>
      <c r="R75" s="606">
        <v>0</v>
      </c>
      <c r="S75" s="606"/>
      <c r="T75" s="606">
        <f t="shared" si="64"/>
        <v>-70797.590104192001</v>
      </c>
      <c r="U75" s="606"/>
      <c r="V75" s="606">
        <v>0</v>
      </c>
      <c r="W75" s="606"/>
      <c r="X75" s="606">
        <f t="shared" si="65"/>
        <v>-70797.590104192001</v>
      </c>
      <c r="Y75" s="606"/>
      <c r="Z75" s="607" t="s">
        <v>1548</v>
      </c>
      <c r="AA75" s="606"/>
      <c r="AB75" s="606">
        <v>0</v>
      </c>
      <c r="AC75" s="606"/>
      <c r="AD75" s="620">
        <v>-25051.404808779484</v>
      </c>
      <c r="AE75" s="606"/>
      <c r="AF75" s="606">
        <v>0</v>
      </c>
      <c r="AG75" s="606"/>
      <c r="AH75" s="607" t="s">
        <v>1759</v>
      </c>
      <c r="AI75" s="606"/>
      <c r="AJ75" s="605">
        <f t="shared" si="55"/>
        <v>0</v>
      </c>
      <c r="AK75" s="606"/>
      <c r="AL75" s="605">
        <f t="shared" si="56"/>
        <v>-45746.185295412521</v>
      </c>
      <c r="AM75" s="606"/>
      <c r="AN75" s="605">
        <f t="shared" si="57"/>
        <v>0</v>
      </c>
      <c r="AO75" s="606"/>
      <c r="AP75" s="606">
        <f t="shared" si="58"/>
        <v>-45746.185295412521</v>
      </c>
      <c r="AR75" s="606">
        <v>0</v>
      </c>
      <c r="AS75" s="606"/>
      <c r="AT75" s="620">
        <v>-7239.1417912789511</v>
      </c>
      <c r="AU75" s="606"/>
      <c r="AV75" s="606">
        <v>0</v>
      </c>
      <c r="AW75" s="606"/>
      <c r="AX75" s="605">
        <f t="shared" ref="AX75:AX99" si="67">+AJ75-AR75</f>
        <v>0</v>
      </c>
      <c r="AY75" s="606"/>
      <c r="AZ75" s="605">
        <f t="shared" ref="AZ75:AZ99" si="68">+AL75-AT75</f>
        <v>-38507.043504133573</v>
      </c>
      <c r="BA75" s="606"/>
      <c r="BB75" s="605">
        <f t="shared" ref="BB75:BB99" si="69">+AN75-AV75</f>
        <v>0</v>
      </c>
      <c r="BC75" s="606"/>
      <c r="BD75" s="606">
        <f t="shared" si="62"/>
        <v>-38507.043504133573</v>
      </c>
      <c r="BF75" s="712">
        <f t="shared" si="63"/>
        <v>-53469.825628792292</v>
      </c>
      <c r="BH75" s="590">
        <f t="shared" si="66"/>
        <v>433</v>
      </c>
    </row>
    <row r="76" spans="1:60" ht="14.5">
      <c r="A76" s="590">
        <f t="shared" si="54"/>
        <v>434</v>
      </c>
      <c r="B76" s="622" t="s">
        <v>1811</v>
      </c>
      <c r="F76" s="715" t="s">
        <v>1753</v>
      </c>
      <c r="H76" s="723"/>
      <c r="J76" s="620">
        <v>19042.077400000002</v>
      </c>
      <c r="K76" s="606"/>
      <c r="L76" s="620">
        <v>11423.045504128</v>
      </c>
      <c r="M76" s="606"/>
      <c r="N76" s="620">
        <v>7619.0318958720009</v>
      </c>
      <c r="P76" s="713" t="s">
        <v>1749</v>
      </c>
      <c r="R76" s="606">
        <v>0</v>
      </c>
      <c r="S76" s="606"/>
      <c r="T76" s="606">
        <f t="shared" si="64"/>
        <v>7619.0318958720009</v>
      </c>
      <c r="U76" s="606"/>
      <c r="V76" s="606">
        <v>0</v>
      </c>
      <c r="W76" s="606"/>
      <c r="X76" s="606">
        <f t="shared" si="65"/>
        <v>7619.0318958720009</v>
      </c>
      <c r="Y76" s="606"/>
      <c r="Z76" s="607" t="s">
        <v>1548</v>
      </c>
      <c r="AA76" s="606"/>
      <c r="AB76" s="606">
        <v>0</v>
      </c>
      <c r="AC76" s="606"/>
      <c r="AD76" s="620">
        <v>2695.9597352620999</v>
      </c>
      <c r="AE76" s="606"/>
      <c r="AF76" s="606">
        <v>0</v>
      </c>
      <c r="AG76" s="606"/>
      <c r="AH76" s="607" t="s">
        <v>1759</v>
      </c>
      <c r="AI76" s="606"/>
      <c r="AJ76" s="605">
        <f t="shared" si="55"/>
        <v>0</v>
      </c>
      <c r="AK76" s="606"/>
      <c r="AL76" s="605">
        <f t="shared" si="56"/>
        <v>4923.0721606099014</v>
      </c>
      <c r="AM76" s="606"/>
      <c r="AN76" s="605">
        <f t="shared" si="57"/>
        <v>0</v>
      </c>
      <c r="AO76" s="606"/>
      <c r="AP76" s="606">
        <f t="shared" si="58"/>
        <v>4923.0721606099014</v>
      </c>
      <c r="AR76" s="606">
        <v>0</v>
      </c>
      <c r="AS76" s="606"/>
      <c r="AT76" s="620">
        <v>779.05550351816976</v>
      </c>
      <c r="AU76" s="606"/>
      <c r="AV76" s="606">
        <v>0</v>
      </c>
      <c r="AW76" s="606"/>
      <c r="AX76" s="605">
        <f t="shared" si="67"/>
        <v>0</v>
      </c>
      <c r="AY76" s="606"/>
      <c r="AZ76" s="605">
        <f t="shared" si="68"/>
        <v>4144.0166570917318</v>
      </c>
      <c r="BA76" s="606"/>
      <c r="BB76" s="605">
        <f t="shared" si="69"/>
        <v>0</v>
      </c>
      <c r="BC76" s="606"/>
      <c r="BD76" s="606">
        <f t="shared" si="62"/>
        <v>4144.0166570917318</v>
      </c>
      <c r="BF76" s="712">
        <f t="shared" si="63"/>
        <v>5754.2679960283094</v>
      </c>
      <c r="BH76" s="590">
        <f t="shared" si="66"/>
        <v>434</v>
      </c>
    </row>
    <row r="77" spans="1:60" ht="14.5">
      <c r="A77" s="590">
        <f t="shared" si="54"/>
        <v>435</v>
      </c>
      <c r="B77" s="622" t="s">
        <v>1812</v>
      </c>
      <c r="F77" s="715" t="s">
        <v>1753</v>
      </c>
      <c r="H77" s="723"/>
      <c r="J77" s="620">
        <v>186182.91084647487</v>
      </c>
      <c r="K77" s="606"/>
      <c r="L77" s="620">
        <v>112339.01732682377</v>
      </c>
      <c r="M77" s="606"/>
      <c r="N77" s="620">
        <v>73843.893519651116</v>
      </c>
      <c r="P77" s="713" t="s">
        <v>1749</v>
      </c>
      <c r="R77" s="606">
        <v>0</v>
      </c>
      <c r="S77" s="606"/>
      <c r="T77" s="606">
        <f t="shared" si="64"/>
        <v>73843.893519651116</v>
      </c>
      <c r="U77" s="606"/>
      <c r="V77" s="606">
        <v>0</v>
      </c>
      <c r="W77" s="606"/>
      <c r="X77" s="606">
        <f t="shared" si="65"/>
        <v>73843.893519651116</v>
      </c>
      <c r="Y77" s="606"/>
      <c r="Z77" s="607" t="s">
        <v>1548</v>
      </c>
      <c r="AA77" s="606"/>
      <c r="AB77" s="606">
        <v>0</v>
      </c>
      <c r="AC77" s="606"/>
      <c r="AD77" s="620">
        <v>26129.325397866247</v>
      </c>
      <c r="AE77" s="606"/>
      <c r="AF77" s="606">
        <v>0</v>
      </c>
      <c r="AG77" s="606"/>
      <c r="AH77" s="607" t="s">
        <v>1759</v>
      </c>
      <c r="AI77" s="606"/>
      <c r="AJ77" s="605">
        <f t="shared" si="55"/>
        <v>0</v>
      </c>
      <c r="AK77" s="606"/>
      <c r="AL77" s="605">
        <f t="shared" si="56"/>
        <v>47714.568121784869</v>
      </c>
      <c r="AM77" s="606"/>
      <c r="AN77" s="605">
        <f t="shared" si="57"/>
        <v>0</v>
      </c>
      <c r="AO77" s="606"/>
      <c r="AP77" s="606">
        <f t="shared" si="58"/>
        <v>47714.568121784869</v>
      </c>
      <c r="AR77" s="606">
        <v>0</v>
      </c>
      <c r="AS77" s="606"/>
      <c r="AT77" s="620">
        <v>7550.6301107445042</v>
      </c>
      <c r="AU77" s="606"/>
      <c r="AV77" s="606">
        <v>0</v>
      </c>
      <c r="AW77" s="606"/>
      <c r="AX77" s="605">
        <f t="shared" si="67"/>
        <v>0</v>
      </c>
      <c r="AY77" s="606"/>
      <c r="AZ77" s="605">
        <f t="shared" si="68"/>
        <v>40163.938011040365</v>
      </c>
      <c r="BA77" s="606"/>
      <c r="BB77" s="605">
        <f t="shared" si="69"/>
        <v>0</v>
      </c>
      <c r="BC77" s="606"/>
      <c r="BD77" s="606">
        <f t="shared" si="62"/>
        <v>40163.938011040365</v>
      </c>
      <c r="BF77" s="712">
        <f t="shared" si="63"/>
        <v>55770.543946990358</v>
      </c>
      <c r="BH77" s="590">
        <f t="shared" si="66"/>
        <v>435</v>
      </c>
    </row>
    <row r="78" spans="1:60" ht="14.5">
      <c r="A78" s="590">
        <f t="shared" si="54"/>
        <v>436</v>
      </c>
      <c r="B78" s="622" t="s">
        <v>1813</v>
      </c>
      <c r="F78" s="715" t="s">
        <v>1753</v>
      </c>
      <c r="H78" s="723"/>
      <c r="J78" s="620">
        <v>-44233.094088579019</v>
      </c>
      <c r="K78" s="606"/>
      <c r="L78" s="620">
        <v>-26689.47596975568</v>
      </c>
      <c r="M78" s="606"/>
      <c r="N78" s="620">
        <v>-17543.618118823335</v>
      </c>
      <c r="P78" s="713" t="s">
        <v>1749</v>
      </c>
      <c r="R78" s="606">
        <v>0</v>
      </c>
      <c r="S78" s="606"/>
      <c r="T78" s="606">
        <f t="shared" si="64"/>
        <v>-17543.618118823335</v>
      </c>
      <c r="U78" s="606"/>
      <c r="V78" s="606">
        <v>0</v>
      </c>
      <c r="W78" s="606"/>
      <c r="X78" s="606">
        <f t="shared" si="65"/>
        <v>-17543.618118823335</v>
      </c>
      <c r="Y78" s="606"/>
      <c r="Z78" s="607" t="s">
        <v>1548</v>
      </c>
      <c r="AA78" s="606"/>
      <c r="AB78" s="606">
        <v>0</v>
      </c>
      <c r="AC78" s="606"/>
      <c r="AD78" s="620">
        <v>-6207.7293684500555</v>
      </c>
      <c r="AE78" s="606"/>
      <c r="AF78" s="606">
        <v>0</v>
      </c>
      <c r="AG78" s="606"/>
      <c r="AH78" s="607" t="s">
        <v>1759</v>
      </c>
      <c r="AI78" s="606"/>
      <c r="AJ78" s="605">
        <f t="shared" si="55"/>
        <v>0</v>
      </c>
      <c r="AK78" s="606"/>
      <c r="AL78" s="605">
        <f t="shared" si="56"/>
        <v>-11335.88875037328</v>
      </c>
      <c r="AM78" s="606"/>
      <c r="AN78" s="605">
        <f t="shared" si="57"/>
        <v>0</v>
      </c>
      <c r="AO78" s="606"/>
      <c r="AP78" s="606">
        <f t="shared" si="58"/>
        <v>-11335.88875037328</v>
      </c>
      <c r="AR78" s="606">
        <v>0</v>
      </c>
      <c r="AS78" s="606"/>
      <c r="AT78" s="620">
        <v>-1793.8568093533563</v>
      </c>
      <c r="AU78" s="606"/>
      <c r="AV78" s="606">
        <v>0</v>
      </c>
      <c r="AW78" s="606"/>
      <c r="AX78" s="605">
        <f t="shared" si="67"/>
        <v>0</v>
      </c>
      <c r="AY78" s="606"/>
      <c r="AZ78" s="605">
        <f t="shared" si="68"/>
        <v>-9542.0319410199245</v>
      </c>
      <c r="BA78" s="606"/>
      <c r="BB78" s="605">
        <f t="shared" si="69"/>
        <v>0</v>
      </c>
      <c r="BC78" s="606"/>
      <c r="BD78" s="606">
        <f t="shared" si="62"/>
        <v>-9542.0319410199245</v>
      </c>
      <c r="BF78" s="712">
        <f t="shared" si="63"/>
        <v>-13249.804129364871</v>
      </c>
      <c r="BH78" s="590">
        <f t="shared" si="66"/>
        <v>436</v>
      </c>
    </row>
    <row r="79" spans="1:60" ht="14.5">
      <c r="A79" s="590">
        <f t="shared" si="54"/>
        <v>437</v>
      </c>
      <c r="B79" s="622" t="s">
        <v>1814</v>
      </c>
      <c r="F79" s="715" t="s">
        <v>1753</v>
      </c>
      <c r="H79" s="723"/>
      <c r="J79" s="620">
        <v>617494.83598150895</v>
      </c>
      <c r="K79" s="606"/>
      <c r="L79" s="620">
        <v>372585.0544452038</v>
      </c>
      <c r="M79" s="606"/>
      <c r="N79" s="620">
        <v>244909.78153630506</v>
      </c>
      <c r="P79" s="713" t="s">
        <v>1749</v>
      </c>
      <c r="R79" s="606">
        <v>0</v>
      </c>
      <c r="S79" s="606"/>
      <c r="T79" s="606">
        <f t="shared" si="64"/>
        <v>244909.78153630506</v>
      </c>
      <c r="U79" s="606"/>
      <c r="V79" s="606">
        <v>0</v>
      </c>
      <c r="W79" s="606"/>
      <c r="X79" s="606">
        <f t="shared" si="65"/>
        <v>244909.78153630506</v>
      </c>
      <c r="Y79" s="606"/>
      <c r="Z79" s="607" t="s">
        <v>1548</v>
      </c>
      <c r="AA79" s="606"/>
      <c r="AB79" s="606">
        <v>0</v>
      </c>
      <c r="AC79" s="606"/>
      <c r="AD79" s="620">
        <v>86660.21074822497</v>
      </c>
      <c r="AE79" s="606"/>
      <c r="AF79" s="606">
        <v>0</v>
      </c>
      <c r="AG79" s="606"/>
      <c r="AH79" s="607" t="s">
        <v>1759</v>
      </c>
      <c r="AI79" s="606"/>
      <c r="AJ79" s="605">
        <f t="shared" si="55"/>
        <v>0</v>
      </c>
      <c r="AK79" s="606"/>
      <c r="AL79" s="605">
        <f t="shared" si="56"/>
        <v>158249.57078808011</v>
      </c>
      <c r="AM79" s="606"/>
      <c r="AN79" s="605">
        <f t="shared" si="57"/>
        <v>0</v>
      </c>
      <c r="AO79" s="606"/>
      <c r="AP79" s="606">
        <f t="shared" si="58"/>
        <v>158249.57078808011</v>
      </c>
      <c r="AR79" s="606">
        <v>0</v>
      </c>
      <c r="AS79" s="606"/>
      <c r="AT79" s="620">
        <v>25042.330282757554</v>
      </c>
      <c r="AU79" s="606"/>
      <c r="AV79" s="606">
        <v>0</v>
      </c>
      <c r="AW79" s="606"/>
      <c r="AX79" s="605">
        <f t="shared" si="67"/>
        <v>0</v>
      </c>
      <c r="AY79" s="606"/>
      <c r="AZ79" s="605">
        <f t="shared" si="68"/>
        <v>133207.24050532255</v>
      </c>
      <c r="BA79" s="606"/>
      <c r="BB79" s="605">
        <f t="shared" si="69"/>
        <v>0</v>
      </c>
      <c r="BC79" s="606"/>
      <c r="BD79" s="606">
        <f t="shared" si="62"/>
        <v>133207.24050532255</v>
      </c>
      <c r="BF79" s="712">
        <f t="shared" si="63"/>
        <v>184967.92467454987</v>
      </c>
      <c r="BH79" s="590">
        <f t="shared" si="66"/>
        <v>437</v>
      </c>
    </row>
    <row r="80" spans="1:60" ht="14.5">
      <c r="A80" s="590">
        <f t="shared" si="54"/>
        <v>438</v>
      </c>
      <c r="B80" s="622" t="s">
        <v>1815</v>
      </c>
      <c r="F80" s="715" t="s">
        <v>1753</v>
      </c>
      <c r="H80" s="723"/>
      <c r="J80" s="620">
        <v>1864201.3516246921</v>
      </c>
      <c r="K80" s="606"/>
      <c r="L80" s="620">
        <v>1124691.1101175349</v>
      </c>
      <c r="M80" s="606"/>
      <c r="N80" s="620">
        <v>739510.24150715722</v>
      </c>
      <c r="P80" s="713" t="s">
        <v>1749</v>
      </c>
      <c r="R80" s="606">
        <v>0</v>
      </c>
      <c r="S80" s="606"/>
      <c r="T80" s="606">
        <f t="shared" si="64"/>
        <v>739510.24150715722</v>
      </c>
      <c r="U80" s="606"/>
      <c r="V80" s="606">
        <v>0</v>
      </c>
      <c r="W80" s="606"/>
      <c r="X80" s="606">
        <f t="shared" si="65"/>
        <v>739510.24150715722</v>
      </c>
      <c r="Y80" s="606"/>
      <c r="Z80" s="607" t="s">
        <v>1548</v>
      </c>
      <c r="AA80" s="606"/>
      <c r="AB80" s="606">
        <v>0</v>
      </c>
      <c r="AC80" s="606"/>
      <c r="AD80" s="620">
        <v>261672.33083739027</v>
      </c>
      <c r="AE80" s="606"/>
      <c r="AF80" s="606">
        <v>0</v>
      </c>
      <c r="AG80" s="606"/>
      <c r="AH80" s="607" t="s">
        <v>1759</v>
      </c>
      <c r="AI80" s="606"/>
      <c r="AJ80" s="605">
        <f t="shared" si="55"/>
        <v>0</v>
      </c>
      <c r="AK80" s="606"/>
      <c r="AL80" s="605">
        <f t="shared" si="56"/>
        <v>477837.91066976695</v>
      </c>
      <c r="AM80" s="606"/>
      <c r="AN80" s="605">
        <f t="shared" si="57"/>
        <v>0</v>
      </c>
      <c r="AO80" s="606"/>
      <c r="AP80" s="606">
        <f t="shared" si="58"/>
        <v>477837.91066976695</v>
      </c>
      <c r="AR80" s="606">
        <v>0</v>
      </c>
      <c r="AS80" s="606"/>
      <c r="AT80" s="620">
        <v>75615.843512394771</v>
      </c>
      <c r="AU80" s="606"/>
      <c r="AV80" s="606">
        <v>0</v>
      </c>
      <c r="AW80" s="606"/>
      <c r="AX80" s="605">
        <f t="shared" si="67"/>
        <v>0</v>
      </c>
      <c r="AY80" s="606"/>
      <c r="AZ80" s="605">
        <f t="shared" si="68"/>
        <v>402222.06715737219</v>
      </c>
      <c r="BA80" s="606"/>
      <c r="BB80" s="605">
        <f t="shared" si="69"/>
        <v>0</v>
      </c>
      <c r="BC80" s="606"/>
      <c r="BD80" s="606">
        <f t="shared" si="62"/>
        <v>402222.06715737219</v>
      </c>
      <c r="BF80" s="712">
        <f t="shared" si="63"/>
        <v>558514.54273939296</v>
      </c>
      <c r="BH80" s="590">
        <f t="shared" si="66"/>
        <v>438</v>
      </c>
    </row>
    <row r="81" spans="1:60" ht="14.5">
      <c r="A81" s="590">
        <f t="shared" si="54"/>
        <v>439</v>
      </c>
      <c r="B81" s="622" t="s">
        <v>1816</v>
      </c>
      <c r="F81" s="715" t="s">
        <v>1753</v>
      </c>
      <c r="H81" s="723"/>
      <c r="J81" s="620">
        <v>-122080.81916864363</v>
      </c>
      <c r="K81" s="606"/>
      <c r="L81" s="620">
        <v>-73662.261069185886</v>
      </c>
      <c r="M81" s="606"/>
      <c r="N81" s="620">
        <v>-48418.558099457739</v>
      </c>
      <c r="P81" s="713" t="s">
        <v>1749</v>
      </c>
      <c r="R81" s="606">
        <v>0</v>
      </c>
      <c r="S81" s="606"/>
      <c r="T81" s="606">
        <f t="shared" si="64"/>
        <v>-48418.558099457739</v>
      </c>
      <c r="U81" s="606"/>
      <c r="V81" s="606">
        <v>0</v>
      </c>
      <c r="W81" s="606"/>
      <c r="X81" s="606">
        <f t="shared" si="65"/>
        <v>-48418.558099457739</v>
      </c>
      <c r="Y81" s="606"/>
      <c r="Z81" s="607" t="s">
        <v>1548</v>
      </c>
      <c r="AA81" s="606"/>
      <c r="AB81" s="606">
        <v>0</v>
      </c>
      <c r="AC81" s="606"/>
      <c r="AD81" s="620">
        <v>-17132.68625982658</v>
      </c>
      <c r="AE81" s="606"/>
      <c r="AF81" s="606">
        <v>0</v>
      </c>
      <c r="AG81" s="606"/>
      <c r="AH81" s="607" t="s">
        <v>1759</v>
      </c>
      <c r="AI81" s="606"/>
      <c r="AJ81" s="605">
        <f t="shared" si="55"/>
        <v>0</v>
      </c>
      <c r="AK81" s="606"/>
      <c r="AL81" s="605">
        <f t="shared" si="56"/>
        <v>-31285.87183963116</v>
      </c>
      <c r="AM81" s="606"/>
      <c r="AN81" s="605">
        <f t="shared" si="57"/>
        <v>0</v>
      </c>
      <c r="AO81" s="606"/>
      <c r="AP81" s="606">
        <f t="shared" si="58"/>
        <v>-31285.87183963116</v>
      </c>
      <c r="AR81" s="606">
        <v>0</v>
      </c>
      <c r="AS81" s="606"/>
      <c r="AT81" s="620">
        <v>-4950.8578878943854</v>
      </c>
      <c r="AU81" s="606"/>
      <c r="AV81" s="606">
        <v>0</v>
      </c>
      <c r="AW81" s="606"/>
      <c r="AX81" s="605">
        <f t="shared" si="67"/>
        <v>0</v>
      </c>
      <c r="AY81" s="606"/>
      <c r="AZ81" s="605">
        <f t="shared" si="68"/>
        <v>-26335.013951736775</v>
      </c>
      <c r="BA81" s="606"/>
      <c r="BB81" s="605">
        <f t="shared" si="69"/>
        <v>0</v>
      </c>
      <c r="BC81" s="606"/>
      <c r="BD81" s="606">
        <f t="shared" si="62"/>
        <v>-26335.013951736775</v>
      </c>
      <c r="BF81" s="712">
        <f t="shared" si="63"/>
        <v>-36568.078870558333</v>
      </c>
      <c r="BH81" s="590">
        <f t="shared" si="66"/>
        <v>439</v>
      </c>
    </row>
    <row r="82" spans="1:60" ht="14.5">
      <c r="A82" s="590">
        <f t="shared" si="54"/>
        <v>440</v>
      </c>
      <c r="B82" s="622" t="s">
        <v>1817</v>
      </c>
      <c r="F82" s="715" t="s">
        <v>1753</v>
      </c>
      <c r="H82" s="723"/>
      <c r="J82" s="620">
        <v>-34475.896786654914</v>
      </c>
      <c r="K82" s="606"/>
      <c r="L82" s="620">
        <v>-20681.103871194482</v>
      </c>
      <c r="M82" s="606"/>
      <c r="N82" s="620">
        <v>-13794.792915460432</v>
      </c>
      <c r="P82" s="713" t="s">
        <v>1749</v>
      </c>
      <c r="R82" s="606">
        <v>0</v>
      </c>
      <c r="S82" s="606"/>
      <c r="T82" s="606">
        <f t="shared" si="64"/>
        <v>-13794.792915460432</v>
      </c>
      <c r="U82" s="606"/>
      <c r="V82" s="606">
        <v>0</v>
      </c>
      <c r="W82" s="606"/>
      <c r="X82" s="606">
        <f t="shared" si="65"/>
        <v>-13794.792915460432</v>
      </c>
      <c r="Y82" s="606"/>
      <c r="Z82" s="607" t="s">
        <v>1548</v>
      </c>
      <c r="AA82" s="606"/>
      <c r="AB82" s="606">
        <v>0</v>
      </c>
      <c r="AC82" s="606"/>
      <c r="AD82" s="620">
        <v>-4881.2246443685171</v>
      </c>
      <c r="AE82" s="606"/>
      <c r="AF82" s="606">
        <v>0</v>
      </c>
      <c r="AG82" s="606"/>
      <c r="AH82" s="607" t="s">
        <v>1759</v>
      </c>
      <c r="AI82" s="606"/>
      <c r="AJ82" s="605">
        <f t="shared" si="55"/>
        <v>0</v>
      </c>
      <c r="AK82" s="606"/>
      <c r="AL82" s="605">
        <f t="shared" si="56"/>
        <v>-8913.5682710919136</v>
      </c>
      <c r="AM82" s="606"/>
      <c r="AN82" s="605">
        <f t="shared" si="57"/>
        <v>0</v>
      </c>
      <c r="AO82" s="606"/>
      <c r="AP82" s="606">
        <f t="shared" si="58"/>
        <v>-8913.5682710919136</v>
      </c>
      <c r="AR82" s="606">
        <v>0</v>
      </c>
      <c r="AS82" s="606"/>
      <c r="AT82" s="620">
        <v>-1410.5347618383898</v>
      </c>
      <c r="AU82" s="606"/>
      <c r="AV82" s="606">
        <v>0</v>
      </c>
      <c r="AW82" s="606"/>
      <c r="AX82" s="605">
        <f t="shared" si="67"/>
        <v>0</v>
      </c>
      <c r="AY82" s="606"/>
      <c r="AZ82" s="605">
        <f t="shared" si="68"/>
        <v>-7503.0335092535242</v>
      </c>
      <c r="BA82" s="606"/>
      <c r="BB82" s="605">
        <f t="shared" si="69"/>
        <v>0</v>
      </c>
      <c r="BC82" s="606"/>
      <c r="BD82" s="606">
        <f t="shared" si="62"/>
        <v>-7503.0335092535242</v>
      </c>
      <c r="BF82" s="712">
        <f t="shared" si="63"/>
        <v>-10418.506769643474</v>
      </c>
      <c r="BH82" s="590">
        <f t="shared" si="66"/>
        <v>440</v>
      </c>
    </row>
    <row r="83" spans="1:60" ht="14.5">
      <c r="A83" s="590">
        <f t="shared" si="54"/>
        <v>441</v>
      </c>
      <c r="B83" s="622" t="s">
        <v>1818</v>
      </c>
      <c r="F83" s="715" t="s">
        <v>1753</v>
      </c>
      <c r="H83" s="723"/>
      <c r="J83" s="620">
        <v>73984.116584648276</v>
      </c>
      <c r="K83" s="606"/>
      <c r="L83" s="620">
        <v>58565.418742607122</v>
      </c>
      <c r="M83" s="606"/>
      <c r="N83" s="620">
        <v>15418.697842041158</v>
      </c>
      <c r="P83" s="713" t="s">
        <v>1749</v>
      </c>
      <c r="R83" s="606">
        <v>0</v>
      </c>
      <c r="S83" s="606"/>
      <c r="T83" s="606">
        <f t="shared" si="64"/>
        <v>15418.697842041158</v>
      </c>
      <c r="U83" s="606"/>
      <c r="V83" s="606">
        <v>0</v>
      </c>
      <c r="W83" s="606"/>
      <c r="X83" s="606">
        <f t="shared" si="65"/>
        <v>15418.697842041158</v>
      </c>
      <c r="Y83" s="606"/>
      <c r="Z83" s="607" t="s">
        <v>1548</v>
      </c>
      <c r="AA83" s="606"/>
      <c r="AB83" s="606">
        <v>0</v>
      </c>
      <c r="AC83" s="606"/>
      <c r="AD83" s="620">
        <v>5455.8360065190527</v>
      </c>
      <c r="AE83" s="606"/>
      <c r="AF83" s="606">
        <v>0</v>
      </c>
      <c r="AG83" s="606"/>
      <c r="AH83" s="607" t="s">
        <v>1759</v>
      </c>
      <c r="AI83" s="606"/>
      <c r="AJ83" s="605">
        <f t="shared" si="55"/>
        <v>0</v>
      </c>
      <c r="AK83" s="606"/>
      <c r="AL83" s="605">
        <f t="shared" si="56"/>
        <v>9962.8618355221042</v>
      </c>
      <c r="AM83" s="606"/>
      <c r="AN83" s="605">
        <f t="shared" si="57"/>
        <v>0</v>
      </c>
      <c r="AO83" s="606"/>
      <c r="AP83" s="606">
        <f t="shared" si="58"/>
        <v>9962.8618355221042</v>
      </c>
      <c r="AR83" s="606">
        <v>0</v>
      </c>
      <c r="AS83" s="606"/>
      <c r="AT83" s="620">
        <v>1576.5810637220216</v>
      </c>
      <c r="AU83" s="606"/>
      <c r="AV83" s="606">
        <v>0</v>
      </c>
      <c r="AW83" s="606"/>
      <c r="AX83" s="605">
        <f t="shared" si="67"/>
        <v>0</v>
      </c>
      <c r="AY83" s="606"/>
      <c r="AZ83" s="605">
        <f t="shared" si="68"/>
        <v>8386.2807718000822</v>
      </c>
      <c r="BA83" s="606"/>
      <c r="BB83" s="605">
        <f t="shared" si="69"/>
        <v>0</v>
      </c>
      <c r="BC83" s="606"/>
      <c r="BD83" s="606">
        <f t="shared" si="62"/>
        <v>8386.2807718000822</v>
      </c>
      <c r="BF83" s="712">
        <f t="shared" si="63"/>
        <v>11644.959720008334</v>
      </c>
      <c r="BH83" s="590">
        <f t="shared" si="66"/>
        <v>441</v>
      </c>
    </row>
    <row r="84" spans="1:60" ht="14.5">
      <c r="A84" s="590">
        <f t="shared" si="54"/>
        <v>442</v>
      </c>
      <c r="B84" s="622" t="s">
        <v>1819</v>
      </c>
      <c r="F84" s="715" t="s">
        <v>1753</v>
      </c>
      <c r="H84" s="723"/>
      <c r="J84" s="620">
        <v>928.07819827603748</v>
      </c>
      <c r="K84" s="606"/>
      <c r="L84" s="620">
        <v>556.76096732724022</v>
      </c>
      <c r="M84" s="606"/>
      <c r="N84" s="620">
        <v>371.31723094879726</v>
      </c>
      <c r="P84" s="713" t="s">
        <v>1749</v>
      </c>
      <c r="R84" s="606">
        <v>0</v>
      </c>
      <c r="S84" s="606"/>
      <c r="T84" s="606">
        <f t="shared" si="64"/>
        <v>371.31723094879726</v>
      </c>
      <c r="U84" s="606"/>
      <c r="V84" s="606">
        <v>0</v>
      </c>
      <c r="W84" s="606"/>
      <c r="X84" s="606">
        <f t="shared" si="65"/>
        <v>371.31723094879726</v>
      </c>
      <c r="Y84" s="606"/>
      <c r="Z84" s="607" t="s">
        <v>1548</v>
      </c>
      <c r="AA84" s="606"/>
      <c r="AB84" s="606">
        <v>0</v>
      </c>
      <c r="AC84" s="606"/>
      <c r="AD84" s="620">
        <v>131.38891099659901</v>
      </c>
      <c r="AE84" s="606"/>
      <c r="AF84" s="606">
        <v>0</v>
      </c>
      <c r="AG84" s="606"/>
      <c r="AH84" s="607" t="s">
        <v>1759</v>
      </c>
      <c r="AI84" s="606"/>
      <c r="AJ84" s="605">
        <f t="shared" si="55"/>
        <v>0</v>
      </c>
      <c r="AK84" s="606"/>
      <c r="AL84" s="605">
        <f t="shared" si="56"/>
        <v>239.92831995219825</v>
      </c>
      <c r="AM84" s="606"/>
      <c r="AN84" s="605">
        <f t="shared" si="57"/>
        <v>0</v>
      </c>
      <c r="AO84" s="606"/>
      <c r="AP84" s="606">
        <f t="shared" si="58"/>
        <v>239.92831995219825</v>
      </c>
      <c r="AR84" s="606">
        <v>0</v>
      </c>
      <c r="AS84" s="606"/>
      <c r="AT84" s="620">
        <v>37.967649469812315</v>
      </c>
      <c r="AU84" s="606"/>
      <c r="AV84" s="606">
        <v>0</v>
      </c>
      <c r="AW84" s="606"/>
      <c r="AX84" s="605">
        <f t="shared" si="67"/>
        <v>0</v>
      </c>
      <c r="AY84" s="606"/>
      <c r="AZ84" s="605">
        <f t="shared" si="68"/>
        <v>201.96067048238592</v>
      </c>
      <c r="BA84" s="606"/>
      <c r="BB84" s="605">
        <f t="shared" si="69"/>
        <v>0</v>
      </c>
      <c r="BC84" s="606"/>
      <c r="BD84" s="606">
        <f t="shared" si="62"/>
        <v>201.96067048238592</v>
      </c>
      <c r="BF84" s="712">
        <f t="shared" si="63"/>
        <v>280.43705389659289</v>
      </c>
      <c r="BH84" s="590">
        <f t="shared" si="66"/>
        <v>442</v>
      </c>
    </row>
    <row r="85" spans="1:60" ht="14.5">
      <c r="A85" s="590">
        <f t="shared" si="54"/>
        <v>443</v>
      </c>
      <c r="B85" s="622" t="s">
        <v>1820</v>
      </c>
      <c r="F85" s="715" t="s">
        <v>1753</v>
      </c>
      <c r="H85" s="723"/>
      <c r="J85" s="620">
        <v>19298495.997185547</v>
      </c>
      <c r="K85" s="606"/>
      <c r="L85" s="620">
        <v>11429050.618671767</v>
      </c>
      <c r="M85" s="606"/>
      <c r="N85" s="620">
        <v>7869445.3785137795</v>
      </c>
      <c r="P85" s="713" t="s">
        <v>1749</v>
      </c>
      <c r="R85" s="606">
        <v>0</v>
      </c>
      <c r="S85" s="606"/>
      <c r="T85" s="606">
        <f t="shared" si="64"/>
        <v>7869445.3785137795</v>
      </c>
      <c r="U85" s="606"/>
      <c r="V85" s="606">
        <v>0</v>
      </c>
      <c r="W85" s="606"/>
      <c r="X85" s="606">
        <f t="shared" si="65"/>
        <v>7869445.3785137795</v>
      </c>
      <c r="Y85" s="606"/>
      <c r="Z85" s="607" t="s">
        <v>1548</v>
      </c>
      <c r="AA85" s="606"/>
      <c r="AB85" s="606">
        <v>0</v>
      </c>
      <c r="AC85" s="606"/>
      <c r="AD85" s="620">
        <v>2784567.4055797374</v>
      </c>
      <c r="AE85" s="606"/>
      <c r="AF85" s="606">
        <v>0</v>
      </c>
      <c r="AG85" s="606"/>
      <c r="AH85" s="607" t="s">
        <v>1759</v>
      </c>
      <c r="AI85" s="606"/>
      <c r="AJ85" s="605">
        <f t="shared" si="55"/>
        <v>0</v>
      </c>
      <c r="AK85" s="606"/>
      <c r="AL85" s="605">
        <f t="shared" si="56"/>
        <v>5084877.9729340421</v>
      </c>
      <c r="AM85" s="606"/>
      <c r="AN85" s="605">
        <f t="shared" si="57"/>
        <v>0</v>
      </c>
      <c r="AO85" s="606"/>
      <c r="AP85" s="606">
        <f t="shared" si="58"/>
        <v>5084877.9729340421</v>
      </c>
      <c r="AR85" s="606">
        <v>0</v>
      </c>
      <c r="AS85" s="606"/>
      <c r="AT85" s="620">
        <v>804660.59409574384</v>
      </c>
      <c r="AU85" s="606"/>
      <c r="AV85" s="606">
        <v>0</v>
      </c>
      <c r="AW85" s="606"/>
      <c r="AX85" s="605">
        <f t="shared" si="67"/>
        <v>0</v>
      </c>
      <c r="AY85" s="606"/>
      <c r="AZ85" s="605">
        <f t="shared" si="68"/>
        <v>4280217.3788382979</v>
      </c>
      <c r="BA85" s="606"/>
      <c r="BB85" s="605">
        <f t="shared" si="69"/>
        <v>0</v>
      </c>
      <c r="BC85" s="606"/>
      <c r="BD85" s="606">
        <f t="shared" si="62"/>
        <v>4280217.3788382979</v>
      </c>
      <c r="BF85" s="712">
        <f t="shared" si="63"/>
        <v>5943392.5867417669</v>
      </c>
      <c r="BH85" s="590">
        <f t="shared" si="66"/>
        <v>443</v>
      </c>
    </row>
    <row r="86" spans="1:60" ht="14.5">
      <c r="A86" s="590">
        <f t="shared" si="54"/>
        <v>444</v>
      </c>
      <c r="B86" s="622" t="s">
        <v>1821</v>
      </c>
      <c r="F86" s="715" t="s">
        <v>1753</v>
      </c>
      <c r="H86" s="723"/>
      <c r="J86" s="620">
        <v>1257231.8788000001</v>
      </c>
      <c r="K86" s="606"/>
      <c r="L86" s="620">
        <v>755662.71551040001</v>
      </c>
      <c r="M86" s="606"/>
      <c r="N86" s="620">
        <v>501569.16328959999</v>
      </c>
      <c r="P86" s="713" t="s">
        <v>1749</v>
      </c>
      <c r="R86" s="606">
        <v>0</v>
      </c>
      <c r="S86" s="606"/>
      <c r="T86" s="606">
        <f t="shared" si="64"/>
        <v>501569.16328959999</v>
      </c>
      <c r="U86" s="606"/>
      <c r="V86" s="606">
        <v>0</v>
      </c>
      <c r="W86" s="606"/>
      <c r="X86" s="606">
        <f t="shared" si="65"/>
        <v>501569.16328959999</v>
      </c>
      <c r="Y86" s="606"/>
      <c r="Z86" s="607" t="s">
        <v>1548</v>
      </c>
      <c r="AA86" s="606"/>
      <c r="AB86" s="606">
        <v>0</v>
      </c>
      <c r="AC86" s="606"/>
      <c r="AD86" s="620">
        <v>177477.96401935155</v>
      </c>
      <c r="AE86" s="606"/>
      <c r="AF86" s="606">
        <v>0</v>
      </c>
      <c r="AG86" s="606"/>
      <c r="AH86" s="607" t="s">
        <v>1759</v>
      </c>
      <c r="AI86" s="606"/>
      <c r="AJ86" s="605">
        <f t="shared" si="55"/>
        <v>0</v>
      </c>
      <c r="AK86" s="606"/>
      <c r="AL86" s="605">
        <f t="shared" si="56"/>
        <v>324091.19927024841</v>
      </c>
      <c r="AM86" s="606"/>
      <c r="AN86" s="605">
        <f t="shared" si="57"/>
        <v>0</v>
      </c>
      <c r="AO86" s="606"/>
      <c r="AP86" s="606">
        <f t="shared" si="58"/>
        <v>324091.19927024841</v>
      </c>
      <c r="AR86" s="606">
        <v>0</v>
      </c>
      <c r="AS86" s="606"/>
      <c r="AT86" s="620">
        <v>51286.071825933068</v>
      </c>
      <c r="AU86" s="606"/>
      <c r="AV86" s="606">
        <v>0</v>
      </c>
      <c r="AW86" s="606"/>
      <c r="AX86" s="605">
        <f t="shared" si="67"/>
        <v>0</v>
      </c>
      <c r="AY86" s="606"/>
      <c r="AZ86" s="605">
        <f t="shared" si="68"/>
        <v>272805.12744431535</v>
      </c>
      <c r="BA86" s="606"/>
      <c r="BB86" s="605">
        <f t="shared" si="69"/>
        <v>0</v>
      </c>
      <c r="BC86" s="606"/>
      <c r="BD86" s="606">
        <f t="shared" si="62"/>
        <v>272805.12744431535</v>
      </c>
      <c r="BF86" s="712">
        <f t="shared" si="63"/>
        <v>378809.72590176034</v>
      </c>
      <c r="BH86" s="590">
        <f t="shared" si="66"/>
        <v>444</v>
      </c>
    </row>
    <row r="87" spans="1:60" ht="14.5">
      <c r="A87" s="590">
        <f t="shared" si="54"/>
        <v>445</v>
      </c>
      <c r="B87" s="622" t="s">
        <v>1822</v>
      </c>
      <c r="F87" s="715" t="s">
        <v>1753</v>
      </c>
      <c r="H87" s="723"/>
      <c r="J87" s="620">
        <v>1143941.5022</v>
      </c>
      <c r="K87" s="606"/>
      <c r="L87" s="620">
        <v>687601.58116902411</v>
      </c>
      <c r="M87" s="606"/>
      <c r="N87" s="620">
        <v>456339.92103097605</v>
      </c>
      <c r="P87" s="713" t="s">
        <v>1749</v>
      </c>
      <c r="R87" s="606">
        <v>0</v>
      </c>
      <c r="S87" s="606"/>
      <c r="T87" s="606">
        <f t="shared" si="64"/>
        <v>456339.92103097605</v>
      </c>
      <c r="U87" s="606"/>
      <c r="V87" s="606">
        <v>0</v>
      </c>
      <c r="W87" s="606"/>
      <c r="X87" s="606">
        <f t="shared" si="65"/>
        <v>456339.92103097605</v>
      </c>
      <c r="Y87" s="606"/>
      <c r="Z87" s="607" t="s">
        <v>1548</v>
      </c>
      <c r="AA87" s="606"/>
      <c r="AB87" s="606">
        <v>0</v>
      </c>
      <c r="AC87" s="606"/>
      <c r="AD87" s="620">
        <v>161473.80264397649</v>
      </c>
      <c r="AE87" s="606"/>
      <c r="AF87" s="606">
        <v>0</v>
      </c>
      <c r="AG87" s="606"/>
      <c r="AH87" s="607" t="s">
        <v>1759</v>
      </c>
      <c r="AI87" s="606"/>
      <c r="AJ87" s="605">
        <f t="shared" si="55"/>
        <v>0</v>
      </c>
      <c r="AK87" s="606"/>
      <c r="AL87" s="605">
        <f t="shared" si="56"/>
        <v>294866.11838699959</v>
      </c>
      <c r="AM87" s="606"/>
      <c r="AN87" s="605">
        <f t="shared" si="57"/>
        <v>0</v>
      </c>
      <c r="AO87" s="606"/>
      <c r="AP87" s="606">
        <f t="shared" si="58"/>
        <v>294866.11838699959</v>
      </c>
      <c r="AR87" s="606">
        <v>0</v>
      </c>
      <c r="AS87" s="606"/>
      <c r="AT87" s="620">
        <v>46661.325456170729</v>
      </c>
      <c r="AU87" s="606"/>
      <c r="AV87" s="606">
        <v>0</v>
      </c>
      <c r="AW87" s="606"/>
      <c r="AX87" s="605">
        <f t="shared" si="67"/>
        <v>0</v>
      </c>
      <c r="AY87" s="606"/>
      <c r="AZ87" s="605">
        <f t="shared" si="68"/>
        <v>248204.79293082887</v>
      </c>
      <c r="BA87" s="606"/>
      <c r="BB87" s="605">
        <f t="shared" si="69"/>
        <v>0</v>
      </c>
      <c r="BC87" s="606"/>
      <c r="BD87" s="606">
        <f t="shared" si="62"/>
        <v>248204.79293082887</v>
      </c>
      <c r="BF87" s="712">
        <f t="shared" si="63"/>
        <v>344650.37537398265</v>
      </c>
      <c r="BH87" s="590">
        <f t="shared" si="66"/>
        <v>445</v>
      </c>
    </row>
    <row r="88" spans="1:60" ht="14.5">
      <c r="A88" s="590">
        <f t="shared" si="54"/>
        <v>446</v>
      </c>
      <c r="B88" s="622" t="s">
        <v>1823</v>
      </c>
      <c r="F88" s="715" t="s">
        <v>1753</v>
      </c>
      <c r="H88" s="723"/>
      <c r="J88" s="620">
        <v>-474400.43319827609</v>
      </c>
      <c r="K88" s="606"/>
      <c r="L88" s="620">
        <v>-284579.21883587126</v>
      </c>
      <c r="M88" s="606"/>
      <c r="N88" s="620">
        <v>-189821.21436240477</v>
      </c>
      <c r="P88" s="713" t="s">
        <v>1749</v>
      </c>
      <c r="R88" s="606">
        <v>0</v>
      </c>
      <c r="S88" s="606"/>
      <c r="T88" s="606">
        <f t="shared" si="64"/>
        <v>-189821.21436240477</v>
      </c>
      <c r="U88" s="606"/>
      <c r="V88" s="606">
        <v>0</v>
      </c>
      <c r="W88" s="606"/>
      <c r="X88" s="606">
        <f t="shared" si="65"/>
        <v>-189821.21436240477</v>
      </c>
      <c r="Y88" s="606"/>
      <c r="Z88" s="607" t="s">
        <v>1548</v>
      </c>
      <c r="AA88" s="606"/>
      <c r="AB88" s="606">
        <v>0</v>
      </c>
      <c r="AC88" s="606"/>
      <c r="AD88" s="620">
        <v>-67167.372156148325</v>
      </c>
      <c r="AE88" s="606"/>
      <c r="AF88" s="606">
        <v>0</v>
      </c>
      <c r="AG88" s="606"/>
      <c r="AH88" s="607" t="s">
        <v>1759</v>
      </c>
      <c r="AI88" s="606"/>
      <c r="AJ88" s="605">
        <f t="shared" si="55"/>
        <v>0</v>
      </c>
      <c r="AK88" s="606"/>
      <c r="AL88" s="605">
        <f t="shared" si="56"/>
        <v>-122653.84220625645</v>
      </c>
      <c r="AM88" s="606"/>
      <c r="AN88" s="605">
        <f t="shared" si="57"/>
        <v>0</v>
      </c>
      <c r="AO88" s="606"/>
      <c r="AP88" s="606">
        <f t="shared" si="58"/>
        <v>-122653.84220625645</v>
      </c>
      <c r="AR88" s="606">
        <v>0</v>
      </c>
      <c r="AS88" s="606"/>
      <c r="AT88" s="620">
        <v>-19409.455657175542</v>
      </c>
      <c r="AU88" s="606"/>
      <c r="AV88" s="606">
        <v>0</v>
      </c>
      <c r="AW88" s="606"/>
      <c r="AX88" s="605">
        <f t="shared" si="67"/>
        <v>0</v>
      </c>
      <c r="AY88" s="606"/>
      <c r="AZ88" s="605">
        <f t="shared" si="68"/>
        <v>-103244.38654908091</v>
      </c>
      <c r="BA88" s="606"/>
      <c r="BB88" s="605">
        <f t="shared" si="69"/>
        <v>0</v>
      </c>
      <c r="BC88" s="606"/>
      <c r="BD88" s="606">
        <f t="shared" si="62"/>
        <v>-103244.38654908091</v>
      </c>
      <c r="BF88" s="712">
        <f t="shared" si="63"/>
        <v>-143362.32656600565</v>
      </c>
      <c r="BH88" s="590">
        <f t="shared" si="66"/>
        <v>446</v>
      </c>
    </row>
    <row r="89" spans="1:60" ht="14.5">
      <c r="A89" s="590">
        <f t="shared" si="54"/>
        <v>447</v>
      </c>
      <c r="B89" s="622" t="s">
        <v>1824</v>
      </c>
      <c r="F89" s="715" t="s">
        <v>1753</v>
      </c>
      <c r="H89" s="723"/>
      <c r="J89" s="620">
        <v>4916762.5998</v>
      </c>
      <c r="K89" s="606"/>
      <c r="L89" s="620">
        <v>2949422.0079276799</v>
      </c>
      <c r="M89" s="606"/>
      <c r="N89" s="620">
        <v>1967340.59187232</v>
      </c>
      <c r="P89" s="713" t="s">
        <v>1749</v>
      </c>
      <c r="R89" s="606">
        <v>0</v>
      </c>
      <c r="S89" s="606"/>
      <c r="T89" s="606">
        <f t="shared" si="64"/>
        <v>1967340.59187232</v>
      </c>
      <c r="U89" s="606"/>
      <c r="V89" s="606">
        <v>0</v>
      </c>
      <c r="W89" s="606"/>
      <c r="X89" s="606">
        <f t="shared" si="65"/>
        <v>1967340.59187232</v>
      </c>
      <c r="Y89" s="606"/>
      <c r="Z89" s="607" t="s">
        <v>1548</v>
      </c>
      <c r="AA89" s="606"/>
      <c r="AB89" s="606">
        <v>0</v>
      </c>
      <c r="AC89" s="606"/>
      <c r="AD89" s="620">
        <v>696134.50812669843</v>
      </c>
      <c r="AE89" s="606"/>
      <c r="AF89" s="606">
        <v>0</v>
      </c>
      <c r="AG89" s="606"/>
      <c r="AH89" s="607" t="s">
        <v>1759</v>
      </c>
      <c r="AI89" s="606"/>
      <c r="AJ89" s="605">
        <f t="shared" si="55"/>
        <v>0</v>
      </c>
      <c r="AK89" s="606"/>
      <c r="AL89" s="605">
        <f t="shared" si="56"/>
        <v>1271206.0837456216</v>
      </c>
      <c r="AM89" s="606"/>
      <c r="AN89" s="605">
        <f t="shared" si="57"/>
        <v>0</v>
      </c>
      <c r="AO89" s="606"/>
      <c r="AP89" s="606">
        <f t="shared" si="58"/>
        <v>1271206.0837456216</v>
      </c>
      <c r="AR89" s="606">
        <v>0</v>
      </c>
      <c r="AS89" s="606"/>
      <c r="AT89" s="620">
        <v>201163.02652876743</v>
      </c>
      <c r="AU89" s="606"/>
      <c r="AV89" s="606">
        <v>0</v>
      </c>
      <c r="AW89" s="606"/>
      <c r="AX89" s="605">
        <f t="shared" si="67"/>
        <v>0</v>
      </c>
      <c r="AY89" s="606"/>
      <c r="AZ89" s="605">
        <f t="shared" si="68"/>
        <v>1070043.0572168543</v>
      </c>
      <c r="BA89" s="606"/>
      <c r="BB89" s="605">
        <f t="shared" si="69"/>
        <v>0</v>
      </c>
      <c r="BC89" s="606"/>
      <c r="BD89" s="606">
        <f t="shared" si="62"/>
        <v>1070043.0572168543</v>
      </c>
      <c r="BF89" s="712">
        <f t="shared" si="63"/>
        <v>1485832.473182295</v>
      </c>
      <c r="BH89" s="590">
        <f t="shared" si="66"/>
        <v>447</v>
      </c>
    </row>
    <row r="90" spans="1:60" ht="14.5">
      <c r="A90" s="590">
        <f t="shared" si="54"/>
        <v>448</v>
      </c>
      <c r="B90" s="622" t="s">
        <v>1825</v>
      </c>
      <c r="F90" s="715" t="s">
        <v>1753</v>
      </c>
      <c r="H90" s="723"/>
      <c r="J90" s="620">
        <v>290428.08638158668</v>
      </c>
      <c r="K90" s="606"/>
      <c r="L90" s="620">
        <v>174353.84748372421</v>
      </c>
      <c r="M90" s="606"/>
      <c r="N90" s="620">
        <v>116074.23889786248</v>
      </c>
      <c r="P90" s="713" t="s">
        <v>1749</v>
      </c>
      <c r="R90" s="606">
        <v>0</v>
      </c>
      <c r="S90" s="606"/>
      <c r="T90" s="606">
        <f t="shared" si="64"/>
        <v>116074.23889786248</v>
      </c>
      <c r="U90" s="606"/>
      <c r="V90" s="606">
        <v>0</v>
      </c>
      <c r="W90" s="606"/>
      <c r="X90" s="606">
        <f t="shared" si="65"/>
        <v>116074.23889786248</v>
      </c>
      <c r="Y90" s="606"/>
      <c r="Z90" s="607" t="s">
        <v>1548</v>
      </c>
      <c r="AA90" s="606"/>
      <c r="AB90" s="606">
        <v>0</v>
      </c>
      <c r="AC90" s="606"/>
      <c r="AD90" s="620">
        <v>41072.340770666364</v>
      </c>
      <c r="AE90" s="606"/>
      <c r="AF90" s="606">
        <v>0</v>
      </c>
      <c r="AG90" s="606"/>
      <c r="AH90" s="607" t="s">
        <v>1759</v>
      </c>
      <c r="AI90" s="606"/>
      <c r="AJ90" s="605">
        <f t="shared" si="55"/>
        <v>0</v>
      </c>
      <c r="AK90" s="606"/>
      <c r="AL90" s="605">
        <f t="shared" si="56"/>
        <v>75001.898127196124</v>
      </c>
      <c r="AM90" s="606"/>
      <c r="AN90" s="605">
        <f t="shared" si="57"/>
        <v>0</v>
      </c>
      <c r="AO90" s="606"/>
      <c r="AP90" s="606">
        <f t="shared" si="58"/>
        <v>75001.898127196124</v>
      </c>
      <c r="AR90" s="606">
        <v>0</v>
      </c>
      <c r="AS90" s="606"/>
      <c r="AT90" s="620">
        <v>11868.735538311199</v>
      </c>
      <c r="AU90" s="606"/>
      <c r="AV90" s="606">
        <v>0</v>
      </c>
      <c r="AW90" s="606"/>
      <c r="AX90" s="605">
        <f t="shared" si="67"/>
        <v>0</v>
      </c>
      <c r="AY90" s="606"/>
      <c r="AZ90" s="605">
        <f t="shared" si="68"/>
        <v>63133.162588884923</v>
      </c>
      <c r="BA90" s="606"/>
      <c r="BB90" s="605">
        <f t="shared" si="69"/>
        <v>0</v>
      </c>
      <c r="BC90" s="606"/>
      <c r="BD90" s="606">
        <f t="shared" si="62"/>
        <v>63133.162588884923</v>
      </c>
      <c r="BF90" s="712">
        <f t="shared" si="63"/>
        <v>87664.97990580606</v>
      </c>
      <c r="BH90" s="590">
        <f t="shared" si="66"/>
        <v>448</v>
      </c>
    </row>
    <row r="91" spans="1:60" ht="14.5">
      <c r="A91" s="590">
        <f t="shared" si="54"/>
        <v>449</v>
      </c>
      <c r="B91" s="622" t="s">
        <v>1826</v>
      </c>
      <c r="F91" s="715" t="s">
        <v>1753</v>
      </c>
      <c r="H91" s="723"/>
      <c r="J91" s="620">
        <v>114943.94202037899</v>
      </c>
      <c r="K91" s="606"/>
      <c r="L91" s="620">
        <v>68951.470341309556</v>
      </c>
      <c r="M91" s="606"/>
      <c r="N91" s="620">
        <v>45992.471679069444</v>
      </c>
      <c r="P91" s="713" t="s">
        <v>1749</v>
      </c>
      <c r="R91" s="606">
        <v>0</v>
      </c>
      <c r="S91" s="606"/>
      <c r="T91" s="606">
        <f t="shared" si="64"/>
        <v>45992.471679069444</v>
      </c>
      <c r="U91" s="606"/>
      <c r="V91" s="606">
        <v>0</v>
      </c>
      <c r="W91" s="606"/>
      <c r="X91" s="606">
        <f t="shared" si="65"/>
        <v>45992.471679069444</v>
      </c>
      <c r="Y91" s="606"/>
      <c r="Z91" s="607" t="s">
        <v>1548</v>
      </c>
      <c r="AA91" s="606"/>
      <c r="AB91" s="606">
        <v>0</v>
      </c>
      <c r="AC91" s="606"/>
      <c r="AD91" s="620">
        <v>16274.226629650107</v>
      </c>
      <c r="AE91" s="606"/>
      <c r="AF91" s="606">
        <v>0</v>
      </c>
      <c r="AG91" s="606"/>
      <c r="AH91" s="607" t="s">
        <v>1759</v>
      </c>
      <c r="AI91" s="606"/>
      <c r="AJ91" s="605">
        <f t="shared" si="55"/>
        <v>0</v>
      </c>
      <c r="AK91" s="606"/>
      <c r="AL91" s="605">
        <f t="shared" si="56"/>
        <v>29718.245049419336</v>
      </c>
      <c r="AM91" s="606"/>
      <c r="AN91" s="605">
        <f t="shared" si="57"/>
        <v>0</v>
      </c>
      <c r="AO91" s="606"/>
      <c r="AP91" s="606">
        <f t="shared" si="58"/>
        <v>29718.245049419336</v>
      </c>
      <c r="AR91" s="606">
        <v>0</v>
      </c>
      <c r="AS91" s="606"/>
      <c r="AT91" s="620">
        <v>4702.7875288717078</v>
      </c>
      <c r="AU91" s="606"/>
      <c r="AV91" s="606">
        <v>0</v>
      </c>
      <c r="AW91" s="606"/>
      <c r="AX91" s="605">
        <f t="shared" si="67"/>
        <v>0</v>
      </c>
      <c r="AY91" s="606"/>
      <c r="AZ91" s="605">
        <f t="shared" si="68"/>
        <v>25015.457520547629</v>
      </c>
      <c r="BA91" s="606"/>
      <c r="BB91" s="605">
        <f t="shared" si="69"/>
        <v>0</v>
      </c>
      <c r="BC91" s="606"/>
      <c r="BD91" s="606">
        <f t="shared" si="62"/>
        <v>25015.457520547629</v>
      </c>
      <c r="BF91" s="712">
        <f t="shared" si="63"/>
        <v>34735.778962219199</v>
      </c>
      <c r="BH91" s="590">
        <f t="shared" si="66"/>
        <v>449</v>
      </c>
    </row>
    <row r="92" spans="1:60" ht="14.5">
      <c r="A92" s="590">
        <f t="shared" si="54"/>
        <v>450</v>
      </c>
      <c r="B92" s="622" t="s">
        <v>1827</v>
      </c>
      <c r="F92" s="715" t="s">
        <v>1753</v>
      </c>
      <c r="H92" s="723"/>
      <c r="J92" s="620">
        <v>831141.34682690329</v>
      </c>
      <c r="K92" s="606"/>
      <c r="L92" s="620">
        <v>498577.39556428313</v>
      </c>
      <c r="M92" s="606"/>
      <c r="N92" s="620">
        <v>332563.9512626201</v>
      </c>
      <c r="P92" s="713" t="s">
        <v>1749</v>
      </c>
      <c r="R92" s="606">
        <v>0</v>
      </c>
      <c r="S92" s="606"/>
      <c r="T92" s="606">
        <f t="shared" si="64"/>
        <v>332563.9512626201</v>
      </c>
      <c r="U92" s="606"/>
      <c r="V92" s="606">
        <v>0</v>
      </c>
      <c r="W92" s="606"/>
      <c r="X92" s="606">
        <f t="shared" si="65"/>
        <v>332563.9512626201</v>
      </c>
      <c r="Y92" s="606"/>
      <c r="Z92" s="607" t="s">
        <v>1548</v>
      </c>
      <c r="AA92" s="606"/>
      <c r="AB92" s="606">
        <v>0</v>
      </c>
      <c r="AC92" s="606"/>
      <c r="AD92" s="620">
        <v>117676.23948253301</v>
      </c>
      <c r="AE92" s="606"/>
      <c r="AF92" s="606">
        <v>0</v>
      </c>
      <c r="AG92" s="606"/>
      <c r="AH92" s="607" t="s">
        <v>1759</v>
      </c>
      <c r="AI92" s="606"/>
      <c r="AJ92" s="605">
        <f t="shared" si="55"/>
        <v>0</v>
      </c>
      <c r="AK92" s="606"/>
      <c r="AL92" s="605">
        <f t="shared" si="56"/>
        <v>214887.71178008709</v>
      </c>
      <c r="AM92" s="606"/>
      <c r="AN92" s="605">
        <f t="shared" si="57"/>
        <v>0</v>
      </c>
      <c r="AO92" s="606"/>
      <c r="AP92" s="606">
        <f t="shared" si="58"/>
        <v>214887.71178008709</v>
      </c>
      <c r="AR92" s="606">
        <v>0</v>
      </c>
      <c r="AS92" s="606"/>
      <c r="AT92" s="620">
        <v>34005.078341155844</v>
      </c>
      <c r="AU92" s="606"/>
      <c r="AV92" s="606">
        <v>0</v>
      </c>
      <c r="AW92" s="606"/>
      <c r="AX92" s="605">
        <f t="shared" si="67"/>
        <v>0</v>
      </c>
      <c r="AY92" s="606"/>
      <c r="AZ92" s="605">
        <f t="shared" si="68"/>
        <v>180882.63343893125</v>
      </c>
      <c r="BA92" s="606"/>
      <c r="BB92" s="605">
        <f t="shared" si="69"/>
        <v>0</v>
      </c>
      <c r="BC92" s="606"/>
      <c r="BD92" s="606">
        <f t="shared" si="62"/>
        <v>180882.63343893125</v>
      </c>
      <c r="BF92" s="712">
        <f t="shared" si="63"/>
        <v>251168.66913499043</v>
      </c>
      <c r="BH92" s="590">
        <f t="shared" si="66"/>
        <v>450</v>
      </c>
    </row>
    <row r="93" spans="1:60" ht="14.5">
      <c r="A93" s="590">
        <f t="shared" si="54"/>
        <v>451</v>
      </c>
      <c r="B93" s="622" t="s">
        <v>1828</v>
      </c>
      <c r="F93" s="715" t="s">
        <v>1753</v>
      </c>
      <c r="H93" s="723"/>
      <c r="J93" s="620">
        <v>8456.3577108052286</v>
      </c>
      <c r="K93" s="606"/>
      <c r="L93" s="620">
        <v>5072.7008124667409</v>
      </c>
      <c r="M93" s="606"/>
      <c r="N93" s="620">
        <v>3383.6568983384873</v>
      </c>
      <c r="P93" s="713" t="s">
        <v>1749</v>
      </c>
      <c r="R93" s="606">
        <v>0</v>
      </c>
      <c r="S93" s="606"/>
      <c r="T93" s="606">
        <f t="shared" si="64"/>
        <v>3383.6568983384873</v>
      </c>
      <c r="U93" s="606"/>
      <c r="V93" s="606">
        <v>0</v>
      </c>
      <c r="W93" s="606"/>
      <c r="X93" s="606">
        <f t="shared" si="65"/>
        <v>3383.6568983384873</v>
      </c>
      <c r="Y93" s="606"/>
      <c r="Z93" s="607" t="s">
        <v>1548</v>
      </c>
      <c r="AA93" s="606"/>
      <c r="AB93" s="606">
        <v>0</v>
      </c>
      <c r="AC93" s="606"/>
      <c r="AD93" s="620">
        <v>1197.2915825178293</v>
      </c>
      <c r="AE93" s="606"/>
      <c r="AF93" s="606">
        <v>0</v>
      </c>
      <c r="AG93" s="606"/>
      <c r="AH93" s="607" t="s">
        <v>1759</v>
      </c>
      <c r="AI93" s="606"/>
      <c r="AJ93" s="605">
        <f t="shared" si="55"/>
        <v>0</v>
      </c>
      <c r="AK93" s="606"/>
      <c r="AL93" s="605">
        <f t="shared" si="56"/>
        <v>2186.365315820658</v>
      </c>
      <c r="AM93" s="606"/>
      <c r="AN93" s="605">
        <f t="shared" si="57"/>
        <v>0</v>
      </c>
      <c r="AO93" s="606"/>
      <c r="AP93" s="606">
        <f t="shared" si="58"/>
        <v>2186.365315820658</v>
      </c>
      <c r="AR93" s="606">
        <v>0</v>
      </c>
      <c r="AS93" s="606"/>
      <c r="AT93" s="620">
        <v>345.98313338155697</v>
      </c>
      <c r="AU93" s="606"/>
      <c r="AV93" s="606">
        <v>0</v>
      </c>
      <c r="AW93" s="606"/>
      <c r="AX93" s="605">
        <f t="shared" si="67"/>
        <v>0</v>
      </c>
      <c r="AY93" s="606"/>
      <c r="AZ93" s="605">
        <f t="shared" si="68"/>
        <v>1840.3821824391011</v>
      </c>
      <c r="BA93" s="606"/>
      <c r="BB93" s="605">
        <f t="shared" si="69"/>
        <v>0</v>
      </c>
      <c r="BC93" s="606"/>
      <c r="BD93" s="606">
        <f t="shared" si="62"/>
        <v>1840.3821824391011</v>
      </c>
      <c r="BF93" s="712">
        <f t="shared" si="63"/>
        <v>2555.5042774133403</v>
      </c>
      <c r="BH93" s="590">
        <f t="shared" si="66"/>
        <v>451</v>
      </c>
    </row>
    <row r="94" spans="1:60" ht="14.5">
      <c r="A94" s="590">
        <f t="shared" si="54"/>
        <v>452</v>
      </c>
      <c r="B94" s="622" t="s">
        <v>1829</v>
      </c>
      <c r="F94" s="715" t="s">
        <v>1753</v>
      </c>
      <c r="H94" s="723"/>
      <c r="J94" s="620">
        <v>-244.71339996627793</v>
      </c>
      <c r="K94" s="606"/>
      <c r="L94" s="620">
        <v>-146.77328667097626</v>
      </c>
      <c r="M94" s="606"/>
      <c r="N94" s="620">
        <v>-97.940113295301657</v>
      </c>
      <c r="P94" s="713" t="s">
        <v>1749</v>
      </c>
      <c r="R94" s="606">
        <v>0</v>
      </c>
      <c r="S94" s="606"/>
      <c r="T94" s="606">
        <f t="shared" si="64"/>
        <v>-97.940113295301657</v>
      </c>
      <c r="U94" s="606"/>
      <c r="V94" s="606">
        <v>0</v>
      </c>
      <c r="W94" s="606"/>
      <c r="X94" s="606">
        <f t="shared" si="65"/>
        <v>-97.940113295301657</v>
      </c>
      <c r="Y94" s="606"/>
      <c r="Z94" s="607" t="s">
        <v>1548</v>
      </c>
      <c r="AA94" s="606"/>
      <c r="AB94" s="606">
        <v>0</v>
      </c>
      <c r="AC94" s="606"/>
      <c r="AD94" s="620">
        <v>-34.655663018578522</v>
      </c>
      <c r="AE94" s="606"/>
      <c r="AF94" s="606">
        <v>0</v>
      </c>
      <c r="AG94" s="606"/>
      <c r="AH94" s="607" t="s">
        <v>1759</v>
      </c>
      <c r="AI94" s="606"/>
      <c r="AJ94" s="605">
        <f t="shared" si="55"/>
        <v>0</v>
      </c>
      <c r="AK94" s="606"/>
      <c r="AL94" s="605">
        <f t="shared" si="56"/>
        <v>-63.284450276723135</v>
      </c>
      <c r="AM94" s="606"/>
      <c r="AN94" s="605">
        <f t="shared" si="57"/>
        <v>0</v>
      </c>
      <c r="AO94" s="606"/>
      <c r="AP94" s="606">
        <f t="shared" si="58"/>
        <v>-63.284450276723135</v>
      </c>
      <c r="AR94" s="606">
        <v>0</v>
      </c>
      <c r="AS94" s="606"/>
      <c r="AT94" s="620">
        <v>-10.014498603062375</v>
      </c>
      <c r="AU94" s="606"/>
      <c r="AV94" s="606">
        <v>0</v>
      </c>
      <c r="AW94" s="606"/>
      <c r="AX94" s="605">
        <f t="shared" si="67"/>
        <v>0</v>
      </c>
      <c r="AY94" s="606"/>
      <c r="AZ94" s="605">
        <f t="shared" si="68"/>
        <v>-53.269951673660756</v>
      </c>
      <c r="BA94" s="606"/>
      <c r="BB94" s="605">
        <f t="shared" si="69"/>
        <v>0</v>
      </c>
      <c r="BC94" s="606"/>
      <c r="BD94" s="606">
        <f t="shared" si="62"/>
        <v>-53.269951673660756</v>
      </c>
      <c r="BF94" s="712">
        <f t="shared" si="63"/>
        <v>-73.969195452231375</v>
      </c>
      <c r="BH94" s="590">
        <f t="shared" si="66"/>
        <v>452</v>
      </c>
    </row>
    <row r="95" spans="1:60" ht="14.5">
      <c r="A95" s="590">
        <f t="shared" si="54"/>
        <v>453</v>
      </c>
      <c r="B95" s="622" t="s">
        <v>1830</v>
      </c>
      <c r="F95" s="715" t="s">
        <v>1753</v>
      </c>
      <c r="H95" s="723"/>
      <c r="J95" s="620">
        <v>82964.600265615823</v>
      </c>
      <c r="K95" s="606"/>
      <c r="L95" s="620">
        <v>49768.042533099309</v>
      </c>
      <c r="M95" s="606"/>
      <c r="N95" s="620">
        <v>33196.557732516521</v>
      </c>
      <c r="P95" s="713" t="s">
        <v>1749</v>
      </c>
      <c r="R95" s="606">
        <v>0</v>
      </c>
      <c r="S95" s="606"/>
      <c r="T95" s="606">
        <f t="shared" si="64"/>
        <v>33196.557732516521</v>
      </c>
      <c r="U95" s="606"/>
      <c r="V95" s="606">
        <v>0</v>
      </c>
      <c r="W95" s="606"/>
      <c r="X95" s="606">
        <f t="shared" si="65"/>
        <v>33196.557732516521</v>
      </c>
      <c r="Y95" s="606"/>
      <c r="Z95" s="607" t="s">
        <v>1548</v>
      </c>
      <c r="AA95" s="606"/>
      <c r="AB95" s="606">
        <v>0</v>
      </c>
      <c r="AC95" s="606"/>
      <c r="AD95" s="620">
        <v>11746.45075900753</v>
      </c>
      <c r="AE95" s="606"/>
      <c r="AF95" s="606">
        <v>0</v>
      </c>
      <c r="AG95" s="606"/>
      <c r="AH95" s="607" t="s">
        <v>1759</v>
      </c>
      <c r="AI95" s="606"/>
      <c r="AJ95" s="605">
        <f t="shared" si="55"/>
        <v>0</v>
      </c>
      <c r="AK95" s="606"/>
      <c r="AL95" s="605">
        <f t="shared" si="56"/>
        <v>21450.106973508991</v>
      </c>
      <c r="AM95" s="606"/>
      <c r="AN95" s="605">
        <f t="shared" si="57"/>
        <v>0</v>
      </c>
      <c r="AO95" s="606"/>
      <c r="AP95" s="606">
        <f t="shared" si="58"/>
        <v>21450.106973508991</v>
      </c>
      <c r="AR95" s="606">
        <v>0</v>
      </c>
      <c r="AS95" s="606"/>
      <c r="AT95" s="620">
        <v>3394.3893860567359</v>
      </c>
      <c r="AU95" s="606"/>
      <c r="AV95" s="606">
        <v>0</v>
      </c>
      <c r="AW95" s="606"/>
      <c r="AX95" s="605">
        <f t="shared" si="67"/>
        <v>0</v>
      </c>
      <c r="AY95" s="606"/>
      <c r="AZ95" s="605">
        <f t="shared" si="68"/>
        <v>18055.717587452255</v>
      </c>
      <c r="BA95" s="606"/>
      <c r="BB95" s="605">
        <f t="shared" si="69"/>
        <v>0</v>
      </c>
      <c r="BC95" s="606"/>
      <c r="BD95" s="606">
        <f t="shared" si="62"/>
        <v>18055.717587452255</v>
      </c>
      <c r="BF95" s="712">
        <f t="shared" si="63"/>
        <v>25071.674767764362</v>
      </c>
      <c r="BH95" s="590">
        <f t="shared" si="66"/>
        <v>453</v>
      </c>
    </row>
    <row r="96" spans="1:60" ht="14.5">
      <c r="A96" s="590">
        <f t="shared" si="54"/>
        <v>454</v>
      </c>
      <c r="B96" s="622" t="s">
        <v>1831</v>
      </c>
      <c r="F96" s="715" t="s">
        <v>1753</v>
      </c>
      <c r="H96" s="723"/>
      <c r="J96" s="620">
        <v>-2.5537923876161601</v>
      </c>
      <c r="K96" s="606"/>
      <c r="L96" s="620">
        <v>-1.5613586211721953</v>
      </c>
      <c r="M96" s="606"/>
      <c r="N96" s="620">
        <v>-0.99243376644396486</v>
      </c>
      <c r="P96" s="713" t="s">
        <v>1749</v>
      </c>
      <c r="R96" s="606">
        <v>0</v>
      </c>
      <c r="S96" s="606"/>
      <c r="T96" s="606">
        <f t="shared" si="64"/>
        <v>-0.99243376644396486</v>
      </c>
      <c r="U96" s="606"/>
      <c r="V96" s="606">
        <v>0</v>
      </c>
      <c r="W96" s="606"/>
      <c r="X96" s="606">
        <f t="shared" si="65"/>
        <v>-0.99243376644396486</v>
      </c>
      <c r="Y96" s="606"/>
      <c r="Z96" s="607" t="s">
        <v>1548</v>
      </c>
      <c r="AA96" s="606"/>
      <c r="AB96" s="606">
        <v>0</v>
      </c>
      <c r="AC96" s="606"/>
      <c r="AD96" s="620">
        <v>-0.35116816818906638</v>
      </c>
      <c r="AE96" s="606"/>
      <c r="AF96" s="606">
        <v>0</v>
      </c>
      <c r="AG96" s="606"/>
      <c r="AH96" s="607" t="s">
        <v>1759</v>
      </c>
      <c r="AI96" s="606"/>
      <c r="AJ96" s="605">
        <f t="shared" si="55"/>
        <v>0</v>
      </c>
      <c r="AK96" s="606"/>
      <c r="AL96" s="605">
        <f t="shared" si="56"/>
        <v>-0.64126559825489848</v>
      </c>
      <c r="AM96" s="606"/>
      <c r="AN96" s="605">
        <f t="shared" si="57"/>
        <v>0</v>
      </c>
      <c r="AO96" s="606"/>
      <c r="AP96" s="606">
        <f t="shared" si="58"/>
        <v>-0.64126559825489848</v>
      </c>
      <c r="AR96" s="606">
        <v>0</v>
      </c>
      <c r="AS96" s="606"/>
      <c r="AT96" s="620">
        <v>-0.10147758904177</v>
      </c>
      <c r="AU96" s="606"/>
      <c r="AV96" s="606">
        <v>0</v>
      </c>
      <c r="AW96" s="606"/>
      <c r="AX96" s="605">
        <f t="shared" si="67"/>
        <v>0</v>
      </c>
      <c r="AY96" s="606"/>
      <c r="AZ96" s="605">
        <f t="shared" si="68"/>
        <v>-0.53978800921312853</v>
      </c>
      <c r="BA96" s="606"/>
      <c r="BB96" s="605">
        <f t="shared" si="69"/>
        <v>0</v>
      </c>
      <c r="BC96" s="606"/>
      <c r="BD96" s="606">
        <f t="shared" si="62"/>
        <v>-0.53978800921312853</v>
      </c>
      <c r="BF96" s="712">
        <f t="shared" si="63"/>
        <v>-0.74953484097112388</v>
      </c>
      <c r="BH96" s="590">
        <f t="shared" si="66"/>
        <v>454</v>
      </c>
    </row>
    <row r="97" spans="1:60" ht="14.5">
      <c r="A97" s="590">
        <f t="shared" si="54"/>
        <v>455</v>
      </c>
      <c r="B97" s="622" t="s">
        <v>1832</v>
      </c>
      <c r="F97" s="715" t="s">
        <v>1753</v>
      </c>
      <c r="H97" s="723"/>
      <c r="J97" s="620">
        <v>50.62517850744976</v>
      </c>
      <c r="K97" s="606"/>
      <c r="L97" s="620">
        <v>30.560806869050776</v>
      </c>
      <c r="M97" s="606"/>
      <c r="N97" s="620">
        <v>20.064371638398988</v>
      </c>
      <c r="P97" s="713" t="s">
        <v>1749</v>
      </c>
      <c r="R97" s="606">
        <v>0</v>
      </c>
      <c r="S97" s="606"/>
      <c r="T97" s="606">
        <f t="shared" ref="T97" si="70">N97</f>
        <v>20.064371638398988</v>
      </c>
      <c r="U97" s="606"/>
      <c r="V97" s="606">
        <v>0</v>
      </c>
      <c r="W97" s="606"/>
      <c r="X97" s="606">
        <f t="shared" ref="X97" si="71">SUM(R97:V97)</f>
        <v>20.064371638398988</v>
      </c>
      <c r="Y97" s="606"/>
      <c r="Z97" s="607" t="s">
        <v>1548</v>
      </c>
      <c r="AA97" s="606"/>
      <c r="AB97" s="606">
        <v>0</v>
      </c>
      <c r="AC97" s="606"/>
      <c r="AD97" s="620">
        <v>7.0996865205100423</v>
      </c>
      <c r="AE97" s="606"/>
      <c r="AF97" s="606">
        <v>0</v>
      </c>
      <c r="AG97" s="606"/>
      <c r="AH97" s="607" t="s">
        <v>1759</v>
      </c>
      <c r="AI97" s="606"/>
      <c r="AJ97" s="605">
        <f t="shared" si="55"/>
        <v>0</v>
      </c>
      <c r="AK97" s="606"/>
      <c r="AL97" s="605">
        <f t="shared" si="56"/>
        <v>12.964685117888946</v>
      </c>
      <c r="AM97" s="606"/>
      <c r="AN97" s="605">
        <f t="shared" si="57"/>
        <v>0</v>
      </c>
      <c r="AO97" s="606"/>
      <c r="AP97" s="606">
        <f t="shared" si="58"/>
        <v>12.964685117888946</v>
      </c>
      <c r="AR97" s="606">
        <v>0</v>
      </c>
      <c r="AS97" s="606"/>
      <c r="AT97" s="620">
        <v>2.0516069972088764</v>
      </c>
      <c r="AU97" s="606"/>
      <c r="AV97" s="606">
        <v>0</v>
      </c>
      <c r="AW97" s="606"/>
      <c r="AX97" s="605">
        <f t="shared" si="67"/>
        <v>0</v>
      </c>
      <c r="AY97" s="606"/>
      <c r="AZ97" s="605">
        <f t="shared" si="68"/>
        <v>10.913078120680069</v>
      </c>
      <c r="BA97" s="606"/>
      <c r="BB97" s="605">
        <f t="shared" si="69"/>
        <v>0</v>
      </c>
      <c r="BC97" s="606"/>
      <c r="BD97" s="606">
        <f t="shared" si="62"/>
        <v>10.913078120680069</v>
      </c>
      <c r="BF97" s="712">
        <f t="shared" si="63"/>
        <v>15.153601291761415</v>
      </c>
      <c r="BH97" s="590">
        <f t="shared" si="66"/>
        <v>455</v>
      </c>
    </row>
    <row r="98" spans="1:60" ht="14.5">
      <c r="A98" s="590">
        <f t="shared" si="54"/>
        <v>456</v>
      </c>
      <c r="B98" s="621"/>
      <c r="F98" s="715"/>
      <c r="H98" s="723"/>
      <c r="J98" s="620"/>
      <c r="K98" s="606"/>
      <c r="L98" s="620"/>
      <c r="M98" s="606"/>
      <c r="N98" s="620"/>
      <c r="P98" s="714"/>
      <c r="R98" s="606">
        <v>0</v>
      </c>
      <c r="S98" s="606"/>
      <c r="T98" s="606">
        <f t="shared" ref="T98" si="72">N98</f>
        <v>0</v>
      </c>
      <c r="U98" s="606"/>
      <c r="V98" s="606">
        <v>0</v>
      </c>
      <c r="W98" s="606"/>
      <c r="X98" s="606">
        <f t="shared" ref="X98" si="73">SUM(R98:V98)</f>
        <v>0</v>
      </c>
      <c r="Y98" s="606"/>
      <c r="Z98" s="607"/>
      <c r="AA98" s="606"/>
      <c r="AB98" s="606">
        <v>0</v>
      </c>
      <c r="AC98" s="606"/>
      <c r="AD98" s="620">
        <v>0</v>
      </c>
      <c r="AE98" s="606"/>
      <c r="AF98" s="606">
        <v>0</v>
      </c>
      <c r="AG98" s="606"/>
      <c r="AH98" s="712"/>
      <c r="AI98" s="606"/>
      <c r="AJ98" s="605">
        <f t="shared" si="55"/>
        <v>0</v>
      </c>
      <c r="AK98" s="606"/>
      <c r="AL98" s="605">
        <f t="shared" si="56"/>
        <v>0</v>
      </c>
      <c r="AM98" s="606"/>
      <c r="AN98" s="605">
        <f t="shared" si="57"/>
        <v>0</v>
      </c>
      <c r="AO98" s="606"/>
      <c r="AP98" s="606">
        <f t="shared" si="58"/>
        <v>0</v>
      </c>
      <c r="AR98" s="606">
        <v>0</v>
      </c>
      <c r="AS98" s="606"/>
      <c r="AT98" s="620"/>
      <c r="AU98" s="606"/>
      <c r="AV98" s="606">
        <v>0</v>
      </c>
      <c r="AW98" s="606"/>
      <c r="AX98" s="605">
        <f t="shared" si="67"/>
        <v>0</v>
      </c>
      <c r="AY98" s="606"/>
      <c r="AZ98" s="605">
        <f t="shared" si="68"/>
        <v>0</v>
      </c>
      <c r="BA98" s="606"/>
      <c r="BB98" s="605">
        <f t="shared" si="69"/>
        <v>0</v>
      </c>
      <c r="BC98" s="606"/>
      <c r="BD98" s="606">
        <f t="shared" si="62"/>
        <v>0</v>
      </c>
      <c r="BF98" s="712">
        <f t="shared" si="63"/>
        <v>0</v>
      </c>
      <c r="BH98" s="590">
        <f t="shared" si="66"/>
        <v>456</v>
      </c>
    </row>
    <row r="99" spans="1:60" ht="14.5">
      <c r="A99" s="590">
        <f t="shared" si="54"/>
        <v>457</v>
      </c>
      <c r="B99" s="621"/>
      <c r="F99" s="715"/>
      <c r="H99" s="723"/>
      <c r="J99" s="620"/>
      <c r="K99" s="606"/>
      <c r="L99" s="620"/>
      <c r="M99" s="606"/>
      <c r="N99" s="620"/>
      <c r="P99" s="714"/>
      <c r="R99" s="606">
        <v>0</v>
      </c>
      <c r="S99" s="606"/>
      <c r="T99" s="606">
        <f t="shared" ref="T99" si="74">N99</f>
        <v>0</v>
      </c>
      <c r="U99" s="606"/>
      <c r="V99" s="606">
        <v>0</v>
      </c>
      <c r="W99" s="606"/>
      <c r="X99" s="606">
        <f t="shared" ref="X99:X104" si="75">SUM(R99:V99)</f>
        <v>0</v>
      </c>
      <c r="Y99" s="606"/>
      <c r="Z99" s="607"/>
      <c r="AA99" s="606"/>
      <c r="AB99" s="606">
        <v>0</v>
      </c>
      <c r="AC99" s="606"/>
      <c r="AD99" s="620">
        <v>0</v>
      </c>
      <c r="AE99" s="606"/>
      <c r="AF99" s="606">
        <v>0</v>
      </c>
      <c r="AG99" s="606"/>
      <c r="AH99" s="712"/>
      <c r="AI99" s="606"/>
      <c r="AJ99" s="605">
        <f t="shared" si="55"/>
        <v>0</v>
      </c>
      <c r="AK99" s="606"/>
      <c r="AL99" s="605">
        <f t="shared" si="56"/>
        <v>0</v>
      </c>
      <c r="AM99" s="606"/>
      <c r="AN99" s="605">
        <f t="shared" si="57"/>
        <v>0</v>
      </c>
      <c r="AO99" s="606"/>
      <c r="AP99" s="606">
        <f t="shared" si="58"/>
        <v>0</v>
      </c>
      <c r="AR99" s="606">
        <v>0</v>
      </c>
      <c r="AS99" s="606"/>
      <c r="AT99" s="620"/>
      <c r="AU99" s="606"/>
      <c r="AV99" s="606">
        <v>0</v>
      </c>
      <c r="AW99" s="606"/>
      <c r="AX99" s="605">
        <f t="shared" si="67"/>
        <v>0</v>
      </c>
      <c r="AY99" s="606"/>
      <c r="AZ99" s="605">
        <f t="shared" si="68"/>
        <v>0</v>
      </c>
      <c r="BA99" s="606"/>
      <c r="BB99" s="605">
        <f t="shared" si="69"/>
        <v>0</v>
      </c>
      <c r="BC99" s="606"/>
      <c r="BD99" s="606">
        <f t="shared" si="62"/>
        <v>0</v>
      </c>
      <c r="BF99" s="712">
        <f t="shared" si="63"/>
        <v>0</v>
      </c>
      <c r="BH99" s="590">
        <f t="shared" si="66"/>
        <v>457</v>
      </c>
    </row>
    <row r="100" spans="1:60" ht="14.5">
      <c r="A100" s="590"/>
      <c r="B100" s="595"/>
      <c r="F100" s="715"/>
      <c r="H100" s="712"/>
      <c r="J100" s="606"/>
      <c r="K100" s="606"/>
      <c r="L100" s="606"/>
      <c r="M100" s="606"/>
      <c r="N100" s="606"/>
      <c r="P100" s="714"/>
      <c r="R100" s="606"/>
      <c r="S100" s="606"/>
      <c r="T100" s="606"/>
      <c r="U100" s="606"/>
      <c r="V100" s="606"/>
      <c r="W100" s="606"/>
      <c r="X100" s="606"/>
      <c r="Y100" s="606"/>
      <c r="Z100" s="607"/>
      <c r="AA100" s="606"/>
      <c r="AB100" s="606"/>
      <c r="AC100" s="606"/>
      <c r="AD100" s="606"/>
      <c r="AE100" s="606"/>
      <c r="AF100" s="606"/>
      <c r="AG100" s="606"/>
      <c r="AH100" s="712"/>
      <c r="AI100" s="606"/>
      <c r="AJ100" s="606"/>
      <c r="AK100" s="606"/>
      <c r="AL100" s="606"/>
      <c r="AM100" s="606"/>
      <c r="AN100" s="606"/>
      <c r="AO100" s="606"/>
      <c r="AP100" s="606"/>
      <c r="AR100" s="606"/>
      <c r="AS100" s="606"/>
      <c r="AT100" s="606"/>
      <c r="AU100" s="606"/>
      <c r="AV100" s="606"/>
      <c r="AW100" s="606"/>
      <c r="AX100" s="606"/>
      <c r="AY100" s="606"/>
      <c r="AZ100" s="606"/>
      <c r="BA100" s="606"/>
      <c r="BB100" s="606"/>
      <c r="BC100" s="606"/>
      <c r="BD100" s="606"/>
      <c r="BF100" s="712"/>
      <c r="BH100" s="590"/>
    </row>
    <row r="101" spans="1:60" ht="14.5">
      <c r="A101" s="323" t="s">
        <v>122</v>
      </c>
      <c r="F101" s="715"/>
      <c r="H101" s="705"/>
      <c r="P101" s="714"/>
      <c r="X101" s="606"/>
      <c r="Z101" s="715"/>
      <c r="BH101" s="616" t="s">
        <v>122</v>
      </c>
    </row>
    <row r="102" spans="1:60" ht="14.5">
      <c r="A102" s="590">
        <v>500</v>
      </c>
      <c r="B102" s="588" t="s">
        <v>1558</v>
      </c>
      <c r="F102" s="715"/>
      <c r="H102" s="721">
        <f>ROUND(SUM(H103:H113),0)</f>
        <v>0</v>
      </c>
      <c r="J102" s="609">
        <f>ROUND(SUM(J103:J113),0)</f>
        <v>9730734</v>
      </c>
      <c r="K102" s="606"/>
      <c r="L102" s="609">
        <f>ROUND(SUM(L103:L113),0)</f>
        <v>5840030</v>
      </c>
      <c r="M102" s="606"/>
      <c r="N102" s="609">
        <f>ROUND(SUM(N103:N113),0)</f>
        <v>3890704</v>
      </c>
      <c r="O102" s="590"/>
      <c r="P102" s="714"/>
      <c r="Q102" s="590"/>
      <c r="R102" s="609">
        <f>ROUND(SUM(R103:R113),0)</f>
        <v>0</v>
      </c>
      <c r="S102" s="606"/>
      <c r="T102" s="609">
        <f>ROUND(SUM(T103:T113),0)</f>
        <v>0</v>
      </c>
      <c r="U102" s="606"/>
      <c r="V102" s="609">
        <f>ROUND(SUM(V103:V113),0)</f>
        <v>3890704</v>
      </c>
      <c r="W102" s="606"/>
      <c r="X102" s="609">
        <f>ROUND(SUM(X103:X113),0)</f>
        <v>3890704</v>
      </c>
      <c r="Y102" s="606"/>
      <c r="Z102" s="607"/>
      <c r="AA102" s="606"/>
      <c r="AB102" s="609">
        <f>SUM(AB103:AB113)</f>
        <v>0</v>
      </c>
      <c r="AC102" s="606"/>
      <c r="AD102" s="609">
        <f>SUM(AD103:AD113)</f>
        <v>0</v>
      </c>
      <c r="AE102" s="606"/>
      <c r="AF102" s="609">
        <f>SUM(AF103:AF113)</f>
        <v>357465.50417482667</v>
      </c>
      <c r="AG102" s="606"/>
      <c r="AH102" s="712"/>
      <c r="AI102" s="606"/>
      <c r="AJ102" s="609">
        <f>SUM(AJ103:AJ113)</f>
        <v>0</v>
      </c>
      <c r="AK102" s="606"/>
      <c r="AL102" s="609">
        <f>SUM(AL103:AL113)</f>
        <v>0</v>
      </c>
      <c r="AM102" s="606"/>
      <c r="AN102" s="609">
        <f>SUM(AN103:AN113)</f>
        <v>3533238.631668462</v>
      </c>
      <c r="AO102" s="606"/>
      <c r="AP102" s="609">
        <f>SUM(AP103:AP113)</f>
        <v>3533238.631668462</v>
      </c>
      <c r="AR102" s="609">
        <f>SUM(AR103:AR113)</f>
        <v>0</v>
      </c>
      <c r="AS102" s="606"/>
      <c r="AT102" s="609">
        <f>SUM(AT103:AT113)</f>
        <v>0</v>
      </c>
      <c r="AU102" s="606"/>
      <c r="AV102" s="609">
        <f>SUM(AV103:AV113)</f>
        <v>559120.10937917756</v>
      </c>
      <c r="AW102" s="606"/>
      <c r="AX102" s="609">
        <f>SUM(AX103:AX113)</f>
        <v>0</v>
      </c>
      <c r="AY102" s="606"/>
      <c r="AZ102" s="609">
        <f>SUM(AZ103:AZ113)</f>
        <v>0</v>
      </c>
      <c r="BA102" s="606"/>
      <c r="BB102" s="609">
        <f>SUM(BB103:BB113)</f>
        <v>2974118.5222892845</v>
      </c>
      <c r="BC102" s="606"/>
      <c r="BD102" s="609">
        <f>SUM(BD103:BD113)</f>
        <v>2974118.5222892845</v>
      </c>
      <c r="BF102" s="721">
        <f>ROUND(SUM(BF103:BF113),0)</f>
        <v>4129779</v>
      </c>
      <c r="BH102" s="590">
        <f t="shared" ref="BH102:BH113" si="76">A102</f>
        <v>500</v>
      </c>
    </row>
    <row r="103" spans="1:60" ht="14.5">
      <c r="A103" s="590">
        <f t="shared" ref="A103:A107" si="77">A102+1</f>
        <v>501</v>
      </c>
      <c r="B103" s="634" t="s">
        <v>1833</v>
      </c>
      <c r="F103" s="706" t="s">
        <v>1755</v>
      </c>
      <c r="H103" s="723"/>
      <c r="J103" s="620">
        <v>5449227.7939999998</v>
      </c>
      <c r="K103" s="606"/>
      <c r="L103" s="620">
        <v>3269536.6763999998</v>
      </c>
      <c r="M103" s="606"/>
      <c r="N103" s="620">
        <v>2179691.1176</v>
      </c>
      <c r="P103" s="713" t="s">
        <v>1750</v>
      </c>
      <c r="R103" s="606">
        <v>0</v>
      </c>
      <c r="S103" s="606"/>
      <c r="T103" s="606">
        <v>0</v>
      </c>
      <c r="U103" s="606"/>
      <c r="V103" s="606">
        <f>+N103</f>
        <v>2179691.1176</v>
      </c>
      <c r="W103" s="606"/>
      <c r="X103" s="606">
        <f t="shared" si="75"/>
        <v>2179691.1176</v>
      </c>
      <c r="Y103" s="606"/>
      <c r="Z103" s="607" t="s">
        <v>1758</v>
      </c>
      <c r="AA103" s="606"/>
      <c r="AB103" s="606">
        <v>0</v>
      </c>
      <c r="AC103" s="606"/>
      <c r="AD103" s="606">
        <v>0</v>
      </c>
      <c r="AE103" s="606"/>
      <c r="AF103" s="620">
        <v>1666878.3892207709</v>
      </c>
      <c r="AG103" s="606"/>
      <c r="AH103" s="607" t="s">
        <v>1760</v>
      </c>
      <c r="AI103" s="606"/>
      <c r="AJ103" s="605">
        <f t="shared" ref="AJ103:AJ113" si="78">+R103-AB103</f>
        <v>0</v>
      </c>
      <c r="AK103" s="606"/>
      <c r="AL103" s="605">
        <f t="shared" ref="AL103:AL113" si="79">+T103-AD103</f>
        <v>0</v>
      </c>
      <c r="AM103" s="606"/>
      <c r="AN103" s="605">
        <f t="shared" ref="AN103:AN113" si="80">+V103-AF103</f>
        <v>512812.72837922908</v>
      </c>
      <c r="AO103" s="606"/>
      <c r="AP103" s="606">
        <f t="shared" ref="AP103:AP113" si="81">SUM(AJ103:AN103)</f>
        <v>512812.72837922908</v>
      </c>
      <c r="AR103" s="606">
        <v>0</v>
      </c>
      <c r="AS103" s="606"/>
      <c r="AT103" s="606">
        <v>0</v>
      </c>
      <c r="AU103" s="606"/>
      <c r="AV103" s="620">
        <v>81150.389220770798</v>
      </c>
      <c r="AW103" s="606"/>
      <c r="AX103" s="605">
        <f t="shared" ref="AX103:AX113" si="82">+AJ103-AR103</f>
        <v>0</v>
      </c>
      <c r="AY103" s="606"/>
      <c r="AZ103" s="605">
        <f t="shared" ref="AZ103:AZ113" si="83">+AL103-AT103</f>
        <v>0</v>
      </c>
      <c r="BA103" s="606"/>
      <c r="BB103" s="605">
        <f t="shared" ref="BB103:BB113" si="84">+AN103-AV103</f>
        <v>431662.33915845829</v>
      </c>
      <c r="BC103" s="606"/>
      <c r="BD103" s="606">
        <f>SUM(AX103:BB103)</f>
        <v>431662.33915845829</v>
      </c>
      <c r="BF103" s="712">
        <f t="shared" ref="BF103:BF111" si="85">+BD103*$BF$9</f>
        <v>599394.49786223448</v>
      </c>
      <c r="BH103" s="590">
        <f t="shared" si="76"/>
        <v>501</v>
      </c>
    </row>
    <row r="104" spans="1:60" ht="14.5">
      <c r="A104" s="590">
        <f t="shared" si="77"/>
        <v>502</v>
      </c>
      <c r="B104" s="634" t="s">
        <v>1834</v>
      </c>
      <c r="F104" s="706" t="s">
        <v>1755</v>
      </c>
      <c r="H104" s="723"/>
      <c r="J104" s="620">
        <v>26635870</v>
      </c>
      <c r="K104" s="606"/>
      <c r="L104" s="620">
        <v>15981522</v>
      </c>
      <c r="M104" s="606"/>
      <c r="N104" s="620">
        <v>10654348</v>
      </c>
      <c r="P104" s="713" t="s">
        <v>1750</v>
      </c>
      <c r="R104" s="606">
        <v>0</v>
      </c>
      <c r="S104" s="606"/>
      <c r="T104" s="606">
        <v>0</v>
      </c>
      <c r="U104" s="606"/>
      <c r="V104" s="606">
        <f>+N104</f>
        <v>10654348</v>
      </c>
      <c r="W104" s="606"/>
      <c r="X104" s="606">
        <f t="shared" si="75"/>
        <v>10654348</v>
      </c>
      <c r="Y104" s="606"/>
      <c r="Z104" s="607" t="s">
        <v>1758</v>
      </c>
      <c r="AA104" s="606"/>
      <c r="AB104" s="606">
        <v>0</v>
      </c>
      <c r="AC104" s="606"/>
      <c r="AD104" s="606">
        <v>0</v>
      </c>
      <c r="AE104" s="606"/>
      <c r="AF104" s="620">
        <v>-1055491.0996632751</v>
      </c>
      <c r="AG104" s="606"/>
      <c r="AH104" s="607" t="s">
        <v>1760</v>
      </c>
      <c r="AI104" s="606"/>
      <c r="AJ104" s="605">
        <f t="shared" si="78"/>
        <v>0</v>
      </c>
      <c r="AK104" s="606"/>
      <c r="AL104" s="605">
        <f t="shared" si="79"/>
        <v>0</v>
      </c>
      <c r="AM104" s="606"/>
      <c r="AN104" s="605">
        <f t="shared" si="80"/>
        <v>11709839.099663274</v>
      </c>
      <c r="AO104" s="606"/>
      <c r="AP104" s="606">
        <f t="shared" si="81"/>
        <v>11709839.099663274</v>
      </c>
      <c r="AR104" s="606">
        <v>0</v>
      </c>
      <c r="AS104" s="606"/>
      <c r="AT104" s="606">
        <v>0</v>
      </c>
      <c r="AU104" s="606"/>
      <c r="AV104" s="620">
        <v>1853032.88237294</v>
      </c>
      <c r="AW104" s="606"/>
      <c r="AX104" s="605">
        <f t="shared" si="82"/>
        <v>0</v>
      </c>
      <c r="AY104" s="606"/>
      <c r="AZ104" s="605">
        <f t="shared" si="83"/>
        <v>0</v>
      </c>
      <c r="BA104" s="606"/>
      <c r="BB104" s="605">
        <f t="shared" si="84"/>
        <v>9856806.2172903344</v>
      </c>
      <c r="BC104" s="606"/>
      <c r="BD104" s="606">
        <f t="shared" ref="BD104" si="86">SUM(AX104:BB104)</f>
        <v>9856806.2172903344</v>
      </c>
      <c r="BF104" s="712">
        <f t="shared" si="85"/>
        <v>13686891.065493878</v>
      </c>
      <c r="BH104" s="590">
        <f t="shared" si="76"/>
        <v>502</v>
      </c>
    </row>
    <row r="105" spans="1:60" ht="14.5">
      <c r="A105" s="590" t="s">
        <v>1915</v>
      </c>
      <c r="B105" s="634" t="s">
        <v>1916</v>
      </c>
      <c r="F105" s="706" t="s">
        <v>1755</v>
      </c>
      <c r="H105" s="723"/>
      <c r="J105" s="620">
        <v>-26601023.383000001</v>
      </c>
      <c r="K105" s="606"/>
      <c r="L105" s="620">
        <v>-15960614.0298</v>
      </c>
      <c r="M105" s="606"/>
      <c r="N105" s="620">
        <v>-10640409.3532</v>
      </c>
      <c r="P105" s="713" t="s">
        <v>1750</v>
      </c>
      <c r="R105" s="606">
        <v>0</v>
      </c>
      <c r="S105" s="606"/>
      <c r="T105" s="606">
        <v>0</v>
      </c>
      <c r="U105" s="606"/>
      <c r="V105" s="606">
        <f>+N105</f>
        <v>-10640409.3532</v>
      </c>
      <c r="W105" s="606"/>
      <c r="X105" s="606">
        <f t="shared" ref="X105" si="87">SUM(R105:V105)</f>
        <v>-10640409.3532</v>
      </c>
      <c r="Y105" s="606"/>
      <c r="Z105" s="607" t="s">
        <v>1758</v>
      </c>
      <c r="AA105" s="606"/>
      <c r="AB105" s="606">
        <v>0</v>
      </c>
      <c r="AC105" s="606"/>
      <c r="AD105" s="606">
        <v>0</v>
      </c>
      <c r="AE105" s="606"/>
      <c r="AF105" s="620">
        <v>-1626721.5523326711</v>
      </c>
      <c r="AG105" s="606"/>
      <c r="AH105" s="607" t="s">
        <v>1760</v>
      </c>
      <c r="AI105" s="606"/>
      <c r="AJ105" s="605">
        <f t="shared" ref="AJ105" si="88">+R105-AB105</f>
        <v>0</v>
      </c>
      <c r="AK105" s="606"/>
      <c r="AL105" s="605">
        <f t="shared" ref="AL105" si="89">+T105-AD105</f>
        <v>0</v>
      </c>
      <c r="AM105" s="606"/>
      <c r="AN105" s="605">
        <f t="shared" ref="AN105" si="90">+V105-AF105</f>
        <v>-9013687.8008673284</v>
      </c>
      <c r="AO105" s="606"/>
      <c r="AP105" s="606">
        <f t="shared" ref="AP105" si="91">SUM(AJ105:AN105)</f>
        <v>-9013687.8008673284</v>
      </c>
      <c r="AR105" s="606">
        <v>0</v>
      </c>
      <c r="AS105" s="606"/>
      <c r="AT105" s="606">
        <v>0</v>
      </c>
      <c r="AU105" s="606"/>
      <c r="AV105" s="620">
        <v>-1426378.2571471201</v>
      </c>
      <c r="AW105" s="606"/>
      <c r="AX105" s="605">
        <f t="shared" ref="AX105" si="92">+AJ105-AR105</f>
        <v>0</v>
      </c>
      <c r="AY105" s="606"/>
      <c r="AZ105" s="605">
        <f t="shared" ref="AZ105" si="93">+AL105-AT105</f>
        <v>0</v>
      </c>
      <c r="BA105" s="606"/>
      <c r="BB105" s="605">
        <f t="shared" ref="BB105" si="94">+AN105-AV105</f>
        <v>-7587309.5437202081</v>
      </c>
      <c r="BC105" s="606"/>
      <c r="BD105" s="606">
        <f t="shared" ref="BD105" si="95">SUM(AX105:BB105)</f>
        <v>-7587309.5437202081</v>
      </c>
      <c r="BF105" s="712">
        <f t="shared" ref="BF105" si="96">+BD105*$BF$9</f>
        <v>-10535530.162185568</v>
      </c>
      <c r="BH105" s="590" t="s">
        <v>1915</v>
      </c>
    </row>
    <row r="106" spans="1:60" ht="14.5">
      <c r="A106" s="590">
        <f>A104+1</f>
        <v>503</v>
      </c>
      <c r="B106" s="622" t="s">
        <v>1835</v>
      </c>
      <c r="F106" s="706" t="s">
        <v>1753</v>
      </c>
      <c r="H106" s="723"/>
      <c r="J106" s="620">
        <v>-47739682.848362915</v>
      </c>
      <c r="K106" s="606"/>
      <c r="L106" s="620">
        <v>-28643809.713524446</v>
      </c>
      <c r="M106" s="606"/>
      <c r="N106" s="620">
        <v>-19095873.134838477</v>
      </c>
      <c r="P106" s="713" t="s">
        <v>1749</v>
      </c>
      <c r="R106" s="606">
        <v>0</v>
      </c>
      <c r="S106" s="606"/>
      <c r="T106" s="606">
        <v>0</v>
      </c>
      <c r="U106" s="606"/>
      <c r="V106" s="606">
        <f>N106</f>
        <v>-19095873.134838477</v>
      </c>
      <c r="W106" s="606"/>
      <c r="X106" s="606">
        <f>SUM(R106:V106)</f>
        <v>-19095873.134838477</v>
      </c>
      <c r="Y106" s="606"/>
      <c r="Z106" s="607" t="s">
        <v>1758</v>
      </c>
      <c r="AA106" s="606"/>
      <c r="AB106" s="606">
        <v>0</v>
      </c>
      <c r="AC106" s="606"/>
      <c r="AD106" s="606">
        <v>0</v>
      </c>
      <c r="AE106" s="606"/>
      <c r="AF106" s="620">
        <v>-15447060.323536955</v>
      </c>
      <c r="AG106" s="606"/>
      <c r="AH106" s="607" t="s">
        <v>1759</v>
      </c>
      <c r="AI106" s="606"/>
      <c r="AJ106" s="605">
        <f t="shared" si="78"/>
        <v>0</v>
      </c>
      <c r="AK106" s="606"/>
      <c r="AL106" s="605">
        <f t="shared" si="79"/>
        <v>0</v>
      </c>
      <c r="AM106" s="606"/>
      <c r="AN106" s="605">
        <f t="shared" si="80"/>
        <v>-3648812.811301522</v>
      </c>
      <c r="AO106" s="606"/>
      <c r="AP106" s="606">
        <f t="shared" si="81"/>
        <v>-3648812.811301522</v>
      </c>
      <c r="AR106" s="606">
        <v>0</v>
      </c>
      <c r="AS106" s="606"/>
      <c r="AT106" s="606">
        <v>0</v>
      </c>
      <c r="AU106" s="606"/>
      <c r="AV106" s="620">
        <v>-577409.31053098058</v>
      </c>
      <c r="AW106" s="606"/>
      <c r="AX106" s="605">
        <f t="shared" si="82"/>
        <v>0</v>
      </c>
      <c r="AY106" s="606"/>
      <c r="AZ106" s="605">
        <f t="shared" si="83"/>
        <v>0</v>
      </c>
      <c r="BA106" s="606"/>
      <c r="BB106" s="605">
        <f t="shared" si="84"/>
        <v>-3071403.5007705414</v>
      </c>
      <c r="BC106" s="606"/>
      <c r="BD106" s="606">
        <f t="shared" ref="BD106:BD113" si="97">SUM(AX106:BB106)</f>
        <v>-3071403.5007705414</v>
      </c>
      <c r="BF106" s="712">
        <f t="shared" si="85"/>
        <v>-4264866.7536429772</v>
      </c>
      <c r="BH106" s="590">
        <f t="shared" si="76"/>
        <v>503</v>
      </c>
    </row>
    <row r="107" spans="1:60" ht="14.5">
      <c r="A107" s="590">
        <f t="shared" si="77"/>
        <v>504</v>
      </c>
      <c r="B107" s="622" t="s">
        <v>1836</v>
      </c>
      <c r="F107" s="715" t="s">
        <v>1753</v>
      </c>
      <c r="H107" s="723"/>
      <c r="J107" s="620">
        <v>-103799.5006187651</v>
      </c>
      <c r="K107" s="606"/>
      <c r="L107" s="620">
        <v>-62279.567696489263</v>
      </c>
      <c r="M107" s="606"/>
      <c r="N107" s="620">
        <v>-41519.932922275839</v>
      </c>
      <c r="P107" s="713" t="s">
        <v>1749</v>
      </c>
      <c r="R107" s="606">
        <v>0</v>
      </c>
      <c r="S107" s="606"/>
      <c r="T107" s="606">
        <v>0</v>
      </c>
      <c r="U107" s="606"/>
      <c r="V107" s="606">
        <f>N107</f>
        <v>-41519.932922275839</v>
      </c>
      <c r="W107" s="606"/>
      <c r="X107" s="606">
        <f>SUM(R107:V107)</f>
        <v>-41519.932922275839</v>
      </c>
      <c r="Y107" s="606"/>
      <c r="Z107" s="607" t="s">
        <v>1758</v>
      </c>
      <c r="AA107" s="606"/>
      <c r="AB107" s="606">
        <v>0</v>
      </c>
      <c r="AC107" s="606"/>
      <c r="AD107" s="606">
        <v>0</v>
      </c>
      <c r="AE107" s="606"/>
      <c r="AF107" s="620">
        <v>-33586.362034920792</v>
      </c>
      <c r="AG107" s="606"/>
      <c r="AH107" s="607" t="s">
        <v>1759</v>
      </c>
      <c r="AI107" s="606"/>
      <c r="AJ107" s="605">
        <f t="shared" si="78"/>
        <v>0</v>
      </c>
      <c r="AK107" s="606"/>
      <c r="AL107" s="605">
        <f t="shared" si="79"/>
        <v>0</v>
      </c>
      <c r="AM107" s="606"/>
      <c r="AN107" s="605">
        <f t="shared" si="80"/>
        <v>-7933.5708873550466</v>
      </c>
      <c r="AO107" s="606"/>
      <c r="AP107" s="606">
        <f t="shared" si="81"/>
        <v>-7933.5708873550466</v>
      </c>
      <c r="AR107" s="606">
        <v>0</v>
      </c>
      <c r="AS107" s="606"/>
      <c r="AT107" s="606">
        <v>0</v>
      </c>
      <c r="AU107" s="606"/>
      <c r="AV107" s="620">
        <v>-1255.454289660405</v>
      </c>
      <c r="AW107" s="606"/>
      <c r="AX107" s="605">
        <f t="shared" si="82"/>
        <v>0</v>
      </c>
      <c r="AY107" s="606"/>
      <c r="AZ107" s="605">
        <f t="shared" si="83"/>
        <v>0</v>
      </c>
      <c r="BA107" s="606"/>
      <c r="BB107" s="605">
        <f t="shared" si="84"/>
        <v>-6678.1165976946413</v>
      </c>
      <c r="BC107" s="606"/>
      <c r="BD107" s="606">
        <f t="shared" si="97"/>
        <v>-6678.1165976946413</v>
      </c>
      <c r="BF107" s="712">
        <f t="shared" si="85"/>
        <v>-9273.0497465780591</v>
      </c>
      <c r="BH107" s="590">
        <f t="shared" si="76"/>
        <v>504</v>
      </c>
    </row>
    <row r="108" spans="1:60" ht="14.5">
      <c r="A108" s="590">
        <f>+A107+1</f>
        <v>505</v>
      </c>
      <c r="B108" s="622" t="s">
        <v>1837</v>
      </c>
      <c r="F108" s="715" t="s">
        <v>1753</v>
      </c>
      <c r="H108" s="723"/>
      <c r="J108" s="620">
        <v>53593752.500699803</v>
      </c>
      <c r="K108" s="606"/>
      <c r="L108" s="620">
        <v>32156251.730074722</v>
      </c>
      <c r="M108" s="606"/>
      <c r="N108" s="620">
        <v>21437500.770625081</v>
      </c>
      <c r="P108" s="713" t="s">
        <v>1749</v>
      </c>
      <c r="R108" s="606">
        <v>0</v>
      </c>
      <c r="S108" s="606"/>
      <c r="T108" s="606">
        <v>0</v>
      </c>
      <c r="U108" s="606"/>
      <c r="V108" s="606">
        <f>N108</f>
        <v>21437500.770625081</v>
      </c>
      <c r="W108" s="606"/>
      <c r="X108" s="606">
        <f>SUM(R108:V108)</f>
        <v>21437500.770625081</v>
      </c>
      <c r="Y108" s="606"/>
      <c r="Z108" s="607" t="s">
        <v>1758</v>
      </c>
      <c r="AA108" s="606"/>
      <c r="AB108" s="606">
        <v>0</v>
      </c>
      <c r="AC108" s="606"/>
      <c r="AD108" s="606">
        <v>0</v>
      </c>
      <c r="AE108" s="606"/>
      <c r="AF108" s="620">
        <v>17341253.015845228</v>
      </c>
      <c r="AG108" s="606"/>
      <c r="AH108" s="607" t="s">
        <v>1759</v>
      </c>
      <c r="AI108" s="606"/>
      <c r="AJ108" s="605">
        <f t="shared" si="78"/>
        <v>0</v>
      </c>
      <c r="AK108" s="606"/>
      <c r="AL108" s="605">
        <f t="shared" si="79"/>
        <v>0</v>
      </c>
      <c r="AM108" s="606"/>
      <c r="AN108" s="605">
        <f t="shared" si="80"/>
        <v>4096247.7547798529</v>
      </c>
      <c r="AO108" s="606"/>
      <c r="AP108" s="606">
        <f t="shared" si="81"/>
        <v>4096247.7547798529</v>
      </c>
      <c r="AR108" s="606">
        <v>0</v>
      </c>
      <c r="AS108" s="606"/>
      <c r="AT108" s="606">
        <v>0</v>
      </c>
      <c r="AU108" s="606"/>
      <c r="AV108" s="620">
        <v>648214.01210983167</v>
      </c>
      <c r="AW108" s="606"/>
      <c r="AX108" s="605">
        <f t="shared" si="82"/>
        <v>0</v>
      </c>
      <c r="AY108" s="606"/>
      <c r="AZ108" s="605">
        <f t="shared" si="83"/>
        <v>0</v>
      </c>
      <c r="BA108" s="606"/>
      <c r="BB108" s="605">
        <f t="shared" si="84"/>
        <v>3448033.742670021</v>
      </c>
      <c r="BC108" s="606"/>
      <c r="BD108" s="606">
        <f t="shared" si="97"/>
        <v>3448033.742670021</v>
      </c>
      <c r="BF108" s="712">
        <f t="shared" si="85"/>
        <v>4787845.1889708741</v>
      </c>
      <c r="BH108" s="590">
        <f t="shared" si="76"/>
        <v>505</v>
      </c>
    </row>
    <row r="109" spans="1:60" ht="14.5">
      <c r="A109" s="590">
        <f>+A108+1</f>
        <v>506</v>
      </c>
      <c r="B109" s="622" t="s">
        <v>1838</v>
      </c>
      <c r="F109" s="715" t="s">
        <v>1753</v>
      </c>
      <c r="H109" s="723"/>
      <c r="J109" s="620">
        <v>4213331.3249256369</v>
      </c>
      <c r="K109" s="606"/>
      <c r="L109" s="620">
        <v>2531567.1823000652</v>
      </c>
      <c r="M109" s="606"/>
      <c r="N109" s="620">
        <v>1681764.1426255719</v>
      </c>
      <c r="P109" s="713" t="s">
        <v>1749</v>
      </c>
      <c r="R109" s="606">
        <v>0</v>
      </c>
      <c r="S109" s="606"/>
      <c r="T109" s="606">
        <v>0</v>
      </c>
      <c r="U109" s="606"/>
      <c r="V109" s="606">
        <f>N109</f>
        <v>1681764.1426255719</v>
      </c>
      <c r="W109" s="606"/>
      <c r="X109" s="606">
        <f>SUM(R109:V109)</f>
        <v>1681764.1426255719</v>
      </c>
      <c r="Y109" s="606"/>
      <c r="Z109" s="607" t="s">
        <v>1758</v>
      </c>
      <c r="AA109" s="606"/>
      <c r="AB109" s="606">
        <v>0</v>
      </c>
      <c r="AC109" s="606"/>
      <c r="AD109" s="606">
        <v>0</v>
      </c>
      <c r="AE109" s="606"/>
      <c r="AF109" s="620">
        <v>1360414.9953061761</v>
      </c>
      <c r="AG109" s="606"/>
      <c r="AH109" s="607" t="s">
        <v>1759</v>
      </c>
      <c r="AI109" s="606"/>
      <c r="AJ109" s="605">
        <f t="shared" si="78"/>
        <v>0</v>
      </c>
      <c r="AK109" s="606"/>
      <c r="AL109" s="605">
        <f t="shared" si="79"/>
        <v>0</v>
      </c>
      <c r="AM109" s="606"/>
      <c r="AN109" s="605">
        <f t="shared" si="80"/>
        <v>321349.14731939579</v>
      </c>
      <c r="AO109" s="606"/>
      <c r="AP109" s="606">
        <f t="shared" si="81"/>
        <v>321349.14731939579</v>
      </c>
      <c r="AR109" s="606">
        <v>0</v>
      </c>
      <c r="AS109" s="606"/>
      <c r="AT109" s="606">
        <v>0</v>
      </c>
      <c r="AU109" s="606"/>
      <c r="AV109" s="620">
        <v>50852.153615198971</v>
      </c>
      <c r="AW109" s="606"/>
      <c r="AX109" s="605">
        <f t="shared" si="82"/>
        <v>0</v>
      </c>
      <c r="AY109" s="606"/>
      <c r="AZ109" s="605">
        <f t="shared" si="83"/>
        <v>0</v>
      </c>
      <c r="BA109" s="606"/>
      <c r="BB109" s="605">
        <f t="shared" si="84"/>
        <v>270496.99370419682</v>
      </c>
      <c r="BC109" s="606"/>
      <c r="BD109" s="606">
        <f t="shared" si="97"/>
        <v>270496.99370419682</v>
      </c>
      <c r="BF109" s="712">
        <f t="shared" si="85"/>
        <v>375604.71462638624</v>
      </c>
      <c r="BH109" s="590">
        <f t="shared" si="76"/>
        <v>506</v>
      </c>
    </row>
    <row r="110" spans="1:60" ht="14.5">
      <c r="A110" s="590">
        <f t="shared" ref="A110:A112" si="98">+A109+1</f>
        <v>507</v>
      </c>
      <c r="B110" s="622" t="s">
        <v>1839</v>
      </c>
      <c r="F110" s="715" t="s">
        <v>1753</v>
      </c>
      <c r="H110" s="723"/>
      <c r="J110" s="620">
        <v>9122.9710945983843</v>
      </c>
      <c r="K110" s="606"/>
      <c r="L110" s="620">
        <v>5504.3275068897183</v>
      </c>
      <c r="M110" s="606"/>
      <c r="N110" s="620">
        <v>3618.643587708666</v>
      </c>
      <c r="P110" s="713" t="s">
        <v>1749</v>
      </c>
      <c r="R110" s="606">
        <v>0</v>
      </c>
      <c r="S110" s="606"/>
      <c r="T110" s="606">
        <v>0</v>
      </c>
      <c r="U110" s="606"/>
      <c r="V110" s="606">
        <f t="shared" ref="V110:V111" si="99">N110</f>
        <v>3618.643587708666</v>
      </c>
      <c r="W110" s="606"/>
      <c r="X110" s="606">
        <f t="shared" ref="X110:X111" si="100">SUM(R110:V110)</f>
        <v>3618.643587708666</v>
      </c>
      <c r="Y110" s="606"/>
      <c r="Z110" s="607" t="s">
        <v>1758</v>
      </c>
      <c r="AA110" s="606"/>
      <c r="AB110" s="606">
        <v>0</v>
      </c>
      <c r="AC110" s="606"/>
      <c r="AD110" s="606">
        <v>0</v>
      </c>
      <c r="AE110" s="606"/>
      <c r="AF110" s="620">
        <v>2927.1982168093082</v>
      </c>
      <c r="AG110" s="606"/>
      <c r="AH110" s="607" t="s">
        <v>1759</v>
      </c>
      <c r="AI110" s="606"/>
      <c r="AJ110" s="605">
        <f t="shared" si="78"/>
        <v>0</v>
      </c>
      <c r="AK110" s="606"/>
      <c r="AL110" s="605">
        <f t="shared" si="79"/>
        <v>0</v>
      </c>
      <c r="AM110" s="606"/>
      <c r="AN110" s="605">
        <f t="shared" si="80"/>
        <v>691.44537089935784</v>
      </c>
      <c r="AO110" s="606"/>
      <c r="AP110" s="606">
        <f t="shared" si="81"/>
        <v>691.44537089935784</v>
      </c>
      <c r="AR110" s="606">
        <v>0</v>
      </c>
      <c r="AS110" s="606"/>
      <c r="AT110" s="606">
        <v>0</v>
      </c>
      <c r="AU110" s="606"/>
      <c r="AV110" s="620">
        <v>109.41832741987828</v>
      </c>
      <c r="AW110" s="606"/>
      <c r="AX110" s="605">
        <f t="shared" si="82"/>
        <v>0</v>
      </c>
      <c r="AY110" s="606"/>
      <c r="AZ110" s="605">
        <f t="shared" si="83"/>
        <v>0</v>
      </c>
      <c r="BA110" s="606"/>
      <c r="BB110" s="605">
        <f t="shared" si="84"/>
        <v>582.02704347947952</v>
      </c>
      <c r="BC110" s="606"/>
      <c r="BD110" s="606">
        <f t="shared" si="97"/>
        <v>582.02704347947952</v>
      </c>
      <c r="BF110" s="712">
        <f t="shared" si="85"/>
        <v>808.18680672663379</v>
      </c>
      <c r="BH110" s="590">
        <f t="shared" si="76"/>
        <v>507</v>
      </c>
    </row>
    <row r="111" spans="1:60" ht="14.5">
      <c r="A111" s="590">
        <f t="shared" si="98"/>
        <v>508</v>
      </c>
      <c r="B111" s="622" t="s">
        <v>1840</v>
      </c>
      <c r="F111" s="715" t="s">
        <v>1753</v>
      </c>
      <c r="H111" s="723"/>
      <c r="J111" s="620">
        <v>-5726065.1655639941</v>
      </c>
      <c r="K111" s="606"/>
      <c r="L111" s="620">
        <v>-3437649.0479296735</v>
      </c>
      <c r="M111" s="606"/>
      <c r="N111" s="620">
        <v>-2288416.1176343206</v>
      </c>
      <c r="P111" s="713" t="s">
        <v>1749</v>
      </c>
      <c r="R111" s="606">
        <v>0</v>
      </c>
      <c r="S111" s="606"/>
      <c r="T111" s="606">
        <v>0</v>
      </c>
      <c r="U111" s="606"/>
      <c r="V111" s="606">
        <f t="shared" si="99"/>
        <v>-2288416.1176343206</v>
      </c>
      <c r="W111" s="606"/>
      <c r="X111" s="606">
        <f t="shared" si="100"/>
        <v>-2288416.1176343206</v>
      </c>
      <c r="Y111" s="606"/>
      <c r="Z111" s="607" t="s">
        <v>1758</v>
      </c>
      <c r="AA111" s="606"/>
      <c r="AB111" s="606">
        <v>0</v>
      </c>
      <c r="AC111" s="606"/>
      <c r="AD111" s="606">
        <v>0</v>
      </c>
      <c r="AE111" s="606"/>
      <c r="AF111" s="620">
        <v>-1851148.7568463362</v>
      </c>
      <c r="AG111" s="606"/>
      <c r="AH111" s="607" t="s">
        <v>1759</v>
      </c>
      <c r="AI111" s="606"/>
      <c r="AJ111" s="605">
        <f t="shared" si="78"/>
        <v>0</v>
      </c>
      <c r="AK111" s="606"/>
      <c r="AL111" s="605">
        <f t="shared" si="79"/>
        <v>0</v>
      </c>
      <c r="AM111" s="606"/>
      <c r="AN111" s="605">
        <f t="shared" si="80"/>
        <v>-437267.36078798445</v>
      </c>
      <c r="AO111" s="606"/>
      <c r="AP111" s="606">
        <f t="shared" si="81"/>
        <v>-437267.36078798445</v>
      </c>
      <c r="AR111" s="606">
        <v>0</v>
      </c>
      <c r="AS111" s="606"/>
      <c r="AT111" s="606">
        <v>0</v>
      </c>
      <c r="AU111" s="606"/>
      <c r="AV111" s="620">
        <v>-69195.724299222711</v>
      </c>
      <c r="AW111" s="606"/>
      <c r="AX111" s="605">
        <f t="shared" si="82"/>
        <v>0</v>
      </c>
      <c r="AY111" s="606"/>
      <c r="AZ111" s="605">
        <f t="shared" si="83"/>
        <v>0</v>
      </c>
      <c r="BA111" s="606"/>
      <c r="BB111" s="605">
        <f t="shared" si="84"/>
        <v>-368071.63648876175</v>
      </c>
      <c r="BC111" s="606"/>
      <c r="BD111" s="606">
        <f t="shared" si="97"/>
        <v>-368071.63648876175</v>
      </c>
      <c r="BF111" s="712">
        <f t="shared" si="85"/>
        <v>-511094.19033548154</v>
      </c>
      <c r="BH111" s="590">
        <f t="shared" si="76"/>
        <v>508</v>
      </c>
    </row>
    <row r="112" spans="1:60" ht="14.5">
      <c r="A112" s="590">
        <f t="shared" si="98"/>
        <v>509</v>
      </c>
      <c r="B112" s="622"/>
      <c r="F112" s="715"/>
      <c r="H112" s="723"/>
      <c r="J112" s="620"/>
      <c r="K112" s="606"/>
      <c r="L112" s="620"/>
      <c r="M112" s="606"/>
      <c r="N112" s="620"/>
      <c r="R112" s="606">
        <v>0</v>
      </c>
      <c r="S112" s="606"/>
      <c r="T112" s="606">
        <v>0</v>
      </c>
      <c r="U112" s="606"/>
      <c r="V112" s="606">
        <f t="shared" ref="V112:V113" si="101">N112</f>
        <v>0</v>
      </c>
      <c r="W112" s="606"/>
      <c r="X112" s="606">
        <f t="shared" ref="X112:X113" si="102">SUM(R112:V112)</f>
        <v>0</v>
      </c>
      <c r="Y112" s="606"/>
      <c r="Z112" s="712"/>
      <c r="AA112" s="606"/>
      <c r="AB112" s="606">
        <v>0</v>
      </c>
      <c r="AC112" s="606"/>
      <c r="AD112" s="606">
        <v>0</v>
      </c>
      <c r="AE112" s="606"/>
      <c r="AF112" s="620">
        <v>0</v>
      </c>
      <c r="AG112" s="606"/>
      <c r="AH112" s="712"/>
      <c r="AI112" s="606"/>
      <c r="AJ112" s="605">
        <f t="shared" si="78"/>
        <v>0</v>
      </c>
      <c r="AK112" s="606"/>
      <c r="AL112" s="605">
        <f t="shared" si="79"/>
        <v>0</v>
      </c>
      <c r="AM112" s="606"/>
      <c r="AN112" s="605">
        <f t="shared" si="80"/>
        <v>0</v>
      </c>
      <c r="AO112" s="606"/>
      <c r="AP112" s="606">
        <f t="shared" si="81"/>
        <v>0</v>
      </c>
      <c r="AR112" s="606">
        <v>0</v>
      </c>
      <c r="AS112" s="606"/>
      <c r="AT112" s="606">
        <v>0</v>
      </c>
      <c r="AU112" s="606"/>
      <c r="AV112" s="620"/>
      <c r="AW112" s="606"/>
      <c r="AX112" s="605">
        <f t="shared" si="82"/>
        <v>0</v>
      </c>
      <c r="AY112" s="606"/>
      <c r="AZ112" s="605">
        <f t="shared" si="83"/>
        <v>0</v>
      </c>
      <c r="BA112" s="606"/>
      <c r="BB112" s="605">
        <f t="shared" si="84"/>
        <v>0</v>
      </c>
      <c r="BC112" s="606"/>
      <c r="BD112" s="606">
        <f t="shared" si="97"/>
        <v>0</v>
      </c>
      <c r="BF112" s="712"/>
      <c r="BH112" s="590">
        <f t="shared" si="76"/>
        <v>509</v>
      </c>
    </row>
    <row r="113" spans="1:60" ht="14.5">
      <c r="A113" s="590">
        <f>+A110+1</f>
        <v>508</v>
      </c>
      <c r="B113" s="622"/>
      <c r="F113" s="715"/>
      <c r="H113" s="723"/>
      <c r="J113" s="620"/>
      <c r="K113" s="606"/>
      <c r="L113" s="620"/>
      <c r="M113" s="606"/>
      <c r="N113" s="620"/>
      <c r="R113" s="606">
        <v>0</v>
      </c>
      <c r="S113" s="606"/>
      <c r="T113" s="606">
        <v>0</v>
      </c>
      <c r="U113" s="606"/>
      <c r="V113" s="606">
        <f t="shared" si="101"/>
        <v>0</v>
      </c>
      <c r="W113" s="606"/>
      <c r="X113" s="606">
        <f t="shared" si="102"/>
        <v>0</v>
      </c>
      <c r="Y113" s="606"/>
      <c r="Z113" s="712"/>
      <c r="AA113" s="606"/>
      <c r="AB113" s="606">
        <v>0</v>
      </c>
      <c r="AC113" s="606"/>
      <c r="AD113" s="606">
        <v>0</v>
      </c>
      <c r="AE113" s="606"/>
      <c r="AF113" s="620">
        <v>0</v>
      </c>
      <c r="AG113" s="606"/>
      <c r="AH113" s="712"/>
      <c r="AI113" s="606"/>
      <c r="AJ113" s="605">
        <f t="shared" si="78"/>
        <v>0</v>
      </c>
      <c r="AK113" s="606"/>
      <c r="AL113" s="605">
        <f t="shared" si="79"/>
        <v>0</v>
      </c>
      <c r="AM113" s="606"/>
      <c r="AN113" s="605">
        <f t="shared" si="80"/>
        <v>0</v>
      </c>
      <c r="AO113" s="606"/>
      <c r="AP113" s="606">
        <f t="shared" si="81"/>
        <v>0</v>
      </c>
      <c r="AR113" s="606">
        <v>0</v>
      </c>
      <c r="AS113" s="606"/>
      <c r="AT113" s="606">
        <v>0</v>
      </c>
      <c r="AU113" s="606"/>
      <c r="AV113" s="620"/>
      <c r="AW113" s="606"/>
      <c r="AX113" s="605">
        <f t="shared" si="82"/>
        <v>0</v>
      </c>
      <c r="AY113" s="606"/>
      <c r="AZ113" s="605">
        <f t="shared" si="83"/>
        <v>0</v>
      </c>
      <c r="BA113" s="606"/>
      <c r="BB113" s="605">
        <f t="shared" si="84"/>
        <v>0</v>
      </c>
      <c r="BC113" s="606"/>
      <c r="BD113" s="606">
        <f t="shared" si="97"/>
        <v>0</v>
      </c>
      <c r="BF113" s="712"/>
      <c r="BH113" s="590">
        <f t="shared" si="76"/>
        <v>508</v>
      </c>
    </row>
    <row r="114" spans="1:60" ht="14.5">
      <c r="A114" s="590"/>
      <c r="B114" s="595"/>
      <c r="F114" s="715"/>
      <c r="H114" s="712"/>
      <c r="J114" s="606"/>
      <c r="K114" s="606"/>
      <c r="L114" s="606"/>
      <c r="M114" s="606"/>
      <c r="N114" s="606"/>
      <c r="R114" s="606"/>
      <c r="S114" s="606"/>
      <c r="T114" s="606"/>
      <c r="U114" s="606"/>
      <c r="V114" s="606"/>
      <c r="W114" s="606"/>
      <c r="X114" s="606"/>
      <c r="Y114" s="606"/>
      <c r="Z114" s="712"/>
      <c r="AA114" s="606"/>
      <c r="AB114" s="606"/>
      <c r="AC114" s="606"/>
      <c r="AD114" s="606"/>
      <c r="AE114" s="606"/>
      <c r="AF114" s="606"/>
      <c r="AG114" s="606"/>
      <c r="AH114" s="712"/>
      <c r="AI114" s="606"/>
      <c r="AJ114" s="606"/>
      <c r="AK114" s="606"/>
      <c r="AL114" s="606"/>
      <c r="AM114" s="606"/>
      <c r="AN114" s="606"/>
      <c r="AO114" s="606"/>
      <c r="AP114" s="606"/>
      <c r="AR114" s="606"/>
      <c r="AS114" s="606"/>
      <c r="AT114" s="606"/>
      <c r="AU114" s="606"/>
      <c r="AV114" s="606"/>
      <c r="AW114" s="606"/>
      <c r="AX114" s="606"/>
      <c r="AY114" s="606"/>
      <c r="AZ114" s="606"/>
      <c r="BA114" s="606"/>
      <c r="BB114" s="606"/>
      <c r="BC114" s="606"/>
      <c r="BD114" s="606"/>
      <c r="BF114" s="712"/>
      <c r="BH114" s="590"/>
    </row>
    <row r="115" spans="1:60" ht="14.5">
      <c r="A115" s="323" t="s">
        <v>122</v>
      </c>
      <c r="F115" s="715"/>
      <c r="H115" s="705"/>
      <c r="BH115" s="616" t="s">
        <v>122</v>
      </c>
    </row>
    <row r="116" spans="1:60" ht="14.5">
      <c r="A116" s="590">
        <v>600</v>
      </c>
      <c r="B116" s="588" t="s">
        <v>1559</v>
      </c>
      <c r="F116" s="715"/>
      <c r="H116" s="721">
        <f>ROUND(SUM(H117:H121),0)</f>
        <v>0</v>
      </c>
      <c r="J116" s="609">
        <f>ROUND(SUM(J117:J121),0)</f>
        <v>336430551</v>
      </c>
      <c r="K116" s="606"/>
      <c r="L116" s="609">
        <f>ROUND(SUM(L117:L121),0)</f>
        <v>201858330</v>
      </c>
      <c r="M116" s="606"/>
      <c r="N116" s="609">
        <f>ROUND(SUM(N117:N121),0)</f>
        <v>134572220</v>
      </c>
      <c r="O116" s="590"/>
      <c r="P116" s="590"/>
      <c r="Q116" s="590"/>
      <c r="R116" s="609">
        <f>ROUND(SUM(R117:R121),0)</f>
        <v>134572220</v>
      </c>
      <c r="S116" s="606"/>
      <c r="T116" s="609">
        <f>ROUND(SUM(T117:T121),0)</f>
        <v>0</v>
      </c>
      <c r="U116" s="606"/>
      <c r="V116" s="609">
        <f>ROUND(SUM(V117:V121),0)</f>
        <v>0</v>
      </c>
      <c r="W116" s="606"/>
      <c r="X116" s="609">
        <f>ROUND(SUM(X117:X121),0)</f>
        <v>134572220</v>
      </c>
      <c r="Y116" s="606"/>
      <c r="Z116" s="712"/>
      <c r="AA116" s="606"/>
      <c r="AB116" s="609">
        <f>SUM(AB117:AB121)</f>
        <v>8829126.3361763302</v>
      </c>
      <c r="AC116" s="606"/>
      <c r="AD116" s="609">
        <f>SUM(AD117:AD121)</f>
        <v>0</v>
      </c>
      <c r="AE116" s="606"/>
      <c r="AF116" s="609">
        <f>SUM(AF117:AF121)</f>
        <v>0</v>
      </c>
      <c r="AG116" s="606"/>
      <c r="AH116" s="712"/>
      <c r="AI116" s="606"/>
      <c r="AJ116" s="609">
        <f>SUM(AJ117:AJ121)</f>
        <v>125743093.86985767</v>
      </c>
      <c r="AK116" s="606"/>
      <c r="AL116" s="609">
        <f>SUM(AL117:AL121)</f>
        <v>0</v>
      </c>
      <c r="AM116" s="606"/>
      <c r="AN116" s="609">
        <f>SUM(AN117:AN121)</f>
        <v>0</v>
      </c>
      <c r="AO116" s="606"/>
      <c r="AP116" s="609">
        <f>SUM(AP117:AP121)</f>
        <v>125743093.86985767</v>
      </c>
      <c r="AR116" s="609">
        <f>SUM(AR117:AR121)</f>
        <v>1851828.7079636212</v>
      </c>
      <c r="AS116" s="606"/>
      <c r="AT116" s="609">
        <f>SUM(AT117:AT121)</f>
        <v>0</v>
      </c>
      <c r="AU116" s="606"/>
      <c r="AV116" s="609">
        <f>SUM(AV117:AV121)</f>
        <v>0</v>
      </c>
      <c r="AW116" s="606"/>
      <c r="AX116" s="609">
        <f>SUM(AX117:AX121)</f>
        <v>123891265.16189405</v>
      </c>
      <c r="AY116" s="606"/>
      <c r="AZ116" s="609">
        <f>SUM(AZ117:AZ121)</f>
        <v>0</v>
      </c>
      <c r="BA116" s="606"/>
      <c r="BB116" s="609">
        <f>SUM(BB117:BB121)</f>
        <v>0</v>
      </c>
      <c r="BC116" s="606"/>
      <c r="BD116" s="609">
        <f>SUM(BD117:BD121)</f>
        <v>123891265.16189405</v>
      </c>
      <c r="BF116" s="721">
        <f>ROUND(SUM(BF117:BF121),0)</f>
        <v>172032017</v>
      </c>
      <c r="BH116" s="590">
        <f t="shared" ref="BH116:BH121" si="103">A116</f>
        <v>600</v>
      </c>
    </row>
    <row r="117" spans="1:60" ht="14.5">
      <c r="A117" s="590">
        <f t="shared" ref="A117:A120" si="104">A116+1</f>
        <v>601</v>
      </c>
      <c r="B117" s="634" t="s">
        <v>1841</v>
      </c>
      <c r="F117" s="715" t="s">
        <v>1755</v>
      </c>
      <c r="H117" s="723"/>
      <c r="J117" s="620">
        <v>336430550.515086</v>
      </c>
      <c r="K117" s="606"/>
      <c r="L117" s="620">
        <v>201858330.30905101</v>
      </c>
      <c r="M117" s="606"/>
      <c r="N117" s="620">
        <v>134572220.206034</v>
      </c>
      <c r="P117" s="713" t="s">
        <v>1750</v>
      </c>
      <c r="R117" s="606">
        <f>+N117</f>
        <v>134572220.206034</v>
      </c>
      <c r="S117" s="606"/>
      <c r="T117" s="606">
        <v>0</v>
      </c>
      <c r="U117" s="606"/>
      <c r="V117" s="606">
        <v>0</v>
      </c>
      <c r="W117" s="606"/>
      <c r="X117" s="606">
        <f>SUM(R117:V117)</f>
        <v>134572220.206034</v>
      </c>
      <c r="Y117" s="606"/>
      <c r="Z117" s="607" t="s">
        <v>1548</v>
      </c>
      <c r="AA117" s="606"/>
      <c r="AB117" s="620">
        <v>8829126.3361763302</v>
      </c>
      <c r="AC117" s="606"/>
      <c r="AD117" s="606">
        <v>0</v>
      </c>
      <c r="AE117" s="606"/>
      <c r="AF117" s="606">
        <v>0</v>
      </c>
      <c r="AG117" s="606"/>
      <c r="AH117" s="607" t="s">
        <v>1760</v>
      </c>
      <c r="AI117" s="606"/>
      <c r="AJ117" s="605">
        <f t="shared" ref="AJ117:AJ122" si="105">+R117-AB117</f>
        <v>125743093.86985767</v>
      </c>
      <c r="AK117" s="606"/>
      <c r="AL117" s="605">
        <f t="shared" ref="AL117:AL122" si="106">+T117-AD117</f>
        <v>0</v>
      </c>
      <c r="AM117" s="606"/>
      <c r="AN117" s="605">
        <f t="shared" ref="AN117:AN122" si="107">+V117-AF117</f>
        <v>0</v>
      </c>
      <c r="AO117" s="606"/>
      <c r="AP117" s="606">
        <f t="shared" ref="AP117:AP122" si="108">SUM(AJ117:AN117)</f>
        <v>125743093.86985767</v>
      </c>
      <c r="AR117" s="620">
        <v>1851828.7079636212</v>
      </c>
      <c r="AS117" s="606"/>
      <c r="AT117" s="606">
        <v>0</v>
      </c>
      <c r="AU117" s="606"/>
      <c r="AV117" s="606">
        <v>0</v>
      </c>
      <c r="AW117" s="606"/>
      <c r="AX117" s="605">
        <f>+AJ117-AR117</f>
        <v>123891265.16189405</v>
      </c>
      <c r="AY117" s="606"/>
      <c r="AZ117" s="605">
        <f t="shared" ref="AZ117:AZ122" si="109">+AL117-AT117</f>
        <v>0</v>
      </c>
      <c r="BA117" s="606"/>
      <c r="BB117" s="605">
        <f t="shared" ref="BB117:BB122" si="110">+AN117-AV117</f>
        <v>0</v>
      </c>
      <c r="BC117" s="606"/>
      <c r="BD117" s="606">
        <f>SUM(AX117:BB117)</f>
        <v>123891265.16189405</v>
      </c>
      <c r="BF117" s="712">
        <f t="shared" ref="BF117:BF121" si="111">+BD117*$BF$9</f>
        <v>172032016.54330686</v>
      </c>
      <c r="BH117" s="590">
        <f t="shared" si="103"/>
        <v>601</v>
      </c>
    </row>
    <row r="118" spans="1:60" ht="14.5">
      <c r="A118" s="590">
        <f t="shared" si="104"/>
        <v>602</v>
      </c>
      <c r="B118" s="634"/>
      <c r="F118" s="715" t="s">
        <v>1755</v>
      </c>
      <c r="H118" s="723"/>
      <c r="J118" s="620"/>
      <c r="K118" s="606"/>
      <c r="L118" s="620"/>
      <c r="M118" s="606"/>
      <c r="N118" s="620"/>
      <c r="P118" s="713" t="s">
        <v>1750</v>
      </c>
      <c r="R118" s="606">
        <f>N118</f>
        <v>0</v>
      </c>
      <c r="S118" s="606"/>
      <c r="T118" s="606">
        <v>0</v>
      </c>
      <c r="U118" s="606"/>
      <c r="V118" s="606">
        <v>0</v>
      </c>
      <c r="W118" s="606"/>
      <c r="X118" s="606">
        <f t="shared" ref="X118:X121" si="112">SUM(R118:V118)</f>
        <v>0</v>
      </c>
      <c r="Y118" s="606"/>
      <c r="Z118" s="607" t="s">
        <v>1548</v>
      </c>
      <c r="AA118" s="606"/>
      <c r="AB118" s="620"/>
      <c r="AC118" s="606"/>
      <c r="AD118" s="606">
        <v>0</v>
      </c>
      <c r="AE118" s="606"/>
      <c r="AF118" s="606">
        <v>0</v>
      </c>
      <c r="AG118" s="606"/>
      <c r="AH118" s="607" t="s">
        <v>1760</v>
      </c>
      <c r="AI118" s="606"/>
      <c r="AJ118" s="605">
        <f t="shared" si="105"/>
        <v>0</v>
      </c>
      <c r="AK118" s="606"/>
      <c r="AL118" s="605">
        <f t="shared" si="106"/>
        <v>0</v>
      </c>
      <c r="AM118" s="606"/>
      <c r="AN118" s="605">
        <f t="shared" si="107"/>
        <v>0</v>
      </c>
      <c r="AO118" s="606"/>
      <c r="AP118" s="606">
        <f t="shared" si="108"/>
        <v>0</v>
      </c>
      <c r="AR118" s="620"/>
      <c r="AS118" s="606"/>
      <c r="AT118" s="606">
        <v>0</v>
      </c>
      <c r="AU118" s="606"/>
      <c r="AV118" s="606">
        <v>0</v>
      </c>
      <c r="AW118" s="606"/>
      <c r="AX118" s="605">
        <f t="shared" ref="AX118:AX122" si="113">+AJ118-AR118</f>
        <v>0</v>
      </c>
      <c r="AY118" s="606"/>
      <c r="AZ118" s="605">
        <f t="shared" si="109"/>
        <v>0</v>
      </c>
      <c r="BA118" s="606"/>
      <c r="BB118" s="605">
        <f t="shared" si="110"/>
        <v>0</v>
      </c>
      <c r="BC118" s="606"/>
      <c r="BD118" s="606">
        <f t="shared" ref="BD118:BD121" si="114">SUM(AX118:BB118)</f>
        <v>0</v>
      </c>
      <c r="BF118" s="712">
        <f t="shared" si="111"/>
        <v>0</v>
      </c>
      <c r="BH118" s="590">
        <f t="shared" si="103"/>
        <v>602</v>
      </c>
    </row>
    <row r="119" spans="1:60" ht="14.5">
      <c r="A119" s="590">
        <f t="shared" si="104"/>
        <v>603</v>
      </c>
      <c r="B119" s="621"/>
      <c r="F119" s="715"/>
      <c r="H119" s="723"/>
      <c r="J119" s="620"/>
      <c r="K119" s="606"/>
      <c r="L119" s="620"/>
      <c r="M119" s="606"/>
      <c r="N119" s="620"/>
      <c r="R119" s="606">
        <v>0</v>
      </c>
      <c r="S119" s="606"/>
      <c r="T119" s="606">
        <v>0</v>
      </c>
      <c r="U119" s="606"/>
      <c r="V119" s="606">
        <v>0</v>
      </c>
      <c r="W119" s="606"/>
      <c r="X119" s="606">
        <f t="shared" si="112"/>
        <v>0</v>
      </c>
      <c r="Y119" s="606"/>
      <c r="Z119" s="712"/>
      <c r="AA119" s="606"/>
      <c r="AB119" s="620"/>
      <c r="AC119" s="606"/>
      <c r="AD119" s="606">
        <v>0</v>
      </c>
      <c r="AE119" s="606"/>
      <c r="AF119" s="606">
        <v>0</v>
      </c>
      <c r="AG119" s="606"/>
      <c r="AH119" s="712"/>
      <c r="AI119" s="606"/>
      <c r="AJ119" s="605">
        <f t="shared" si="105"/>
        <v>0</v>
      </c>
      <c r="AK119" s="606"/>
      <c r="AL119" s="605">
        <f t="shared" si="106"/>
        <v>0</v>
      </c>
      <c r="AM119" s="606"/>
      <c r="AN119" s="605">
        <f t="shared" si="107"/>
        <v>0</v>
      </c>
      <c r="AO119" s="606"/>
      <c r="AP119" s="606">
        <f t="shared" si="108"/>
        <v>0</v>
      </c>
      <c r="AR119" s="620"/>
      <c r="AS119" s="606"/>
      <c r="AT119" s="606">
        <v>0</v>
      </c>
      <c r="AU119" s="606"/>
      <c r="AV119" s="606">
        <v>0</v>
      </c>
      <c r="AW119" s="606"/>
      <c r="AX119" s="605">
        <f t="shared" si="113"/>
        <v>0</v>
      </c>
      <c r="AY119" s="606"/>
      <c r="AZ119" s="605">
        <f t="shared" si="109"/>
        <v>0</v>
      </c>
      <c r="BA119" s="606"/>
      <c r="BB119" s="605">
        <f t="shared" si="110"/>
        <v>0</v>
      </c>
      <c r="BC119" s="606"/>
      <c r="BD119" s="606">
        <f t="shared" si="114"/>
        <v>0</v>
      </c>
      <c r="BF119" s="712">
        <f t="shared" si="111"/>
        <v>0</v>
      </c>
      <c r="BH119" s="590">
        <f t="shared" si="103"/>
        <v>603</v>
      </c>
    </row>
    <row r="120" spans="1:60" ht="14.5">
      <c r="A120" s="590">
        <f t="shared" si="104"/>
        <v>604</v>
      </c>
      <c r="B120" s="621"/>
      <c r="H120" s="723"/>
      <c r="J120" s="620"/>
      <c r="K120" s="606"/>
      <c r="L120" s="620"/>
      <c r="M120" s="606"/>
      <c r="N120" s="620"/>
      <c r="R120" s="606">
        <v>0</v>
      </c>
      <c r="S120" s="606"/>
      <c r="T120" s="606">
        <v>0</v>
      </c>
      <c r="U120" s="606"/>
      <c r="V120" s="606">
        <v>0</v>
      </c>
      <c r="W120" s="606"/>
      <c r="X120" s="606">
        <f t="shared" si="112"/>
        <v>0</v>
      </c>
      <c r="Y120" s="606"/>
      <c r="Z120" s="712"/>
      <c r="AA120" s="606"/>
      <c r="AB120" s="620"/>
      <c r="AC120" s="606"/>
      <c r="AD120" s="606">
        <v>0</v>
      </c>
      <c r="AE120" s="606"/>
      <c r="AF120" s="606">
        <v>0</v>
      </c>
      <c r="AG120" s="606"/>
      <c r="AH120" s="712"/>
      <c r="AI120" s="606"/>
      <c r="AJ120" s="605">
        <f t="shared" si="105"/>
        <v>0</v>
      </c>
      <c r="AK120" s="606"/>
      <c r="AL120" s="605">
        <f t="shared" si="106"/>
        <v>0</v>
      </c>
      <c r="AM120" s="606"/>
      <c r="AN120" s="605">
        <f t="shared" si="107"/>
        <v>0</v>
      </c>
      <c r="AO120" s="606"/>
      <c r="AP120" s="606">
        <f t="shared" si="108"/>
        <v>0</v>
      </c>
      <c r="AR120" s="620"/>
      <c r="AS120" s="606"/>
      <c r="AT120" s="606">
        <v>0</v>
      </c>
      <c r="AU120" s="606"/>
      <c r="AV120" s="606">
        <v>0</v>
      </c>
      <c r="AW120" s="606"/>
      <c r="AX120" s="605">
        <f t="shared" si="113"/>
        <v>0</v>
      </c>
      <c r="AY120" s="606"/>
      <c r="AZ120" s="605">
        <f t="shared" si="109"/>
        <v>0</v>
      </c>
      <c r="BA120" s="606"/>
      <c r="BB120" s="605">
        <f t="shared" si="110"/>
        <v>0</v>
      </c>
      <c r="BC120" s="606"/>
      <c r="BD120" s="606">
        <f t="shared" si="114"/>
        <v>0</v>
      </c>
      <c r="BF120" s="712">
        <f t="shared" si="111"/>
        <v>0</v>
      </c>
      <c r="BH120" s="590">
        <f t="shared" si="103"/>
        <v>604</v>
      </c>
    </row>
    <row r="121" spans="1:60" ht="14.5">
      <c r="A121" s="590">
        <f>+A120+1</f>
        <v>605</v>
      </c>
      <c r="B121" s="621"/>
      <c r="H121" s="723"/>
      <c r="J121" s="620"/>
      <c r="K121" s="606"/>
      <c r="L121" s="620"/>
      <c r="M121" s="606"/>
      <c r="N121" s="620"/>
      <c r="R121" s="606">
        <v>0</v>
      </c>
      <c r="S121" s="606"/>
      <c r="T121" s="606">
        <v>0</v>
      </c>
      <c r="U121" s="606"/>
      <c r="V121" s="606">
        <v>0</v>
      </c>
      <c r="W121" s="606"/>
      <c r="X121" s="606">
        <f t="shared" si="112"/>
        <v>0</v>
      </c>
      <c r="Y121" s="606"/>
      <c r="Z121" s="712"/>
      <c r="AA121" s="606"/>
      <c r="AB121" s="620"/>
      <c r="AC121" s="606"/>
      <c r="AD121" s="606">
        <v>0</v>
      </c>
      <c r="AE121" s="606"/>
      <c r="AF121" s="606">
        <v>0</v>
      </c>
      <c r="AG121" s="606"/>
      <c r="AH121" s="712"/>
      <c r="AI121" s="606"/>
      <c r="AJ121" s="605">
        <f t="shared" si="105"/>
        <v>0</v>
      </c>
      <c r="AK121" s="606"/>
      <c r="AL121" s="605">
        <f t="shared" si="106"/>
        <v>0</v>
      </c>
      <c r="AM121" s="606"/>
      <c r="AN121" s="605">
        <f t="shared" si="107"/>
        <v>0</v>
      </c>
      <c r="AO121" s="606"/>
      <c r="AP121" s="606">
        <f t="shared" si="108"/>
        <v>0</v>
      </c>
      <c r="AR121" s="620"/>
      <c r="AS121" s="606"/>
      <c r="AT121" s="606">
        <v>0</v>
      </c>
      <c r="AU121" s="606"/>
      <c r="AV121" s="606">
        <v>0</v>
      </c>
      <c r="AW121" s="606"/>
      <c r="AX121" s="605">
        <f t="shared" si="113"/>
        <v>0</v>
      </c>
      <c r="AY121" s="606"/>
      <c r="AZ121" s="605">
        <f t="shared" si="109"/>
        <v>0</v>
      </c>
      <c r="BA121" s="606"/>
      <c r="BB121" s="605">
        <f t="shared" si="110"/>
        <v>0</v>
      </c>
      <c r="BC121" s="606"/>
      <c r="BD121" s="606">
        <f t="shared" si="114"/>
        <v>0</v>
      </c>
      <c r="BF121" s="712">
        <f t="shared" si="111"/>
        <v>0</v>
      </c>
      <c r="BH121" s="590">
        <f t="shared" si="103"/>
        <v>605</v>
      </c>
    </row>
    <row r="122" spans="1:60" ht="14.5">
      <c r="A122" s="590"/>
      <c r="B122" s="595"/>
      <c r="H122" s="712"/>
      <c r="J122" s="606"/>
      <c r="K122" s="606"/>
      <c r="L122" s="606"/>
      <c r="M122" s="606"/>
      <c r="N122" s="606"/>
      <c r="R122" s="606"/>
      <c r="S122" s="606"/>
      <c r="T122" s="606"/>
      <c r="U122" s="606"/>
      <c r="V122" s="606"/>
      <c r="W122" s="606"/>
      <c r="X122" s="606"/>
      <c r="Y122" s="606"/>
      <c r="Z122" s="712"/>
      <c r="AA122" s="606"/>
      <c r="AB122" s="606"/>
      <c r="AC122" s="606"/>
      <c r="AD122" s="606"/>
      <c r="AE122" s="606"/>
      <c r="AF122" s="606"/>
      <c r="AG122" s="606"/>
      <c r="AH122" s="712"/>
      <c r="AI122" s="606"/>
      <c r="AJ122" s="606">
        <f t="shared" si="105"/>
        <v>0</v>
      </c>
      <c r="AK122" s="606"/>
      <c r="AL122" s="606">
        <f t="shared" si="106"/>
        <v>0</v>
      </c>
      <c r="AM122" s="606"/>
      <c r="AN122" s="606">
        <f t="shared" si="107"/>
        <v>0</v>
      </c>
      <c r="AO122" s="606"/>
      <c r="AP122" s="606">
        <f t="shared" si="108"/>
        <v>0</v>
      </c>
      <c r="AR122" s="606"/>
      <c r="AS122" s="606"/>
      <c r="AT122" s="606"/>
      <c r="AU122" s="606"/>
      <c r="AV122" s="606"/>
      <c r="AW122" s="606"/>
      <c r="AX122" s="606">
        <f t="shared" si="113"/>
        <v>0</v>
      </c>
      <c r="AY122" s="606"/>
      <c r="AZ122" s="606">
        <f t="shared" si="109"/>
        <v>0</v>
      </c>
      <c r="BA122" s="606"/>
      <c r="BB122" s="606">
        <f t="shared" si="110"/>
        <v>0</v>
      </c>
      <c r="BC122" s="606"/>
      <c r="BD122" s="606"/>
      <c r="BF122" s="712"/>
      <c r="BH122" s="590"/>
    </row>
    <row r="123" spans="1:60" ht="14.5">
      <c r="A123" s="323" t="s">
        <v>122</v>
      </c>
      <c r="H123" s="705"/>
      <c r="BH123" s="616" t="s">
        <v>122</v>
      </c>
    </row>
    <row r="124" spans="1:60" ht="14.5">
      <c r="A124" s="590">
        <v>700</v>
      </c>
      <c r="B124" s="611" t="s">
        <v>1553</v>
      </c>
      <c r="H124" s="721">
        <f>SUM(H125:H129)</f>
        <v>0</v>
      </c>
      <c r="J124" s="609">
        <f>SUM(J125:J129)</f>
        <v>-22361973.694661092</v>
      </c>
      <c r="K124" s="606"/>
      <c r="L124" s="609">
        <f>SUM(L125:L129)</f>
        <v>-13417682.378914446</v>
      </c>
      <c r="M124" s="606"/>
      <c r="N124" s="609">
        <f>SUM(N125:N129)</f>
        <v>-8944291.3157466538</v>
      </c>
      <c r="O124" s="590"/>
      <c r="P124" s="590"/>
      <c r="Q124" s="590"/>
      <c r="R124" s="609">
        <f>SUM(R125:R129)</f>
        <v>0</v>
      </c>
      <c r="S124" s="606"/>
      <c r="T124" s="609">
        <f>SUM(T125:T129)</f>
        <v>-8944291.3157466538</v>
      </c>
      <c r="U124" s="606"/>
      <c r="V124" s="609">
        <f>SUM(V125:V129)</f>
        <v>0</v>
      </c>
      <c r="W124" s="606"/>
      <c r="X124" s="609">
        <f>SUM(X125:X129)</f>
        <v>-8944291.3157466538</v>
      </c>
      <c r="Y124" s="606"/>
      <c r="Z124" s="712"/>
      <c r="AA124" s="606"/>
      <c r="AB124" s="609">
        <f>SUM(AB125:AB129)</f>
        <v>0</v>
      </c>
      <c r="AC124" s="606"/>
      <c r="AD124" s="609">
        <f>SUM(AD125:AD129)</f>
        <v>-3067693.3140946515</v>
      </c>
      <c r="AE124" s="606"/>
      <c r="AF124" s="609">
        <f>SUM(AF125:AF129)</f>
        <v>0</v>
      </c>
      <c r="AG124" s="606"/>
      <c r="AH124" s="712"/>
      <c r="AI124" s="606"/>
      <c r="AJ124" s="609">
        <f>SUM(AJ125:AJ129)</f>
        <v>0</v>
      </c>
      <c r="AK124" s="606"/>
      <c r="AL124" s="609">
        <f>SUM(AL125:AL129)</f>
        <v>-5876598.0016520014</v>
      </c>
      <c r="AM124" s="606"/>
      <c r="AN124" s="609">
        <f>SUM(AN125:AN129)</f>
        <v>0</v>
      </c>
      <c r="AO124" s="606"/>
      <c r="AP124" s="609">
        <f>SUM(AP125:AP129)</f>
        <v>-5876598.0016520014</v>
      </c>
      <c r="AR124" s="609">
        <f>SUM(AR125:AR129)</f>
        <v>0</v>
      </c>
      <c r="AS124" s="606"/>
      <c r="AT124" s="609">
        <f>SUM(AT125:AT129)</f>
        <v>-929946.9651860015</v>
      </c>
      <c r="AU124" s="606"/>
      <c r="AV124" s="609">
        <f>SUM(AV125:AV129)</f>
        <v>0</v>
      </c>
      <c r="AW124" s="606"/>
      <c r="AX124" s="609">
        <f>SUM(AX125:AX129)</f>
        <v>0</v>
      </c>
      <c r="AY124" s="606"/>
      <c r="AZ124" s="609">
        <f>SUM(AZ125:AZ129)</f>
        <v>-4946651.0364659987</v>
      </c>
      <c r="BA124" s="606"/>
      <c r="BB124" s="609">
        <f>SUM(BB125:BB129)</f>
        <v>0</v>
      </c>
      <c r="BC124" s="606"/>
      <c r="BD124" s="609">
        <f>SUM(BD125:BD129)</f>
        <v>-4946651.0364659987</v>
      </c>
      <c r="BF124" s="721">
        <f>SUM(BF125:BF129)</f>
        <v>-12419797.87346584</v>
      </c>
      <c r="BH124" s="590">
        <f t="shared" ref="BH124:BH129" si="115">A124</f>
        <v>700</v>
      </c>
    </row>
    <row r="125" spans="1:60" ht="14.5">
      <c r="A125" s="590">
        <f t="shared" ref="A125:A128" si="116">A124+1</f>
        <v>701</v>
      </c>
      <c r="B125" s="622" t="s">
        <v>1917</v>
      </c>
      <c r="H125" s="723"/>
      <c r="J125" s="620">
        <v>-29456149.263061095</v>
      </c>
      <c r="K125" s="606"/>
      <c r="L125" s="620">
        <v>-17673689.602903582</v>
      </c>
      <c r="M125" s="606"/>
      <c r="N125" s="620">
        <v>-11782459.660157517</v>
      </c>
      <c r="R125" s="606">
        <v>0</v>
      </c>
      <c r="S125" s="606"/>
      <c r="T125" s="606">
        <f>N125</f>
        <v>-11782459.660157517</v>
      </c>
      <c r="U125" s="606"/>
      <c r="V125" s="606">
        <v>0</v>
      </c>
      <c r="W125" s="606"/>
      <c r="X125" s="606">
        <f>SUM(R125:V125)</f>
        <v>-11782459.660157517</v>
      </c>
      <c r="Y125" s="606"/>
      <c r="Z125" s="712"/>
      <c r="AA125" s="606"/>
      <c r="AB125" s="620"/>
      <c r="AC125" s="606"/>
      <c r="AD125" s="620">
        <v>-4041122.0349476999</v>
      </c>
      <c r="AE125" s="606"/>
      <c r="AF125" s="620"/>
      <c r="AG125" s="606"/>
      <c r="AH125" s="712"/>
      <c r="AI125" s="606"/>
      <c r="AJ125" s="605">
        <f t="shared" ref="AJ125:AJ129" si="117">+R125-AB125</f>
        <v>0</v>
      </c>
      <c r="AK125" s="606"/>
      <c r="AL125" s="605">
        <f t="shared" ref="AL125:AL129" si="118">+T125-AD125</f>
        <v>-7741337.6252098167</v>
      </c>
      <c r="AM125" s="606"/>
      <c r="AN125" s="605">
        <f t="shared" ref="AN125:AN129" si="119">+V125-AF125</f>
        <v>0</v>
      </c>
      <c r="AO125" s="606"/>
      <c r="AP125" s="606">
        <f t="shared" ref="AP125:AP129" si="120">SUM(AJ125:AN125)</f>
        <v>-7741337.6252098167</v>
      </c>
      <c r="AR125" s="620"/>
      <c r="AS125" s="606"/>
      <c r="AT125" s="620">
        <v>-1225034.1828759292</v>
      </c>
      <c r="AU125" s="606"/>
      <c r="AV125" s="620"/>
      <c r="AW125" s="606"/>
      <c r="AX125" s="605">
        <f>+AJ125-AR125</f>
        <v>0</v>
      </c>
      <c r="AY125" s="606"/>
      <c r="AZ125" s="605">
        <f>+AL125-AT125</f>
        <v>-6516303.4423338873</v>
      </c>
      <c r="BA125" s="606"/>
      <c r="BB125" s="605">
        <f>+AN125-AV125</f>
        <v>0</v>
      </c>
      <c r="BC125" s="606"/>
      <c r="BD125" s="606">
        <f>SUM(AX125:BB125)</f>
        <v>-6516303.4423338873</v>
      </c>
      <c r="BF125" s="712">
        <f>+N125*$BF$9</f>
        <v>-16360800.678953011</v>
      </c>
      <c r="BH125" s="590">
        <f t="shared" si="115"/>
        <v>701</v>
      </c>
    </row>
    <row r="126" spans="1:60" ht="14.5">
      <c r="A126" s="590">
        <f t="shared" si="116"/>
        <v>702</v>
      </c>
      <c r="B126" s="622" t="s">
        <v>1918</v>
      </c>
      <c r="H126" s="723"/>
      <c r="J126" s="620">
        <v>3240926.9879999999</v>
      </c>
      <c r="K126" s="606"/>
      <c r="L126" s="620">
        <v>1944556.164138</v>
      </c>
      <c r="M126" s="606"/>
      <c r="N126" s="620">
        <v>1296370.8238620001</v>
      </c>
      <c r="R126" s="606">
        <v>0</v>
      </c>
      <c r="S126" s="606"/>
      <c r="T126" s="606">
        <f t="shared" ref="T126:T129" si="121">N126</f>
        <v>1296370.8238620001</v>
      </c>
      <c r="U126" s="606"/>
      <c r="V126" s="606">
        <v>0</v>
      </c>
      <c r="W126" s="606"/>
      <c r="X126" s="606">
        <f t="shared" ref="X126:X129" si="122">SUM(R126:V126)</f>
        <v>1296370.8238620001</v>
      </c>
      <c r="Y126" s="606"/>
      <c r="Z126" s="712"/>
      <c r="AA126" s="606"/>
      <c r="AB126" s="620"/>
      <c r="AC126" s="606"/>
      <c r="AD126" s="620">
        <v>444626.40678389522</v>
      </c>
      <c r="AE126" s="606"/>
      <c r="AF126" s="620"/>
      <c r="AG126" s="606"/>
      <c r="AH126" s="712"/>
      <c r="AI126" s="606"/>
      <c r="AJ126" s="605">
        <f t="shared" si="117"/>
        <v>0</v>
      </c>
      <c r="AK126" s="606"/>
      <c r="AL126" s="605">
        <f t="shared" si="118"/>
        <v>851744.41707810492</v>
      </c>
      <c r="AM126" s="606"/>
      <c r="AN126" s="605">
        <f t="shared" si="119"/>
        <v>0</v>
      </c>
      <c r="AO126" s="606"/>
      <c r="AP126" s="606">
        <f t="shared" si="120"/>
        <v>851744.41707810492</v>
      </c>
      <c r="AR126" s="620"/>
      <c r="AS126" s="606"/>
      <c r="AT126" s="620">
        <v>134784.97857999455</v>
      </c>
      <c r="AU126" s="606"/>
      <c r="AV126" s="620"/>
      <c r="AW126" s="606"/>
      <c r="AX126" s="605">
        <f>+AJ126-AR126</f>
        <v>0</v>
      </c>
      <c r="AY126" s="606"/>
      <c r="AZ126" s="605">
        <f>+AL126-AT126</f>
        <v>716959.43849811039</v>
      </c>
      <c r="BA126" s="606"/>
      <c r="BB126" s="605">
        <f>+AN126-AV126</f>
        <v>0</v>
      </c>
      <c r="BC126" s="606"/>
      <c r="BD126" s="606">
        <f t="shared" ref="BD126:BD129" si="123">SUM(AX126:BB126)</f>
        <v>716959.43849811039</v>
      </c>
      <c r="BF126" s="712">
        <f>+N126*$BF$9</f>
        <v>1800105.0092228993</v>
      </c>
      <c r="BH126" s="590">
        <f t="shared" si="115"/>
        <v>702</v>
      </c>
    </row>
    <row r="127" spans="1:60" ht="14.5">
      <c r="A127" s="590">
        <f t="shared" si="116"/>
        <v>703</v>
      </c>
      <c r="B127" s="622" t="s">
        <v>1919</v>
      </c>
      <c r="H127" s="723"/>
      <c r="J127" s="620">
        <v>3853248.5804000003</v>
      </c>
      <c r="K127" s="606"/>
      <c r="L127" s="620">
        <v>2311451.0598511361</v>
      </c>
      <c r="M127" s="606"/>
      <c r="N127" s="620">
        <v>1541797.520548864</v>
      </c>
      <c r="R127" s="606">
        <v>0</v>
      </c>
      <c r="S127" s="606"/>
      <c r="T127" s="606">
        <f t="shared" si="121"/>
        <v>1541797.520548864</v>
      </c>
      <c r="U127" s="606"/>
      <c r="V127" s="606">
        <v>0</v>
      </c>
      <c r="W127" s="606"/>
      <c r="X127" s="606">
        <f t="shared" si="122"/>
        <v>1541797.520548864</v>
      </c>
      <c r="Y127" s="606"/>
      <c r="Z127" s="712"/>
      <c r="AA127" s="606"/>
      <c r="AB127" s="620"/>
      <c r="AC127" s="606"/>
      <c r="AD127" s="620">
        <v>528802.31406915316</v>
      </c>
      <c r="AE127" s="606"/>
      <c r="AF127" s="620"/>
      <c r="AG127" s="606"/>
      <c r="AH127" s="712"/>
      <c r="AI127" s="606"/>
      <c r="AJ127" s="605">
        <f t="shared" si="117"/>
        <v>0</v>
      </c>
      <c r="AK127" s="606"/>
      <c r="AL127" s="605">
        <f t="shared" si="118"/>
        <v>1012995.2064797109</v>
      </c>
      <c r="AM127" s="606"/>
      <c r="AN127" s="605">
        <f t="shared" si="119"/>
        <v>0</v>
      </c>
      <c r="AO127" s="606"/>
      <c r="AP127" s="606">
        <f t="shared" si="120"/>
        <v>1012995.2064797109</v>
      </c>
      <c r="AR127" s="620"/>
      <c r="AS127" s="606"/>
      <c r="AT127" s="620">
        <v>160302.23910993309</v>
      </c>
      <c r="AU127" s="606"/>
      <c r="AV127" s="620"/>
      <c r="AW127" s="606"/>
      <c r="AX127" s="605">
        <f>+AJ127-AR127</f>
        <v>0</v>
      </c>
      <c r="AY127" s="606"/>
      <c r="AZ127" s="605">
        <f>+AL127-AT127</f>
        <v>852692.96736977785</v>
      </c>
      <c r="BA127" s="606"/>
      <c r="BB127" s="605">
        <f>+AN127-AV127</f>
        <v>0</v>
      </c>
      <c r="BC127" s="606"/>
      <c r="BD127" s="606">
        <f t="shared" si="123"/>
        <v>852692.96736977785</v>
      </c>
      <c r="BF127" s="712">
        <f>+N127*$BF$9</f>
        <v>2140897.7962642731</v>
      </c>
      <c r="BH127" s="590">
        <f t="shared" si="115"/>
        <v>703</v>
      </c>
    </row>
    <row r="128" spans="1:60" ht="14.5">
      <c r="A128" s="590">
        <f t="shared" si="116"/>
        <v>704</v>
      </c>
      <c r="B128" s="622"/>
      <c r="H128" s="723"/>
      <c r="J128" s="620"/>
      <c r="K128" s="606"/>
      <c r="L128" s="620"/>
      <c r="M128" s="606"/>
      <c r="N128" s="620"/>
      <c r="R128" s="606">
        <v>0</v>
      </c>
      <c r="S128" s="606"/>
      <c r="T128" s="606">
        <f t="shared" si="121"/>
        <v>0</v>
      </c>
      <c r="U128" s="606"/>
      <c r="V128" s="606">
        <v>0</v>
      </c>
      <c r="W128" s="606"/>
      <c r="X128" s="606">
        <f t="shared" si="122"/>
        <v>0</v>
      </c>
      <c r="Y128" s="606"/>
      <c r="Z128" s="712"/>
      <c r="AA128" s="606"/>
      <c r="AB128" s="620"/>
      <c r="AC128" s="606"/>
      <c r="AD128" s="620">
        <v>0</v>
      </c>
      <c r="AE128" s="606"/>
      <c r="AF128" s="620"/>
      <c r="AG128" s="606"/>
      <c r="AH128" s="712"/>
      <c r="AI128" s="606"/>
      <c r="AJ128" s="605">
        <f t="shared" si="117"/>
        <v>0</v>
      </c>
      <c r="AK128" s="606"/>
      <c r="AL128" s="605">
        <f t="shared" si="118"/>
        <v>0</v>
      </c>
      <c r="AM128" s="606"/>
      <c r="AN128" s="605">
        <f t="shared" si="119"/>
        <v>0</v>
      </c>
      <c r="AO128" s="606"/>
      <c r="AP128" s="606">
        <f t="shared" si="120"/>
        <v>0</v>
      </c>
      <c r="AR128" s="620"/>
      <c r="AS128" s="606"/>
      <c r="AT128" s="620"/>
      <c r="AU128" s="606"/>
      <c r="AV128" s="620"/>
      <c r="AW128" s="606"/>
      <c r="AX128" s="605">
        <f>+AJ128-AR128</f>
        <v>0</v>
      </c>
      <c r="AY128" s="606"/>
      <c r="AZ128" s="605">
        <f>+AL128-AT128</f>
        <v>0</v>
      </c>
      <c r="BA128" s="606"/>
      <c r="BB128" s="605">
        <f>+AN128-AV128</f>
        <v>0</v>
      </c>
      <c r="BC128" s="606"/>
      <c r="BD128" s="606">
        <f t="shared" si="123"/>
        <v>0</v>
      </c>
      <c r="BF128" s="712">
        <f>+N128*$BF$9</f>
        <v>0</v>
      </c>
      <c r="BH128" s="590">
        <f t="shared" si="115"/>
        <v>704</v>
      </c>
    </row>
    <row r="129" spans="1:60" ht="14.5">
      <c r="A129" s="590">
        <f>+A128+1</f>
        <v>705</v>
      </c>
      <c r="B129" s="622"/>
      <c r="H129" s="723"/>
      <c r="J129" s="620"/>
      <c r="K129" s="606"/>
      <c r="L129" s="620"/>
      <c r="M129" s="606"/>
      <c r="N129" s="620"/>
      <c r="R129" s="606">
        <v>0</v>
      </c>
      <c r="S129" s="606"/>
      <c r="T129" s="606">
        <f t="shared" si="121"/>
        <v>0</v>
      </c>
      <c r="U129" s="606"/>
      <c r="V129" s="606">
        <v>0</v>
      </c>
      <c r="W129" s="606"/>
      <c r="X129" s="606">
        <f t="shared" si="122"/>
        <v>0</v>
      </c>
      <c r="Y129" s="606"/>
      <c r="Z129" s="712"/>
      <c r="AA129" s="606"/>
      <c r="AB129" s="620"/>
      <c r="AC129" s="606"/>
      <c r="AD129" s="620">
        <v>0</v>
      </c>
      <c r="AE129" s="606"/>
      <c r="AF129" s="620"/>
      <c r="AG129" s="606"/>
      <c r="AH129" s="712"/>
      <c r="AI129" s="606"/>
      <c r="AJ129" s="605">
        <f t="shared" si="117"/>
        <v>0</v>
      </c>
      <c r="AK129" s="606"/>
      <c r="AL129" s="605">
        <f t="shared" si="118"/>
        <v>0</v>
      </c>
      <c r="AM129" s="606"/>
      <c r="AN129" s="605">
        <f t="shared" si="119"/>
        <v>0</v>
      </c>
      <c r="AO129" s="606"/>
      <c r="AP129" s="606">
        <f t="shared" si="120"/>
        <v>0</v>
      </c>
      <c r="AR129" s="620"/>
      <c r="AS129" s="606"/>
      <c r="AT129" s="620"/>
      <c r="AU129" s="606"/>
      <c r="AV129" s="620"/>
      <c r="AW129" s="606"/>
      <c r="AX129" s="605">
        <f>+AJ129-AR129</f>
        <v>0</v>
      </c>
      <c r="AY129" s="606"/>
      <c r="AZ129" s="605">
        <f>+AL129-AT129</f>
        <v>0</v>
      </c>
      <c r="BA129" s="606"/>
      <c r="BB129" s="605">
        <f>+AN129-AV129</f>
        <v>0</v>
      </c>
      <c r="BC129" s="606"/>
      <c r="BD129" s="606">
        <f t="shared" si="123"/>
        <v>0</v>
      </c>
      <c r="BF129" s="712">
        <f>+N129*$BF$9</f>
        <v>0</v>
      </c>
      <c r="BH129" s="590">
        <f t="shared" si="115"/>
        <v>705</v>
      </c>
    </row>
    <row r="133" spans="1:60">
      <c r="A133" s="703" t="s">
        <v>123</v>
      </c>
      <c r="B133" s="834" t="s">
        <v>1728</v>
      </c>
      <c r="C133" s="834"/>
      <c r="D133" s="834"/>
      <c r="E133" s="834"/>
      <c r="F133" s="834"/>
      <c r="G133" s="834"/>
      <c r="H133" s="834"/>
      <c r="I133" s="834"/>
      <c r="J133" s="834"/>
      <c r="K133" s="834"/>
      <c r="L133" s="834"/>
    </row>
    <row r="134" spans="1:60">
      <c r="A134" s="704" t="s">
        <v>1723</v>
      </c>
      <c r="B134" s="833" t="s">
        <v>1729</v>
      </c>
      <c r="C134" s="833"/>
      <c r="D134" s="833"/>
    </row>
    <row r="135" spans="1:60">
      <c r="A135" s="704" t="s">
        <v>1724</v>
      </c>
      <c r="B135" s="833" t="s">
        <v>1730</v>
      </c>
      <c r="C135" s="833"/>
      <c r="D135" s="833"/>
    </row>
    <row r="136" spans="1:60">
      <c r="A136" s="704" t="s">
        <v>1725</v>
      </c>
      <c r="B136" s="833"/>
      <c r="C136" s="833"/>
      <c r="D136" s="833"/>
    </row>
    <row r="137" spans="1:60">
      <c r="A137" s="704" t="s">
        <v>1726</v>
      </c>
      <c r="B137" s="833" t="s">
        <v>1732</v>
      </c>
      <c r="C137" s="833"/>
      <c r="D137" s="833"/>
    </row>
    <row r="138" spans="1:60">
      <c r="A138" s="704" t="s">
        <v>1727</v>
      </c>
      <c r="B138" s="833" t="s">
        <v>1733</v>
      </c>
      <c r="C138" s="833"/>
      <c r="D138" s="833"/>
    </row>
    <row r="139" spans="1:60">
      <c r="A139" s="704" t="s">
        <v>1734</v>
      </c>
      <c r="B139" s="833" t="s">
        <v>1735</v>
      </c>
      <c r="C139" s="833"/>
      <c r="D139" s="833"/>
    </row>
    <row r="140" spans="1:60">
      <c r="A140" s="704" t="s">
        <v>1736</v>
      </c>
      <c r="B140" s="833"/>
      <c r="C140" s="833"/>
      <c r="D140" s="833"/>
    </row>
    <row r="141" spans="1:60">
      <c r="A141" s="704" t="s">
        <v>1738</v>
      </c>
      <c r="B141" s="833" t="s">
        <v>1739</v>
      </c>
      <c r="C141" s="833"/>
      <c r="D141" s="833"/>
    </row>
    <row r="142" spans="1:60">
      <c r="A142" s="704" t="s">
        <v>1740</v>
      </c>
      <c r="B142" s="705" t="s">
        <v>1741</v>
      </c>
      <c r="C142" s="705"/>
      <c r="D142" s="705"/>
    </row>
  </sheetData>
  <mergeCells count="18">
    <mergeCell ref="AX4:BB4"/>
    <mergeCell ref="AX7:BD7"/>
    <mergeCell ref="R7:X7"/>
    <mergeCell ref="AJ7:AP7"/>
    <mergeCell ref="J4:N4"/>
    <mergeCell ref="R4:V4"/>
    <mergeCell ref="AJ4:AN4"/>
    <mergeCell ref="AB6:AF6"/>
    <mergeCell ref="AR6:AV6"/>
    <mergeCell ref="B138:D138"/>
    <mergeCell ref="B139:D139"/>
    <mergeCell ref="B140:D140"/>
    <mergeCell ref="B141:D141"/>
    <mergeCell ref="B133:L133"/>
    <mergeCell ref="B134:D134"/>
    <mergeCell ref="B135:D135"/>
    <mergeCell ref="B136:D136"/>
    <mergeCell ref="B137:D137"/>
  </mergeCells>
  <printOptions horizontalCentered="1"/>
  <pageMargins left="1" right="1" top="1" bottom="1" header="0.5" footer="0.5"/>
  <pageSetup scale="16" fitToHeight="0" orientation="landscape" r:id="rId1"/>
  <headerFooter>
    <oddHeader xml:space="preserve">&amp;C&amp;"-,Bold"Pacific Gas and Electric Company
Formula Rate Model
Schedule &amp;A&amp;R&amp;8Docket No. ER19-13-000, et al- Annual Update RY2024
&amp;F
</oddHeader>
  </headerFooter>
  <colBreaks count="3" manualBreakCount="3">
    <brk id="17" max="1048575" man="1"/>
    <brk id="34" max="1048575" man="1"/>
    <brk id="49" max="1048575" man="1"/>
  </colBreaks>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0892E-67A1-4EEA-95B4-269B8AE72B1F}">
  <sheetPr>
    <pageSetUpPr fitToPage="1"/>
  </sheetPr>
  <dimension ref="A1:BJ139"/>
  <sheetViews>
    <sheetView tabSelected="1" view="pageBreakPreview" topLeftCell="W75" zoomScale="40" zoomScaleNormal="55" zoomScaleSheetLayoutView="40" zoomScalePageLayoutView="55" workbookViewId="0">
      <selection activeCell="C59" activeCellId="1" sqref="L63 C59"/>
    </sheetView>
  </sheetViews>
  <sheetFormatPr defaultColWidth="9.1796875" defaultRowHeight="14.5"/>
  <cols>
    <col min="1" max="1" width="6.7265625" style="705" bestFit="1" customWidth="1"/>
    <col min="2" max="2" width="50.453125" style="705" customWidth="1"/>
    <col min="3" max="3" width="31" style="705" customWidth="1"/>
    <col min="4" max="4" width="26.26953125" style="705" customWidth="1"/>
    <col min="5" max="5" width="0.81640625" style="705" customWidth="1"/>
    <col min="6" max="6" width="17.453125" style="715" bestFit="1" customWidth="1"/>
    <col min="7" max="7" width="1.1796875" style="705" customWidth="1"/>
    <col min="8" max="8" width="15.1796875" style="705" bestFit="1" customWidth="1"/>
    <col min="9" max="9" width="1.7265625" style="705" customWidth="1"/>
    <col min="10" max="10" width="15.1796875" style="705" bestFit="1" customWidth="1"/>
    <col min="11" max="11" width="1.7265625" style="705" customWidth="1"/>
    <col min="12" max="12" width="15.81640625" style="705" bestFit="1" customWidth="1"/>
    <col min="13" max="13" width="1.7265625" style="705" customWidth="1"/>
    <col min="14" max="14" width="17.453125" style="705" bestFit="1" customWidth="1"/>
    <col min="15" max="15" width="1.453125" style="705" customWidth="1"/>
    <col min="16" max="16" width="9.1796875" style="17"/>
    <col min="17" max="17" width="1.7265625" style="705" customWidth="1"/>
    <col min="18" max="18" width="22.1796875" style="705" customWidth="1"/>
    <col min="19" max="19" width="1.7265625" style="705" customWidth="1"/>
    <col min="20" max="20" width="20.26953125" style="705" customWidth="1"/>
    <col min="21" max="21" width="1.7265625" style="705" customWidth="1"/>
    <col min="22" max="22" width="17.7265625" style="705" customWidth="1"/>
    <col min="23" max="23" width="1.7265625" style="705" customWidth="1"/>
    <col min="24" max="24" width="19" style="705" customWidth="1"/>
    <col min="25" max="25" width="1.7265625" style="705" customWidth="1"/>
    <col min="26" max="26" width="19.81640625" style="705" customWidth="1"/>
    <col min="27" max="27" width="1.7265625" style="705" customWidth="1"/>
    <col min="28" max="28" width="24.54296875" style="705" bestFit="1" customWidth="1"/>
    <col min="29" max="29" width="1.7265625" style="705" customWidth="1"/>
    <col min="30" max="30" width="18.1796875" style="705" customWidth="1"/>
    <col min="31" max="31" width="1.7265625" style="705" customWidth="1"/>
    <col min="32" max="32" width="19.1796875" style="705" customWidth="1"/>
    <col min="33" max="33" width="1.7265625" style="705" customWidth="1"/>
    <col min="34" max="34" width="18.81640625" style="705" customWidth="1"/>
    <col min="35" max="35" width="1.7265625" style="705" customWidth="1"/>
    <col min="36" max="36" width="21.81640625" style="705" bestFit="1" customWidth="1"/>
    <col min="37" max="37" width="1.7265625" style="705" customWidth="1"/>
    <col min="38" max="38" width="26.26953125" style="705" customWidth="1"/>
    <col min="39" max="39" width="1.7265625" style="705" customWidth="1"/>
    <col min="40" max="40" width="26.54296875" style="705" customWidth="1"/>
    <col min="41" max="41" width="1.7265625" style="705" customWidth="1"/>
    <col min="42" max="42" width="25.54296875" style="705" customWidth="1"/>
    <col min="43" max="43" width="1.7265625" style="705" customWidth="1"/>
    <col min="44" max="44" width="21.81640625" style="705" customWidth="1"/>
    <col min="45" max="45" width="1.7265625" style="705" customWidth="1"/>
    <col min="46" max="46" width="18.81640625" style="705" customWidth="1"/>
    <col min="47" max="47" width="1.7265625" style="705" customWidth="1"/>
    <col min="48" max="48" width="19.1796875" style="705" customWidth="1"/>
    <col min="49" max="49" width="1.7265625" style="705" customWidth="1"/>
    <col min="50" max="50" width="20.54296875" style="705" customWidth="1"/>
    <col min="51" max="51" width="1.7265625" style="705" customWidth="1"/>
    <col min="52" max="52" width="22.453125" style="705" customWidth="1"/>
    <col min="53" max="53" width="1.7265625" style="705" customWidth="1"/>
    <col min="54" max="54" width="23.1796875" style="705" customWidth="1"/>
    <col min="55" max="55" width="1.7265625" style="705" customWidth="1"/>
    <col min="56" max="56" width="22.54296875" style="705" customWidth="1"/>
    <col min="57" max="57" width="1.7265625" style="705" customWidth="1"/>
    <col min="58" max="58" width="25.453125" style="705" customWidth="1"/>
    <col min="59" max="59" width="2.1796875" style="705" customWidth="1"/>
    <col min="60" max="60" width="17.7265625" style="705" customWidth="1"/>
    <col min="61" max="61" width="22.7265625" style="705" bestFit="1" customWidth="1"/>
    <col min="62" max="62" width="4.7265625" style="705" bestFit="1" customWidth="1"/>
    <col min="63" max="16384" width="9.1796875" style="705"/>
  </cols>
  <sheetData>
    <row r="1" spans="1:62">
      <c r="B1" s="90" t="s">
        <v>1765</v>
      </c>
      <c r="C1" s="90"/>
      <c r="D1" s="90"/>
      <c r="E1" s="90"/>
      <c r="F1" s="76"/>
      <c r="G1" s="90"/>
      <c r="H1" s="90"/>
      <c r="I1" s="90"/>
      <c r="J1" s="90"/>
      <c r="K1" s="90"/>
      <c r="L1" s="90"/>
      <c r="M1" s="90"/>
      <c r="N1" s="90"/>
      <c r="O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130" t="str">
        <f>CONCATENATE("Prior Year: ",'1-BaseTRR'!$F$2)</f>
        <v>Prior Year: 2022</v>
      </c>
    </row>
    <row r="2" spans="1:62">
      <c r="A2" s="90"/>
      <c r="B2" s="618" t="s">
        <v>193</v>
      </c>
      <c r="C2" s="618"/>
      <c r="D2" s="90"/>
      <c r="E2" s="90"/>
      <c r="F2" s="76"/>
      <c r="G2" s="90"/>
      <c r="H2" s="90"/>
      <c r="I2" s="90"/>
      <c r="J2" s="90"/>
      <c r="K2" s="90"/>
      <c r="L2" s="90"/>
      <c r="M2" s="90"/>
      <c r="N2" s="90"/>
      <c r="O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row>
    <row r="3" spans="1:62">
      <c r="A3" s="76"/>
      <c r="B3" s="76"/>
      <c r="C3" s="76"/>
      <c r="D3" s="76"/>
      <c r="E3" s="76"/>
      <c r="F3" s="76"/>
      <c r="G3" s="76"/>
      <c r="H3" s="76"/>
      <c r="I3" s="76"/>
      <c r="J3" s="76"/>
      <c r="K3" s="76"/>
      <c r="L3" s="76"/>
      <c r="M3" s="76"/>
      <c r="N3" s="76"/>
      <c r="O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row>
    <row r="4" spans="1:62">
      <c r="J4" s="838" t="s">
        <v>1519</v>
      </c>
      <c r="K4" s="838"/>
      <c r="L4" s="838"/>
      <c r="M4" s="838"/>
      <c r="N4" s="838"/>
      <c r="O4" s="715"/>
      <c r="Q4" s="715"/>
      <c r="R4" s="711" t="s">
        <v>1520</v>
      </c>
      <c r="T4" s="838" t="s">
        <v>1521</v>
      </c>
      <c r="U4" s="838"/>
      <c r="V4" s="838"/>
      <c r="W4" s="838"/>
      <c r="X4" s="838"/>
      <c r="AB4" s="716" t="s">
        <v>1522</v>
      </c>
      <c r="AJ4" s="711" t="s">
        <v>1523</v>
      </c>
      <c r="AK4" s="715"/>
      <c r="AL4" s="838" t="s">
        <v>1521</v>
      </c>
      <c r="AM4" s="838"/>
      <c r="AN4" s="838"/>
      <c r="AO4" s="838"/>
      <c r="AP4" s="838"/>
      <c r="AQ4" s="715"/>
      <c r="AR4" s="715"/>
      <c r="AZ4" s="838" t="s">
        <v>1521</v>
      </c>
      <c r="BA4" s="838"/>
      <c r="BB4" s="838"/>
      <c r="BC4" s="838"/>
      <c r="BD4" s="838"/>
      <c r="BE4" s="715"/>
      <c r="BF4" s="715"/>
      <c r="BG4" s="715"/>
      <c r="BH4" s="715"/>
    </row>
    <row r="5" spans="1:62">
      <c r="A5" s="702"/>
      <c r="B5" s="702"/>
      <c r="C5" s="702"/>
      <c r="D5" s="702"/>
      <c r="E5" s="702"/>
      <c r="F5" s="706"/>
      <c r="G5" s="702"/>
      <c r="H5" s="589" t="s">
        <v>1742</v>
      </c>
      <c r="I5" s="702"/>
      <c r="J5" s="589" t="s">
        <v>98</v>
      </c>
      <c r="K5" s="589"/>
      <c r="L5" s="589" t="s">
        <v>99</v>
      </c>
      <c r="M5" s="589"/>
      <c r="N5" s="589" t="s">
        <v>100</v>
      </c>
      <c r="O5" s="589"/>
      <c r="Q5" s="589"/>
      <c r="R5" s="589" t="s">
        <v>101</v>
      </c>
      <c r="S5" s="589"/>
      <c r="T5" s="589" t="s">
        <v>102</v>
      </c>
      <c r="U5" s="589"/>
      <c r="V5" s="589" t="s">
        <v>103</v>
      </c>
      <c r="W5" s="589"/>
      <c r="X5" s="589" t="s">
        <v>104</v>
      </c>
      <c r="Y5" s="589"/>
      <c r="Z5" s="589" t="s">
        <v>105</v>
      </c>
      <c r="AA5" s="589"/>
      <c r="AB5" s="589" t="s">
        <v>106</v>
      </c>
      <c r="AC5" s="590"/>
      <c r="AD5" s="590" t="s">
        <v>266</v>
      </c>
      <c r="AE5" s="590"/>
      <c r="AF5" s="590" t="s">
        <v>267</v>
      </c>
      <c r="AG5" s="590"/>
      <c r="AH5" s="590" t="s">
        <v>268</v>
      </c>
      <c r="AI5" s="590"/>
      <c r="AJ5" s="717" t="s">
        <v>269</v>
      </c>
      <c r="AK5" s="590"/>
      <c r="AL5" s="590" t="s">
        <v>270</v>
      </c>
      <c r="AM5" s="590"/>
      <c r="AN5" s="590" t="s">
        <v>745</v>
      </c>
      <c r="AO5" s="590"/>
      <c r="AP5" s="590" t="s">
        <v>1524</v>
      </c>
      <c r="AQ5" s="590"/>
      <c r="AR5" s="590" t="s">
        <v>1525</v>
      </c>
      <c r="AS5" s="590"/>
      <c r="AT5" s="590" t="s">
        <v>1585</v>
      </c>
      <c r="AU5" s="590"/>
      <c r="AV5" s="590" t="s">
        <v>1586</v>
      </c>
      <c r="AW5" s="590"/>
      <c r="AX5" s="590" t="s">
        <v>1587</v>
      </c>
      <c r="AY5" s="590"/>
      <c r="AZ5" s="589" t="s">
        <v>1589</v>
      </c>
      <c r="BA5" s="589"/>
      <c r="BB5" s="589" t="s">
        <v>1590</v>
      </c>
      <c r="BC5" s="589"/>
      <c r="BD5" s="589" t="s">
        <v>1591</v>
      </c>
      <c r="BE5" s="589"/>
      <c r="BF5" s="589" t="s">
        <v>1592</v>
      </c>
      <c r="BG5" s="590"/>
      <c r="BH5" s="589">
        <v>25</v>
      </c>
      <c r="BI5" s="702"/>
      <c r="BJ5" s="702"/>
    </row>
    <row r="6" spans="1:62" ht="28.5" customHeight="1">
      <c r="A6" s="702"/>
      <c r="B6" s="702"/>
      <c r="C6" s="702"/>
      <c r="D6" s="702"/>
      <c r="E6" s="702"/>
      <c r="F6" s="706"/>
      <c r="G6" s="702"/>
      <c r="H6" s="590"/>
      <c r="I6" s="702"/>
      <c r="J6" s="590"/>
      <c r="K6" s="590"/>
      <c r="L6" s="590"/>
      <c r="M6" s="590"/>
      <c r="N6" s="590" t="s">
        <v>867</v>
      </c>
      <c r="O6" s="590"/>
      <c r="P6" s="705"/>
      <c r="Q6" s="590"/>
      <c r="R6" s="590"/>
      <c r="S6" s="590"/>
      <c r="T6" s="589"/>
      <c r="U6" s="589"/>
      <c r="V6" s="589"/>
      <c r="W6" s="589"/>
      <c r="X6" s="589"/>
      <c r="Y6" s="589"/>
      <c r="Z6" s="589" t="s">
        <v>1576</v>
      </c>
      <c r="AA6" s="590"/>
      <c r="AB6" s="590"/>
      <c r="AC6" s="590"/>
      <c r="AD6" s="839" t="s">
        <v>1766</v>
      </c>
      <c r="AE6" s="839"/>
      <c r="AF6" s="839"/>
      <c r="AG6" s="839"/>
      <c r="AH6" s="839"/>
      <c r="AI6" s="590"/>
      <c r="AJ6" s="590"/>
      <c r="AK6" s="590"/>
      <c r="AL6" s="590" t="s">
        <v>1575</v>
      </c>
      <c r="AM6" s="590"/>
      <c r="AN6" s="590" t="s">
        <v>1577</v>
      </c>
      <c r="AO6" s="590"/>
      <c r="AP6" s="590" t="s">
        <v>1578</v>
      </c>
      <c r="AQ6" s="590"/>
      <c r="AR6" s="590" t="s">
        <v>1579</v>
      </c>
      <c r="AS6" s="590"/>
      <c r="AT6" s="839" t="s">
        <v>1767</v>
      </c>
      <c r="AU6" s="839"/>
      <c r="AV6" s="839"/>
      <c r="AW6" s="839"/>
      <c r="AX6" s="839"/>
      <c r="AY6" s="590"/>
      <c r="AZ6" s="590" t="s">
        <v>1594</v>
      </c>
      <c r="BA6" s="590"/>
      <c r="BB6" s="590" t="s">
        <v>1595</v>
      </c>
      <c r="BC6" s="590"/>
      <c r="BD6" s="590" t="s">
        <v>1596</v>
      </c>
      <c r="BE6" s="590"/>
      <c r="BF6" s="590" t="s">
        <v>1597</v>
      </c>
      <c r="BG6" s="590"/>
      <c r="BH6" s="709" t="s">
        <v>1762</v>
      </c>
      <c r="BI6" s="702"/>
      <c r="BJ6" s="702"/>
    </row>
    <row r="7" spans="1:62" ht="29">
      <c r="B7" s="591"/>
      <c r="C7" s="591"/>
      <c r="D7" s="591"/>
      <c r="E7" s="591"/>
      <c r="F7" s="593" t="s">
        <v>1743</v>
      </c>
      <c r="G7" s="591"/>
      <c r="H7" s="592" t="s">
        <v>1744</v>
      </c>
      <c r="I7" s="591"/>
      <c r="J7" s="592" t="s">
        <v>1526</v>
      </c>
      <c r="K7" s="591"/>
      <c r="L7" s="592" t="s">
        <v>1527</v>
      </c>
      <c r="M7" s="591"/>
      <c r="N7" s="709" t="s">
        <v>1846</v>
      </c>
      <c r="O7" s="593"/>
      <c r="Q7" s="593"/>
      <c r="R7" s="593" t="s">
        <v>323</v>
      </c>
      <c r="S7" s="591"/>
      <c r="T7" s="836" t="s">
        <v>1768</v>
      </c>
      <c r="U7" s="836"/>
      <c r="V7" s="836"/>
      <c r="W7" s="836"/>
      <c r="X7" s="836"/>
      <c r="Y7" s="836"/>
      <c r="Z7" s="836"/>
      <c r="AA7" s="592"/>
      <c r="AB7" s="592"/>
      <c r="AC7" s="592"/>
      <c r="AD7" s="592" t="s">
        <v>205</v>
      </c>
      <c r="AE7" s="592"/>
      <c r="AF7" s="592" t="s">
        <v>205</v>
      </c>
      <c r="AG7" s="592"/>
      <c r="AH7" s="592" t="s">
        <v>205</v>
      </c>
      <c r="AI7" s="592"/>
      <c r="AJ7" s="592" t="s">
        <v>323</v>
      </c>
      <c r="AK7" s="592"/>
      <c r="AL7" s="836" t="s">
        <v>1769</v>
      </c>
      <c r="AM7" s="836"/>
      <c r="AN7" s="836"/>
      <c r="AO7" s="836"/>
      <c r="AP7" s="836"/>
      <c r="AQ7" s="836"/>
      <c r="AR7" s="836"/>
      <c r="AS7" s="592"/>
      <c r="AT7" s="592" t="s">
        <v>205</v>
      </c>
      <c r="AU7" s="592"/>
      <c r="AV7" s="592" t="s">
        <v>205</v>
      </c>
      <c r="AW7" s="592"/>
      <c r="AX7" s="592" t="s">
        <v>205</v>
      </c>
      <c r="AY7" s="592"/>
      <c r="AZ7" s="836" t="s">
        <v>1770</v>
      </c>
      <c r="BA7" s="836"/>
      <c r="BB7" s="836"/>
      <c r="BC7" s="836"/>
      <c r="BD7" s="836"/>
      <c r="BE7" s="836"/>
      <c r="BF7" s="836"/>
      <c r="BG7" s="592"/>
      <c r="BH7" s="709" t="s">
        <v>1748</v>
      </c>
      <c r="BI7" s="591"/>
    </row>
    <row r="8" spans="1:62" ht="26.5">
      <c r="B8" s="591"/>
      <c r="C8" s="591"/>
      <c r="D8" s="591"/>
      <c r="E8" s="591"/>
      <c r="F8" s="593" t="s">
        <v>1745</v>
      </c>
      <c r="G8" s="591"/>
      <c r="H8" s="592" t="s">
        <v>1746</v>
      </c>
      <c r="I8" s="591"/>
      <c r="J8" s="592" t="s">
        <v>1771</v>
      </c>
      <c r="K8" s="591"/>
      <c r="L8" s="592" t="s">
        <v>1531</v>
      </c>
      <c r="M8" s="591"/>
      <c r="N8" s="724" t="s">
        <v>1847</v>
      </c>
      <c r="O8" s="593"/>
      <c r="Q8" s="593"/>
      <c r="R8" s="593" t="s">
        <v>1528</v>
      </c>
      <c r="S8" s="591"/>
      <c r="T8" s="592" t="s">
        <v>1532</v>
      </c>
      <c r="U8" s="592"/>
      <c r="V8" s="592" t="s">
        <v>1532</v>
      </c>
      <c r="W8" s="592"/>
      <c r="X8" s="592" t="s">
        <v>1532</v>
      </c>
      <c r="Y8" s="592"/>
      <c r="Z8" s="592"/>
      <c r="AA8" s="592"/>
      <c r="AB8" s="592" t="s">
        <v>205</v>
      </c>
      <c r="AC8" s="592"/>
      <c r="AD8" s="592" t="s">
        <v>864</v>
      </c>
      <c r="AE8" s="592"/>
      <c r="AF8" s="592" t="s">
        <v>864</v>
      </c>
      <c r="AG8" s="592"/>
      <c r="AH8" s="592" t="s">
        <v>864</v>
      </c>
      <c r="AI8" s="592"/>
      <c r="AJ8" s="592" t="s">
        <v>1533</v>
      </c>
      <c r="AK8" s="592"/>
      <c r="AL8" s="592" t="s">
        <v>1534</v>
      </c>
      <c r="AM8" s="592"/>
      <c r="AN8" s="592" t="s">
        <v>1534</v>
      </c>
      <c r="AO8" s="592"/>
      <c r="AP8" s="592" t="s">
        <v>1534</v>
      </c>
      <c r="AQ8" s="592"/>
      <c r="AR8" s="592"/>
      <c r="AS8" s="592"/>
      <c r="AT8" s="592" t="s">
        <v>864</v>
      </c>
      <c r="AU8" s="592"/>
      <c r="AV8" s="592" t="s">
        <v>864</v>
      </c>
      <c r="AW8" s="592"/>
      <c r="AX8" s="592" t="s">
        <v>864</v>
      </c>
      <c r="AY8" s="592"/>
      <c r="AZ8" s="592" t="s">
        <v>1534</v>
      </c>
      <c r="BA8" s="592"/>
      <c r="BB8" s="592" t="s">
        <v>1534</v>
      </c>
      <c r="BC8" s="592"/>
      <c r="BD8" s="592" t="s">
        <v>1534</v>
      </c>
      <c r="BE8" s="592"/>
      <c r="BF8" s="592"/>
      <c r="BG8" s="592"/>
      <c r="BH8" s="719" t="s">
        <v>1763</v>
      </c>
      <c r="BI8" s="591"/>
    </row>
    <row r="9" spans="1:62">
      <c r="A9" s="590"/>
      <c r="B9" s="702"/>
      <c r="C9" s="702"/>
      <c r="D9" s="702"/>
      <c r="E9" s="702"/>
      <c r="F9" s="593" t="s">
        <v>1537</v>
      </c>
      <c r="G9" s="702"/>
      <c r="H9" s="592" t="s">
        <v>1747</v>
      </c>
      <c r="I9" s="702"/>
      <c r="J9" s="725" t="s">
        <v>1536</v>
      </c>
      <c r="K9" s="702"/>
      <c r="L9" s="725" t="s">
        <v>1848</v>
      </c>
      <c r="M9" s="702"/>
      <c r="N9" s="706" t="s">
        <v>141</v>
      </c>
      <c r="O9" s="706"/>
      <c r="Q9" s="706"/>
      <c r="R9" s="706" t="s">
        <v>1537</v>
      </c>
      <c r="S9" s="702"/>
      <c r="T9" s="592" t="s">
        <v>1538</v>
      </c>
      <c r="U9" s="592"/>
      <c r="V9" s="590" t="s">
        <v>1539</v>
      </c>
      <c r="W9" s="590"/>
      <c r="X9" s="596" t="s">
        <v>1539</v>
      </c>
      <c r="Y9" s="596"/>
      <c r="Z9" s="596" t="s">
        <v>1532</v>
      </c>
      <c r="AA9" s="596"/>
      <c r="AB9" s="596" t="s">
        <v>1540</v>
      </c>
      <c r="AC9" s="596"/>
      <c r="AD9" s="592" t="s">
        <v>1538</v>
      </c>
      <c r="AE9" s="592"/>
      <c r="AF9" s="590" t="s">
        <v>1539</v>
      </c>
      <c r="AG9" s="590"/>
      <c r="AH9" s="596" t="s">
        <v>1539</v>
      </c>
      <c r="AI9" s="596"/>
      <c r="AJ9" s="596" t="s">
        <v>1541</v>
      </c>
      <c r="AK9" s="596"/>
      <c r="AL9" s="592" t="s">
        <v>1538</v>
      </c>
      <c r="AM9" s="592"/>
      <c r="AN9" s="590" t="s">
        <v>1539</v>
      </c>
      <c r="AO9" s="590"/>
      <c r="AP9" s="596" t="s">
        <v>1539</v>
      </c>
      <c r="AQ9" s="596"/>
      <c r="AR9" s="596" t="s">
        <v>1534</v>
      </c>
      <c r="AS9" s="596"/>
      <c r="AT9" s="592" t="s">
        <v>1538</v>
      </c>
      <c r="AU9" s="592"/>
      <c r="AV9" s="590" t="s">
        <v>1539</v>
      </c>
      <c r="AW9" s="590"/>
      <c r="AX9" s="596" t="s">
        <v>1539</v>
      </c>
      <c r="AY9" s="596"/>
      <c r="AZ9" s="592" t="s">
        <v>1538</v>
      </c>
      <c r="BA9" s="592"/>
      <c r="BB9" s="590" t="s">
        <v>1539</v>
      </c>
      <c r="BC9" s="590"/>
      <c r="BD9" s="596" t="s">
        <v>1539</v>
      </c>
      <c r="BE9" s="596"/>
      <c r="BF9" s="596" t="s">
        <v>1534</v>
      </c>
      <c r="BG9" s="596"/>
      <c r="BH9" s="720">
        <f>1/(1-(0.21+0.0884-(0.21*0.0884)))</f>
        <v>1.3885726029071155</v>
      </c>
      <c r="BI9" s="590"/>
      <c r="BJ9" s="590"/>
    </row>
    <row r="10" spans="1:62" ht="15" thickBot="1">
      <c r="A10" s="323" t="s">
        <v>122</v>
      </c>
      <c r="B10" s="707" t="s">
        <v>619</v>
      </c>
      <c r="C10" s="707"/>
      <c r="D10" s="707"/>
      <c r="E10" s="707"/>
      <c r="F10" s="602" t="s">
        <v>604</v>
      </c>
      <c r="G10" s="707"/>
      <c r="H10" s="708">
        <v>43100</v>
      </c>
      <c r="I10" s="707"/>
      <c r="J10" s="708">
        <v>43100</v>
      </c>
      <c r="K10" s="707"/>
      <c r="L10" s="708">
        <v>43100</v>
      </c>
      <c r="M10" s="707"/>
      <c r="N10" s="708">
        <v>43100</v>
      </c>
      <c r="O10" s="708"/>
      <c r="Q10" s="708"/>
      <c r="R10" s="708" t="s">
        <v>1542</v>
      </c>
      <c r="S10" s="707"/>
      <c r="T10" s="599" t="s">
        <v>1543</v>
      </c>
      <c r="U10" s="599"/>
      <c r="V10" s="600" t="s">
        <v>1543</v>
      </c>
      <c r="W10" s="600"/>
      <c r="X10" s="601" t="s">
        <v>1544</v>
      </c>
      <c r="Y10" s="601"/>
      <c r="Z10" s="601" t="s">
        <v>1545</v>
      </c>
      <c r="AA10" s="601"/>
      <c r="AB10" s="601" t="s">
        <v>1756</v>
      </c>
      <c r="AC10" s="601"/>
      <c r="AD10" s="599" t="s">
        <v>1543</v>
      </c>
      <c r="AE10" s="599"/>
      <c r="AF10" s="600" t="s">
        <v>1543</v>
      </c>
      <c r="AG10" s="600"/>
      <c r="AH10" s="601" t="s">
        <v>1544</v>
      </c>
      <c r="AI10" s="601"/>
      <c r="AJ10" s="601" t="s">
        <v>1546</v>
      </c>
      <c r="AK10" s="601"/>
      <c r="AL10" s="599" t="s">
        <v>1543</v>
      </c>
      <c r="AM10" s="599"/>
      <c r="AN10" s="600" t="s">
        <v>1543</v>
      </c>
      <c r="AO10" s="600"/>
      <c r="AP10" s="601" t="s">
        <v>1544</v>
      </c>
      <c r="AQ10" s="601"/>
      <c r="AR10" s="601" t="s">
        <v>1545</v>
      </c>
      <c r="AS10" s="601"/>
      <c r="AT10" s="599" t="s">
        <v>1543</v>
      </c>
      <c r="AU10" s="599"/>
      <c r="AV10" s="600" t="s">
        <v>1543</v>
      </c>
      <c r="AW10" s="600"/>
      <c r="AX10" s="601" t="s">
        <v>1544</v>
      </c>
      <c r="AY10" s="601"/>
      <c r="AZ10" s="599" t="s">
        <v>1543</v>
      </c>
      <c r="BA10" s="599"/>
      <c r="BB10" s="600" t="s">
        <v>1543</v>
      </c>
      <c r="BC10" s="600"/>
      <c r="BD10" s="601" t="s">
        <v>1544</v>
      </c>
      <c r="BE10" s="601"/>
      <c r="BF10" s="601" t="s">
        <v>1545</v>
      </c>
      <c r="BG10" s="601"/>
      <c r="BH10" s="708"/>
      <c r="BI10" s="602" t="s">
        <v>294</v>
      </c>
      <c r="BJ10" s="726" t="s">
        <v>122</v>
      </c>
    </row>
    <row r="11" spans="1:62">
      <c r="A11" s="590"/>
      <c r="B11" s="702"/>
      <c r="C11" s="702"/>
      <c r="D11" s="702"/>
      <c r="E11" s="702"/>
      <c r="F11" s="706"/>
      <c r="G11" s="702"/>
      <c r="H11" s="702"/>
      <c r="I11" s="702"/>
      <c r="J11" s="702"/>
      <c r="K11" s="702"/>
      <c r="L11" s="702"/>
      <c r="M11" s="702"/>
      <c r="N11" s="702"/>
      <c r="O11" s="702"/>
      <c r="Q11" s="702"/>
      <c r="R11" s="702"/>
      <c r="S11" s="702"/>
      <c r="T11" s="592"/>
      <c r="U11" s="592"/>
      <c r="V11" s="603"/>
      <c r="W11" s="603"/>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4"/>
      <c r="AY11" s="604"/>
      <c r="AZ11" s="604"/>
      <c r="BA11" s="604"/>
      <c r="BB11" s="604"/>
      <c r="BC11" s="604"/>
      <c r="BD11" s="604"/>
      <c r="BE11" s="604"/>
      <c r="BF11" s="604"/>
      <c r="BG11" s="604"/>
      <c r="BI11" s="590"/>
      <c r="BJ11" s="590"/>
    </row>
    <row r="12" spans="1:62">
      <c r="A12" s="590">
        <v>100</v>
      </c>
      <c r="B12" s="702" t="s">
        <v>1547</v>
      </c>
      <c r="C12" s="702"/>
      <c r="D12" s="702" t="s">
        <v>1723</v>
      </c>
      <c r="E12" s="702"/>
      <c r="F12" s="706" t="s">
        <v>1753</v>
      </c>
      <c r="G12" s="702"/>
      <c r="H12" s="605">
        <f>+H26</f>
        <v>0</v>
      </c>
      <c r="I12" s="702"/>
      <c r="J12" s="605">
        <f>+J26</f>
        <v>0</v>
      </c>
      <c r="K12" s="702"/>
      <c r="L12" s="605">
        <f>+L26</f>
        <v>0</v>
      </c>
      <c r="M12" s="702"/>
      <c r="N12" s="605">
        <f>+N26</f>
        <v>0</v>
      </c>
      <c r="O12" s="605"/>
      <c r="Q12" s="702"/>
      <c r="R12" s="706" t="s">
        <v>1749</v>
      </c>
      <c r="S12" s="702"/>
      <c r="T12" s="605">
        <f>T26</f>
        <v>0</v>
      </c>
      <c r="U12" s="605"/>
      <c r="V12" s="605">
        <f>V26</f>
        <v>0</v>
      </c>
      <c r="W12" s="605"/>
      <c r="X12" s="605">
        <f>X26</f>
        <v>0</v>
      </c>
      <c r="Y12" s="605"/>
      <c r="Z12" s="605">
        <f>SUM(T12:X12)</f>
        <v>0</v>
      </c>
      <c r="AA12" s="605"/>
      <c r="AB12" s="607" t="s">
        <v>1548</v>
      </c>
      <c r="AC12" s="605"/>
      <c r="AD12" s="605">
        <f>AD26</f>
        <v>0</v>
      </c>
      <c r="AE12" s="605"/>
      <c r="AF12" s="605">
        <f>AF26</f>
        <v>0</v>
      </c>
      <c r="AG12" s="605"/>
      <c r="AH12" s="605">
        <f>AH26</f>
        <v>0</v>
      </c>
      <c r="AI12" s="605"/>
      <c r="AJ12" s="706" t="s">
        <v>1759</v>
      </c>
      <c r="AK12" s="605"/>
      <c r="AL12" s="605">
        <f>AL26</f>
        <v>0</v>
      </c>
      <c r="AM12" s="605"/>
      <c r="AN12" s="605">
        <f>AN26</f>
        <v>0</v>
      </c>
      <c r="AO12" s="605"/>
      <c r="AP12" s="605">
        <f>AP26</f>
        <v>0</v>
      </c>
      <c r="AQ12" s="605"/>
      <c r="AR12" s="605">
        <f>SUM(AL12:AP12)</f>
        <v>0</v>
      </c>
      <c r="AS12" s="605"/>
      <c r="AT12" s="605">
        <f>AT26</f>
        <v>0</v>
      </c>
      <c r="AU12" s="605"/>
      <c r="AV12" s="605">
        <f>AV26</f>
        <v>0</v>
      </c>
      <c r="AW12" s="605"/>
      <c r="AX12" s="605">
        <f>AX26</f>
        <v>0</v>
      </c>
      <c r="AY12" s="605"/>
      <c r="AZ12" s="605">
        <f>AZ26</f>
        <v>0</v>
      </c>
      <c r="BA12" s="605"/>
      <c r="BB12" s="605">
        <f>BB26</f>
        <v>0</v>
      </c>
      <c r="BC12" s="605"/>
      <c r="BD12" s="605">
        <f>BD26</f>
        <v>0</v>
      </c>
      <c r="BE12" s="605"/>
      <c r="BF12" s="605">
        <f>SUM(AZ12:BD12)</f>
        <v>0</v>
      </c>
      <c r="BG12" s="605"/>
      <c r="BH12" s="605">
        <f>+BH26</f>
        <v>0</v>
      </c>
      <c r="BI12" s="590"/>
      <c r="BJ12" s="590">
        <f t="shared" ref="BJ12:BJ17" si="0">A12</f>
        <v>100</v>
      </c>
    </row>
    <row r="13" spans="1:62">
      <c r="A13" s="590">
        <f>+A12+1</f>
        <v>101</v>
      </c>
      <c r="B13" s="702" t="s">
        <v>394</v>
      </c>
      <c r="C13" s="702"/>
      <c r="D13" s="702" t="s">
        <v>1724</v>
      </c>
      <c r="E13" s="702"/>
      <c r="F13" s="706" t="s">
        <v>1753</v>
      </c>
      <c r="G13" s="702"/>
      <c r="H13" s="605">
        <f>+H34</f>
        <v>0</v>
      </c>
      <c r="I13" s="702"/>
      <c r="J13" s="605">
        <f>+J34</f>
        <v>0</v>
      </c>
      <c r="K13" s="702"/>
      <c r="L13" s="605">
        <f>+L34</f>
        <v>0</v>
      </c>
      <c r="M13" s="702"/>
      <c r="N13" s="605">
        <f>+N34</f>
        <v>0</v>
      </c>
      <c r="O13" s="605"/>
      <c r="Q13" s="702"/>
      <c r="R13" s="706" t="s">
        <v>1749</v>
      </c>
      <c r="S13" s="702"/>
      <c r="T13" s="605">
        <f>T34</f>
        <v>0</v>
      </c>
      <c r="U13" s="605"/>
      <c r="V13" s="605">
        <f>V34</f>
        <v>0</v>
      </c>
      <c r="W13" s="605"/>
      <c r="X13" s="605">
        <f>X34</f>
        <v>0</v>
      </c>
      <c r="Y13" s="605"/>
      <c r="Z13" s="605">
        <f t="shared" ref="Z13:Z16" si="1">SUM(T13:X13)</f>
        <v>0</v>
      </c>
      <c r="AA13" s="605"/>
      <c r="AB13" s="607" t="s">
        <v>1548</v>
      </c>
      <c r="AC13" s="605"/>
      <c r="AD13" s="605">
        <f>AD34</f>
        <v>0</v>
      </c>
      <c r="AE13" s="605"/>
      <c r="AF13" s="605">
        <f>AF34</f>
        <v>0</v>
      </c>
      <c r="AG13" s="605"/>
      <c r="AH13" s="605">
        <f>AH34</f>
        <v>0</v>
      </c>
      <c r="AI13" s="605"/>
      <c r="AJ13" s="706" t="s">
        <v>1759</v>
      </c>
      <c r="AK13" s="605"/>
      <c r="AL13" s="605">
        <f>AL34</f>
        <v>0</v>
      </c>
      <c r="AM13" s="605"/>
      <c r="AN13" s="605">
        <f>AN34</f>
        <v>0</v>
      </c>
      <c r="AO13" s="605"/>
      <c r="AP13" s="605">
        <f>AP34</f>
        <v>0</v>
      </c>
      <c r="AQ13" s="605"/>
      <c r="AR13" s="605">
        <f t="shared" ref="AR13:AR16" si="2">SUM(AL13:AP13)</f>
        <v>0</v>
      </c>
      <c r="AS13" s="605"/>
      <c r="AT13" s="605">
        <f>AT34</f>
        <v>0</v>
      </c>
      <c r="AU13" s="605"/>
      <c r="AV13" s="605">
        <f>AV34</f>
        <v>0</v>
      </c>
      <c r="AW13" s="605"/>
      <c r="AX13" s="605">
        <f>AX34</f>
        <v>0</v>
      </c>
      <c r="AY13" s="605"/>
      <c r="AZ13" s="605">
        <f>AZ34</f>
        <v>0</v>
      </c>
      <c r="BA13" s="605"/>
      <c r="BB13" s="605">
        <f>BB34</f>
        <v>0</v>
      </c>
      <c r="BC13" s="605"/>
      <c r="BD13" s="605">
        <f>BD34</f>
        <v>0</v>
      </c>
      <c r="BE13" s="605"/>
      <c r="BF13" s="605">
        <f t="shared" ref="BF13:BF16" si="3">SUM(AZ13:BD13)</f>
        <v>0</v>
      </c>
      <c r="BG13" s="605"/>
      <c r="BH13" s="605">
        <f>+BH34</f>
        <v>0</v>
      </c>
      <c r="BI13" s="590"/>
      <c r="BJ13" s="590">
        <f t="shared" si="0"/>
        <v>101</v>
      </c>
    </row>
    <row r="14" spans="1:62">
      <c r="A14" s="590">
        <f t="shared" ref="A14:A15" si="4">+A13+1</f>
        <v>102</v>
      </c>
      <c r="B14" s="702" t="s">
        <v>1549</v>
      </c>
      <c r="C14" s="702"/>
      <c r="D14" s="702" t="s">
        <v>1725</v>
      </c>
      <c r="E14" s="702"/>
      <c r="F14" s="706" t="s">
        <v>1753</v>
      </c>
      <c r="G14" s="702"/>
      <c r="H14" s="605">
        <f>+H42</f>
        <v>0</v>
      </c>
      <c r="I14" s="702"/>
      <c r="J14" s="605">
        <f>+J42</f>
        <v>0</v>
      </c>
      <c r="K14" s="702"/>
      <c r="L14" s="605">
        <f>+L42</f>
        <v>0</v>
      </c>
      <c r="M14" s="702"/>
      <c r="N14" s="605">
        <f>+N42</f>
        <v>0</v>
      </c>
      <c r="O14" s="605"/>
      <c r="Q14" s="702"/>
      <c r="R14" s="706" t="s">
        <v>1749</v>
      </c>
      <c r="S14" s="702"/>
      <c r="T14" s="605">
        <f>T42</f>
        <v>0</v>
      </c>
      <c r="U14" s="605"/>
      <c r="V14" s="605">
        <f>V42</f>
        <v>0</v>
      </c>
      <c r="W14" s="605"/>
      <c r="X14" s="605">
        <f>X42</f>
        <v>0</v>
      </c>
      <c r="Y14" s="605"/>
      <c r="Z14" s="605">
        <f t="shared" si="1"/>
        <v>0</v>
      </c>
      <c r="AA14" s="605"/>
      <c r="AB14" s="607" t="s">
        <v>1757</v>
      </c>
      <c r="AC14" s="605"/>
      <c r="AD14" s="605">
        <f>AD42</f>
        <v>0</v>
      </c>
      <c r="AE14" s="605"/>
      <c r="AF14" s="605">
        <f>AF42</f>
        <v>0</v>
      </c>
      <c r="AG14" s="605"/>
      <c r="AH14" s="605">
        <f>AH42</f>
        <v>0</v>
      </c>
      <c r="AI14" s="605"/>
      <c r="AJ14" s="706" t="s">
        <v>1759</v>
      </c>
      <c r="AK14" s="605"/>
      <c r="AL14" s="605">
        <f>AL42</f>
        <v>0</v>
      </c>
      <c r="AM14" s="605"/>
      <c r="AN14" s="605">
        <f>AN42</f>
        <v>0</v>
      </c>
      <c r="AO14" s="605"/>
      <c r="AP14" s="605">
        <f>AP42</f>
        <v>0</v>
      </c>
      <c r="AQ14" s="605"/>
      <c r="AR14" s="605">
        <f t="shared" si="2"/>
        <v>0</v>
      </c>
      <c r="AS14" s="605"/>
      <c r="AT14" s="605">
        <f>AT42</f>
        <v>0</v>
      </c>
      <c r="AU14" s="605"/>
      <c r="AV14" s="605">
        <f>AV42</f>
        <v>0</v>
      </c>
      <c r="AW14" s="605"/>
      <c r="AX14" s="605">
        <f>AX42</f>
        <v>0</v>
      </c>
      <c r="AY14" s="605"/>
      <c r="AZ14" s="605">
        <f>AZ42</f>
        <v>0</v>
      </c>
      <c r="BA14" s="605"/>
      <c r="BB14" s="605">
        <f>BB42</f>
        <v>0</v>
      </c>
      <c r="BC14" s="605"/>
      <c r="BD14" s="605">
        <f>BD42</f>
        <v>0</v>
      </c>
      <c r="BE14" s="605"/>
      <c r="BF14" s="605">
        <f t="shared" si="3"/>
        <v>0</v>
      </c>
      <c r="BG14" s="605"/>
      <c r="BH14" s="605">
        <f>+BH42</f>
        <v>0</v>
      </c>
      <c r="BI14" s="590"/>
      <c r="BJ14" s="590">
        <f t="shared" si="0"/>
        <v>102</v>
      </c>
    </row>
    <row r="15" spans="1:62">
      <c r="A15" s="590">
        <f t="shared" si="4"/>
        <v>103</v>
      </c>
      <c r="B15" s="702" t="s">
        <v>1550</v>
      </c>
      <c r="C15" s="702"/>
      <c r="D15" s="702" t="s">
        <v>1726</v>
      </c>
      <c r="E15" s="702"/>
      <c r="F15" s="706" t="s">
        <v>1754</v>
      </c>
      <c r="G15" s="702"/>
      <c r="H15" s="605">
        <f>+H102</f>
        <v>0</v>
      </c>
      <c r="I15" s="702"/>
      <c r="J15" s="605">
        <f>+J102</f>
        <v>0</v>
      </c>
      <c r="K15" s="702"/>
      <c r="L15" s="605">
        <f>+L102</f>
        <v>0</v>
      </c>
      <c r="M15" s="702"/>
      <c r="N15" s="605">
        <f>+N102</f>
        <v>0</v>
      </c>
      <c r="O15" s="605"/>
      <c r="Q15" s="702"/>
      <c r="R15" s="706" t="s">
        <v>1750</v>
      </c>
      <c r="S15" s="702"/>
      <c r="T15" s="605">
        <f>T102</f>
        <v>0</v>
      </c>
      <c r="U15" s="605"/>
      <c r="V15" s="605">
        <f>V102</f>
        <v>0</v>
      </c>
      <c r="W15" s="605"/>
      <c r="X15" s="605">
        <f>X102</f>
        <v>0</v>
      </c>
      <c r="Y15" s="605"/>
      <c r="Z15" s="605">
        <f>SUM(T15:X15)</f>
        <v>0</v>
      </c>
      <c r="AA15" s="605"/>
      <c r="AB15" s="607" t="s">
        <v>1772</v>
      </c>
      <c r="AC15" s="605"/>
      <c r="AD15" s="605">
        <f>AD102</f>
        <v>0</v>
      </c>
      <c r="AE15" s="605"/>
      <c r="AF15" s="605">
        <f>AF102</f>
        <v>0</v>
      </c>
      <c r="AG15" s="605"/>
      <c r="AH15" s="605">
        <f>AH102</f>
        <v>0</v>
      </c>
      <c r="AI15" s="605"/>
      <c r="AJ15" s="706" t="s">
        <v>1760</v>
      </c>
      <c r="AK15" s="605"/>
      <c r="AL15" s="605">
        <f>AL102</f>
        <v>0</v>
      </c>
      <c r="AM15" s="605"/>
      <c r="AN15" s="605">
        <f>AN102</f>
        <v>0</v>
      </c>
      <c r="AO15" s="605"/>
      <c r="AP15" s="605">
        <f>AP102</f>
        <v>0</v>
      </c>
      <c r="AQ15" s="605"/>
      <c r="AR15" s="605">
        <f t="shared" si="2"/>
        <v>0</v>
      </c>
      <c r="AS15" s="605"/>
      <c r="AT15" s="605">
        <f>AT102</f>
        <v>0</v>
      </c>
      <c r="AU15" s="605"/>
      <c r="AV15" s="605">
        <f>AV102</f>
        <v>0</v>
      </c>
      <c r="AW15" s="605"/>
      <c r="AX15" s="605">
        <f>AX102</f>
        <v>0</v>
      </c>
      <c r="AY15" s="605"/>
      <c r="AZ15" s="605">
        <f>AZ102</f>
        <v>0</v>
      </c>
      <c r="BA15" s="605"/>
      <c r="BB15" s="605">
        <f>BB102</f>
        <v>0</v>
      </c>
      <c r="BC15" s="605"/>
      <c r="BD15" s="605">
        <f>BD102</f>
        <v>0</v>
      </c>
      <c r="BE15" s="605"/>
      <c r="BF15" s="605">
        <f t="shared" si="3"/>
        <v>0</v>
      </c>
      <c r="BG15" s="605"/>
      <c r="BH15" s="605">
        <f>+BH102</f>
        <v>0</v>
      </c>
      <c r="BI15" s="590"/>
      <c r="BJ15" s="590">
        <f t="shared" si="0"/>
        <v>103</v>
      </c>
    </row>
    <row r="16" spans="1:62">
      <c r="A16" s="590">
        <f>+A15+1</f>
        <v>104</v>
      </c>
      <c r="B16" s="702" t="s">
        <v>1551</v>
      </c>
      <c r="C16" s="702" t="s">
        <v>1552</v>
      </c>
      <c r="D16" s="702" t="s">
        <v>1727</v>
      </c>
      <c r="E16" s="702"/>
      <c r="F16" s="706" t="s">
        <v>1755</v>
      </c>
      <c r="G16" s="702"/>
      <c r="H16" s="608">
        <f>+H115</f>
        <v>0</v>
      </c>
      <c r="I16" s="702"/>
      <c r="J16" s="608">
        <f>+J115</f>
        <v>0</v>
      </c>
      <c r="K16" s="702"/>
      <c r="L16" s="608">
        <f>+L115</f>
        <v>0</v>
      </c>
      <c r="M16" s="702"/>
      <c r="N16" s="608">
        <f>+N115</f>
        <v>0</v>
      </c>
      <c r="O16" s="605"/>
      <c r="Q16" s="702"/>
      <c r="R16" s="706" t="s">
        <v>1750</v>
      </c>
      <c r="S16" s="702"/>
      <c r="T16" s="608">
        <f>T115</f>
        <v>0</v>
      </c>
      <c r="U16" s="608"/>
      <c r="V16" s="608">
        <f t="shared" ref="V16" si="5">V115</f>
        <v>0</v>
      </c>
      <c r="W16" s="608"/>
      <c r="X16" s="608">
        <f t="shared" ref="X16" si="6">X115</f>
        <v>0</v>
      </c>
      <c r="Y16" s="608"/>
      <c r="Z16" s="608">
        <f t="shared" si="1"/>
        <v>0</v>
      </c>
      <c r="AA16" s="605"/>
      <c r="AB16" s="607" t="s">
        <v>1548</v>
      </c>
      <c r="AC16" s="605"/>
      <c r="AD16" s="608">
        <f>AD115</f>
        <v>0</v>
      </c>
      <c r="AE16" s="608"/>
      <c r="AF16" s="608">
        <f t="shared" ref="AF16:AH16" si="7">AF115</f>
        <v>0</v>
      </c>
      <c r="AG16" s="608"/>
      <c r="AH16" s="608">
        <f t="shared" si="7"/>
        <v>0</v>
      </c>
      <c r="AI16" s="605"/>
      <c r="AJ16" s="706" t="s">
        <v>1760</v>
      </c>
      <c r="AK16" s="605"/>
      <c r="AL16" s="608">
        <f>AL115</f>
        <v>0</v>
      </c>
      <c r="AM16" s="608"/>
      <c r="AN16" s="608">
        <f t="shared" ref="AN16" si="8">AN115</f>
        <v>0</v>
      </c>
      <c r="AO16" s="608"/>
      <c r="AP16" s="608">
        <f t="shared" ref="AP16" si="9">AP115</f>
        <v>0</v>
      </c>
      <c r="AQ16" s="608"/>
      <c r="AR16" s="608">
        <f t="shared" si="2"/>
        <v>0</v>
      </c>
      <c r="AS16" s="605"/>
      <c r="AT16" s="608">
        <f>AT115</f>
        <v>0</v>
      </c>
      <c r="AU16" s="608"/>
      <c r="AV16" s="608">
        <f t="shared" ref="AV16:AX16" si="10">AV115</f>
        <v>0</v>
      </c>
      <c r="AW16" s="608"/>
      <c r="AX16" s="608">
        <f t="shared" si="10"/>
        <v>0</v>
      </c>
      <c r="AY16" s="605"/>
      <c r="AZ16" s="608">
        <f>AZ115</f>
        <v>0</v>
      </c>
      <c r="BA16" s="608"/>
      <c r="BB16" s="608">
        <f t="shared" ref="BB16" si="11">BB115</f>
        <v>0</v>
      </c>
      <c r="BC16" s="608"/>
      <c r="BD16" s="608">
        <f t="shared" ref="BD16" si="12">BD115</f>
        <v>0</v>
      </c>
      <c r="BE16" s="608"/>
      <c r="BF16" s="608">
        <f t="shared" si="3"/>
        <v>0</v>
      </c>
      <c r="BG16" s="605"/>
      <c r="BH16" s="608">
        <f>+BH115</f>
        <v>0</v>
      </c>
      <c r="BI16" s="590"/>
      <c r="BJ16" s="590">
        <f t="shared" si="0"/>
        <v>104</v>
      </c>
    </row>
    <row r="17" spans="1:62">
      <c r="A17" s="590">
        <f>+A16+1</f>
        <v>105</v>
      </c>
      <c r="B17" s="702" t="s">
        <v>354</v>
      </c>
      <c r="C17" s="702"/>
      <c r="D17" s="590"/>
      <c r="E17" s="590"/>
      <c r="F17" s="590"/>
      <c r="G17" s="590"/>
      <c r="H17" s="712">
        <f>SUM(H12:H16)</f>
        <v>0</v>
      </c>
      <c r="I17" s="590"/>
      <c r="J17" s="712">
        <f>SUM(J12:J16)</f>
        <v>0</v>
      </c>
      <c r="K17" s="590"/>
      <c r="L17" s="712">
        <f>SUM(L12:L16)</f>
        <v>0</v>
      </c>
      <c r="M17" s="590"/>
      <c r="N17" s="712">
        <f>SUM(N12:N16)</f>
        <v>0</v>
      </c>
      <c r="O17" s="712"/>
      <c r="Q17" s="590"/>
      <c r="R17" s="590"/>
      <c r="S17" s="590"/>
      <c r="T17" s="712">
        <f>SUM(T12:T16)</f>
        <v>0</v>
      </c>
      <c r="U17" s="712"/>
      <c r="V17" s="712">
        <f>SUM(V12:V16)</f>
        <v>0</v>
      </c>
      <c r="W17" s="712"/>
      <c r="X17" s="712">
        <f>SUM(X12:X16)</f>
        <v>0</v>
      </c>
      <c r="Y17" s="712"/>
      <c r="Z17" s="712">
        <f>SUM(Z12:Z16)</f>
        <v>0</v>
      </c>
      <c r="AA17" s="712"/>
      <c r="AB17" s="712"/>
      <c r="AC17" s="712"/>
      <c r="AD17" s="712">
        <f>SUM(AD12:AD16)</f>
        <v>0</v>
      </c>
      <c r="AE17" s="712"/>
      <c r="AF17" s="712">
        <f>SUM(AF12:AF16)</f>
        <v>0</v>
      </c>
      <c r="AG17" s="712"/>
      <c r="AH17" s="712">
        <f>SUM(AH12:AH16)</f>
        <v>0</v>
      </c>
      <c r="AI17" s="712"/>
      <c r="AJ17" s="590"/>
      <c r="AK17" s="712"/>
      <c r="AL17" s="712">
        <f>SUM(AL12:AL16)</f>
        <v>0</v>
      </c>
      <c r="AM17" s="712"/>
      <c r="AN17" s="712">
        <f>SUM(AN12:AN16)</f>
        <v>0</v>
      </c>
      <c r="AO17" s="712"/>
      <c r="AP17" s="712">
        <f>SUM(AP12:AP16)</f>
        <v>0</v>
      </c>
      <c r="AQ17" s="712"/>
      <c r="AR17" s="712">
        <f>SUM(AR12:AR16)</f>
        <v>0</v>
      </c>
      <c r="AS17" s="712"/>
      <c r="AT17" s="712">
        <f>SUM(AT12:AT16)</f>
        <v>0</v>
      </c>
      <c r="AU17" s="712"/>
      <c r="AV17" s="712">
        <f>SUM(AV12:AV16)</f>
        <v>0</v>
      </c>
      <c r="AW17" s="712"/>
      <c r="AX17" s="712">
        <f>SUM(AX12:AX16)</f>
        <v>0</v>
      </c>
      <c r="AY17" s="712"/>
      <c r="AZ17" s="712">
        <f>SUM(AZ12:AZ16)</f>
        <v>0</v>
      </c>
      <c r="BA17" s="712"/>
      <c r="BB17" s="712">
        <f>SUM(BB12:BB16)</f>
        <v>0</v>
      </c>
      <c r="BC17" s="712"/>
      <c r="BD17" s="712">
        <f>SUM(BD12:BD16)</f>
        <v>0</v>
      </c>
      <c r="BE17" s="712"/>
      <c r="BF17" s="712">
        <f>SUM(BF12:BF16)</f>
        <v>0</v>
      </c>
      <c r="BG17" s="712"/>
      <c r="BH17" s="712">
        <f>SUM(BH12:BH16)</f>
        <v>0</v>
      </c>
      <c r="BI17" s="727"/>
      <c r="BJ17" s="590">
        <f t="shared" si="0"/>
        <v>105</v>
      </c>
    </row>
    <row r="18" spans="1:62">
      <c r="A18" s="590"/>
      <c r="B18" s="702"/>
      <c r="C18" s="702"/>
      <c r="D18" s="590"/>
      <c r="E18" s="590"/>
      <c r="F18" s="590"/>
      <c r="G18" s="590"/>
      <c r="H18" s="590"/>
      <c r="I18" s="590"/>
      <c r="J18" s="590"/>
      <c r="K18" s="590"/>
      <c r="L18" s="590"/>
      <c r="M18" s="590"/>
      <c r="N18" s="590"/>
      <c r="O18" s="590"/>
      <c r="Q18" s="590"/>
      <c r="R18" s="590"/>
      <c r="S18" s="590"/>
      <c r="T18" s="702"/>
      <c r="U18" s="702"/>
      <c r="V18" s="702"/>
      <c r="W18" s="702"/>
      <c r="X18" s="702"/>
      <c r="Y18" s="702"/>
      <c r="Z18" s="702"/>
      <c r="AA18" s="702"/>
      <c r="AB18" s="702"/>
      <c r="AC18" s="702"/>
      <c r="AD18" s="702"/>
      <c r="AE18" s="702"/>
      <c r="AF18" s="702"/>
      <c r="AG18" s="702"/>
      <c r="AH18" s="702"/>
      <c r="AI18" s="702"/>
      <c r="AJ18" s="590"/>
      <c r="AK18" s="702"/>
      <c r="AL18" s="702"/>
      <c r="AM18" s="702"/>
      <c r="AN18" s="702"/>
      <c r="AO18" s="702"/>
      <c r="AP18" s="702"/>
      <c r="AQ18" s="702"/>
      <c r="AR18" s="702"/>
      <c r="AS18" s="702"/>
      <c r="AT18" s="702"/>
      <c r="AU18" s="702"/>
      <c r="AV18" s="702"/>
      <c r="AW18" s="702"/>
      <c r="AX18" s="702"/>
      <c r="AY18" s="702"/>
      <c r="AZ18" s="702"/>
      <c r="BA18" s="702"/>
      <c r="BB18" s="702"/>
      <c r="BC18" s="702"/>
      <c r="BD18" s="702"/>
      <c r="BE18" s="702"/>
      <c r="BF18" s="702"/>
      <c r="BG18" s="702"/>
      <c r="BH18" s="590"/>
      <c r="BI18" s="727"/>
      <c r="BJ18" s="590"/>
    </row>
    <row r="19" spans="1:62">
      <c r="A19" s="590">
        <f>+A17+1</f>
        <v>106</v>
      </c>
      <c r="B19" s="728" t="s">
        <v>1553</v>
      </c>
      <c r="C19" s="728"/>
      <c r="D19" s="589"/>
      <c r="E19" s="590"/>
      <c r="F19" s="590"/>
      <c r="G19" s="590"/>
      <c r="H19" s="590"/>
      <c r="I19" s="590"/>
      <c r="J19" s="590"/>
      <c r="K19" s="590"/>
      <c r="L19" s="590"/>
      <c r="M19" s="590"/>
      <c r="N19" s="590"/>
      <c r="O19" s="590"/>
      <c r="Q19" s="590"/>
      <c r="R19" s="590"/>
      <c r="S19" s="590"/>
      <c r="T19" s="702"/>
      <c r="U19" s="702"/>
      <c r="V19" s="702"/>
      <c r="W19" s="702"/>
      <c r="X19" s="702"/>
      <c r="Y19" s="702"/>
      <c r="Z19" s="702"/>
      <c r="AA19" s="702"/>
      <c r="AB19" s="702"/>
      <c r="AC19" s="702"/>
      <c r="AD19" s="702"/>
      <c r="AE19" s="702"/>
      <c r="AF19" s="702"/>
      <c r="AG19" s="702"/>
      <c r="AH19" s="702"/>
      <c r="AI19" s="702"/>
      <c r="AJ19" s="590"/>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590"/>
      <c r="BI19" s="612"/>
      <c r="BJ19" s="590">
        <f>A19</f>
        <v>106</v>
      </c>
    </row>
    <row r="20" spans="1:62">
      <c r="A20" s="590">
        <f>+A19+1</f>
        <v>107</v>
      </c>
      <c r="B20" s="706" t="s">
        <v>1773</v>
      </c>
      <c r="C20" s="702" t="s">
        <v>1774</v>
      </c>
      <c r="D20" s="590"/>
      <c r="E20" s="590"/>
      <c r="F20" s="590"/>
      <c r="G20" s="590"/>
      <c r="H20" s="712">
        <f>+H124</f>
        <v>0</v>
      </c>
      <c r="I20" s="590"/>
      <c r="J20" s="712">
        <f>+J124</f>
        <v>0</v>
      </c>
      <c r="K20" s="712"/>
      <c r="L20" s="712">
        <f>+L124</f>
        <v>0</v>
      </c>
      <c r="M20" s="712"/>
      <c r="N20" s="712">
        <f>N124</f>
        <v>0</v>
      </c>
      <c r="O20" s="712"/>
      <c r="Q20" s="712"/>
      <c r="R20" s="706" t="s">
        <v>1751</v>
      </c>
      <c r="S20" s="590"/>
      <c r="T20" s="712">
        <f>T123</f>
        <v>0</v>
      </c>
      <c r="U20" s="712"/>
      <c r="V20" s="712">
        <f>V123</f>
        <v>0</v>
      </c>
      <c r="W20" s="712"/>
      <c r="X20" s="712">
        <f>X123</f>
        <v>0</v>
      </c>
      <c r="Y20" s="712"/>
      <c r="Z20" s="712">
        <f>SUM(T20:X20)</f>
        <v>0</v>
      </c>
      <c r="AA20" s="712"/>
      <c r="AB20" s="607" t="s">
        <v>1548</v>
      </c>
      <c r="AC20" s="712"/>
      <c r="AD20" s="712">
        <f>AD123</f>
        <v>0</v>
      </c>
      <c r="AE20" s="712"/>
      <c r="AF20" s="712">
        <f>AF123</f>
        <v>0</v>
      </c>
      <c r="AG20" s="712"/>
      <c r="AH20" s="712">
        <f>AH123</f>
        <v>0</v>
      </c>
      <c r="AI20" s="712"/>
      <c r="AJ20" s="706" t="s">
        <v>1751</v>
      </c>
      <c r="AK20" s="712"/>
      <c r="AL20" s="712">
        <f>AL123</f>
        <v>0</v>
      </c>
      <c r="AM20" s="712"/>
      <c r="AN20" s="712">
        <f>AN123</f>
        <v>0</v>
      </c>
      <c r="AO20" s="712"/>
      <c r="AP20" s="712">
        <f>AP123</f>
        <v>0</v>
      </c>
      <c r="AQ20" s="712"/>
      <c r="AR20" s="712">
        <f t="shared" ref="AR20:AR22" si="13">SUM(AL20:AP20)</f>
        <v>0</v>
      </c>
      <c r="AS20" s="712"/>
      <c r="AT20" s="712">
        <f>AT123</f>
        <v>0</v>
      </c>
      <c r="AU20" s="712"/>
      <c r="AV20" s="712">
        <f>AV123</f>
        <v>0</v>
      </c>
      <c r="AW20" s="712"/>
      <c r="AX20" s="712">
        <f>AX123</f>
        <v>0</v>
      </c>
      <c r="AY20" s="712"/>
      <c r="AZ20" s="605">
        <f>+AL20+AT20</f>
        <v>0</v>
      </c>
      <c r="BA20" s="712"/>
      <c r="BB20" s="605">
        <f>+AN20+AV20</f>
        <v>0</v>
      </c>
      <c r="BC20" s="712"/>
      <c r="BD20" s="605">
        <f>+AP20+AX20</f>
        <v>0</v>
      </c>
      <c r="BE20" s="712"/>
      <c r="BF20" s="712">
        <f>SUM(AZ20:BD20)</f>
        <v>0</v>
      </c>
      <c r="BG20" s="712"/>
      <c r="BH20" s="712">
        <f>BH124</f>
        <v>0</v>
      </c>
      <c r="BI20" s="727"/>
      <c r="BJ20" s="590">
        <f>A20</f>
        <v>107</v>
      </c>
    </row>
    <row r="21" spans="1:62">
      <c r="A21" s="590">
        <f t="shared" ref="A21:A30" si="14">A20+1</f>
        <v>108</v>
      </c>
      <c r="B21" s="706" t="s">
        <v>632</v>
      </c>
      <c r="C21" s="702"/>
      <c r="D21" s="590"/>
      <c r="E21" s="590"/>
      <c r="F21" s="590"/>
      <c r="G21" s="590"/>
      <c r="H21" s="712">
        <f t="shared" ref="H21:H22" si="15">+H125</f>
        <v>0</v>
      </c>
      <c r="I21" s="590"/>
      <c r="J21" s="712">
        <f t="shared" ref="J21:L22" si="16">+J125</f>
        <v>0</v>
      </c>
      <c r="K21" s="712"/>
      <c r="L21" s="712">
        <f t="shared" si="16"/>
        <v>0</v>
      </c>
      <c r="M21" s="712"/>
      <c r="N21" s="712">
        <f t="shared" ref="N21:N22" si="17">N125</f>
        <v>0</v>
      </c>
      <c r="O21" s="712"/>
      <c r="Q21" s="712"/>
      <c r="R21" s="706" t="s">
        <v>1751</v>
      </c>
      <c r="S21" s="590"/>
      <c r="T21" s="712">
        <f t="shared" ref="T21:T22" si="18">T124</f>
        <v>0</v>
      </c>
      <c r="U21" s="712"/>
      <c r="V21" s="712">
        <f t="shared" ref="V21:V22" si="19">V124</f>
        <v>0</v>
      </c>
      <c r="W21" s="712"/>
      <c r="X21" s="712">
        <f t="shared" ref="X21:X22" si="20">X124</f>
        <v>0</v>
      </c>
      <c r="Y21" s="712"/>
      <c r="Z21" s="712">
        <f t="shared" ref="Z21:Z22" si="21">SUM(T21:X21)</f>
        <v>0</v>
      </c>
      <c r="AA21" s="712"/>
      <c r="AB21" s="607" t="s">
        <v>1548</v>
      </c>
      <c r="AC21" s="712"/>
      <c r="AD21" s="712">
        <f t="shared" ref="AD21:AD22" si="22">AD124</f>
        <v>0</v>
      </c>
      <c r="AE21" s="712"/>
      <c r="AF21" s="712">
        <f t="shared" ref="AF21:AF22" si="23">AF124</f>
        <v>0</v>
      </c>
      <c r="AG21" s="712"/>
      <c r="AH21" s="712">
        <f t="shared" ref="AH21:AH22" si="24">AH124</f>
        <v>0</v>
      </c>
      <c r="AI21" s="712"/>
      <c r="AJ21" s="706" t="s">
        <v>1751</v>
      </c>
      <c r="AK21" s="712"/>
      <c r="AL21" s="712">
        <f t="shared" ref="AL21:AL22" si="25">AL124</f>
        <v>0</v>
      </c>
      <c r="AM21" s="712"/>
      <c r="AN21" s="712">
        <f t="shared" ref="AN21:AN22" si="26">AN124</f>
        <v>0</v>
      </c>
      <c r="AO21" s="712"/>
      <c r="AP21" s="712">
        <f t="shared" ref="AP21:AP22" si="27">AP124</f>
        <v>0</v>
      </c>
      <c r="AQ21" s="712"/>
      <c r="AR21" s="712">
        <f t="shared" si="13"/>
        <v>0</v>
      </c>
      <c r="AS21" s="712"/>
      <c r="AT21" s="712">
        <f t="shared" ref="AT21:AT22" si="28">AT124</f>
        <v>0</v>
      </c>
      <c r="AU21" s="712"/>
      <c r="AV21" s="712">
        <f t="shared" ref="AV21:AV22" si="29">AV124</f>
        <v>0</v>
      </c>
      <c r="AW21" s="712"/>
      <c r="AX21" s="712">
        <f t="shared" ref="AX21:AX22" si="30">AX124</f>
        <v>0</v>
      </c>
      <c r="AY21" s="712"/>
      <c r="AZ21" s="605">
        <f t="shared" ref="AZ21:BD22" si="31">+AL21+AT21</f>
        <v>0</v>
      </c>
      <c r="BA21" s="712"/>
      <c r="BB21" s="605">
        <f t="shared" si="31"/>
        <v>0</v>
      </c>
      <c r="BC21" s="712"/>
      <c r="BD21" s="605">
        <f t="shared" si="31"/>
        <v>0</v>
      </c>
      <c r="BE21" s="712"/>
      <c r="BF21" s="712">
        <f t="shared" ref="BF21:BF22" si="32">SUM(AZ21:BD21)</f>
        <v>0</v>
      </c>
      <c r="BG21" s="712"/>
      <c r="BH21" s="712">
        <f>BH125</f>
        <v>0</v>
      </c>
      <c r="BI21" s="612"/>
      <c r="BJ21" s="590">
        <f>A21</f>
        <v>108</v>
      </c>
    </row>
    <row r="22" spans="1:62">
      <c r="A22" s="590">
        <f t="shared" si="14"/>
        <v>109</v>
      </c>
      <c r="B22" s="706"/>
      <c r="C22" s="702"/>
      <c r="D22" s="590"/>
      <c r="E22" s="590"/>
      <c r="F22" s="590"/>
      <c r="G22" s="590"/>
      <c r="H22" s="721">
        <f t="shared" si="15"/>
        <v>0</v>
      </c>
      <c r="I22" s="590"/>
      <c r="J22" s="721">
        <f t="shared" si="16"/>
        <v>0</v>
      </c>
      <c r="K22" s="721"/>
      <c r="L22" s="721">
        <f t="shared" si="16"/>
        <v>0</v>
      </c>
      <c r="M22" s="721"/>
      <c r="N22" s="721">
        <f t="shared" si="17"/>
        <v>0</v>
      </c>
      <c r="O22" s="721"/>
      <c r="Q22" s="721"/>
      <c r="R22" s="706" t="s">
        <v>1751</v>
      </c>
      <c r="S22" s="590"/>
      <c r="T22" s="721">
        <f t="shared" si="18"/>
        <v>0</v>
      </c>
      <c r="U22" s="721"/>
      <c r="V22" s="721">
        <f t="shared" si="19"/>
        <v>0</v>
      </c>
      <c r="W22" s="721"/>
      <c r="X22" s="721">
        <f t="shared" si="20"/>
        <v>0</v>
      </c>
      <c r="Y22" s="721"/>
      <c r="Z22" s="721">
        <f t="shared" si="21"/>
        <v>0</v>
      </c>
      <c r="AA22" s="712"/>
      <c r="AB22" s="607" t="s">
        <v>1548</v>
      </c>
      <c r="AC22" s="712"/>
      <c r="AD22" s="721">
        <f t="shared" si="22"/>
        <v>0</v>
      </c>
      <c r="AE22" s="721"/>
      <c r="AF22" s="721">
        <f t="shared" si="23"/>
        <v>0</v>
      </c>
      <c r="AG22" s="721"/>
      <c r="AH22" s="721">
        <f t="shared" si="24"/>
        <v>0</v>
      </c>
      <c r="AI22" s="712"/>
      <c r="AJ22" s="706" t="s">
        <v>1751</v>
      </c>
      <c r="AK22" s="712"/>
      <c r="AL22" s="721">
        <f t="shared" si="25"/>
        <v>0</v>
      </c>
      <c r="AM22" s="721"/>
      <c r="AN22" s="721">
        <f t="shared" si="26"/>
        <v>0</v>
      </c>
      <c r="AO22" s="721"/>
      <c r="AP22" s="721">
        <f t="shared" si="27"/>
        <v>0</v>
      </c>
      <c r="AQ22" s="721"/>
      <c r="AR22" s="721">
        <f t="shared" si="13"/>
        <v>0</v>
      </c>
      <c r="AS22" s="712"/>
      <c r="AT22" s="721">
        <f t="shared" si="28"/>
        <v>0</v>
      </c>
      <c r="AU22" s="721"/>
      <c r="AV22" s="721">
        <f t="shared" si="29"/>
        <v>0</v>
      </c>
      <c r="AW22" s="721"/>
      <c r="AX22" s="721">
        <f t="shared" si="30"/>
        <v>0</v>
      </c>
      <c r="AY22" s="712"/>
      <c r="AZ22" s="608">
        <f t="shared" si="31"/>
        <v>0</v>
      </c>
      <c r="BA22" s="721"/>
      <c r="BB22" s="608">
        <f t="shared" si="31"/>
        <v>0</v>
      </c>
      <c r="BC22" s="721"/>
      <c r="BD22" s="608">
        <f t="shared" si="31"/>
        <v>0</v>
      </c>
      <c r="BE22" s="721"/>
      <c r="BF22" s="721">
        <f t="shared" si="32"/>
        <v>0</v>
      </c>
      <c r="BG22" s="712"/>
      <c r="BH22" s="721">
        <f>BH126</f>
        <v>0</v>
      </c>
      <c r="BI22" s="612"/>
      <c r="BJ22" s="590">
        <f>A22</f>
        <v>109</v>
      </c>
    </row>
    <row r="23" spans="1:62">
      <c r="A23" s="590">
        <f t="shared" si="14"/>
        <v>110</v>
      </c>
      <c r="B23" s="702" t="s">
        <v>1554</v>
      </c>
      <c r="C23" s="702"/>
      <c r="D23" s="590"/>
      <c r="E23" s="590"/>
      <c r="F23" s="590"/>
      <c r="G23" s="590"/>
      <c r="H23" s="712">
        <f>SUM(H17:H22)</f>
        <v>0</v>
      </c>
      <c r="I23" s="590"/>
      <c r="J23" s="712">
        <f>SUM(J17:J22)</f>
        <v>0</v>
      </c>
      <c r="K23" s="712"/>
      <c r="L23" s="712">
        <f t="shared" ref="L23" si="33">SUM(L17:L22)</f>
        <v>0</v>
      </c>
      <c r="M23" s="712"/>
      <c r="N23" s="712">
        <f t="shared" ref="N23" si="34">SUM(N17:N22)</f>
        <v>0</v>
      </c>
      <c r="O23" s="712"/>
      <c r="Q23" s="712"/>
      <c r="R23" s="712"/>
      <c r="S23" s="590"/>
      <c r="T23" s="712">
        <f>SUM(T17:T22)</f>
        <v>0</v>
      </c>
      <c r="U23" s="712"/>
      <c r="V23" s="712">
        <f t="shared" ref="V23" si="35">SUM(V17:V22)</f>
        <v>0</v>
      </c>
      <c r="W23" s="712"/>
      <c r="X23" s="712">
        <f t="shared" ref="X23" si="36">SUM(X17:X22)</f>
        <v>0</v>
      </c>
      <c r="Y23" s="712"/>
      <c r="Z23" s="712">
        <f>SUM(Z17:Z22)</f>
        <v>0</v>
      </c>
      <c r="AA23" s="712"/>
      <c r="AB23" s="712"/>
      <c r="AC23" s="712"/>
      <c r="AD23" s="712">
        <f>SUM(AD17:AD22)</f>
        <v>0</v>
      </c>
      <c r="AE23" s="712"/>
      <c r="AF23" s="712">
        <f t="shared" ref="AF23" si="37">SUM(AF17:AF22)</f>
        <v>0</v>
      </c>
      <c r="AG23" s="712"/>
      <c r="AH23" s="712">
        <f t="shared" ref="AH23" si="38">SUM(AH17:AH22)</f>
        <v>0</v>
      </c>
      <c r="AI23" s="712"/>
      <c r="AJ23" s="712"/>
      <c r="AK23" s="712"/>
      <c r="AL23" s="712">
        <f>SUM(AL17:AL22)</f>
        <v>0</v>
      </c>
      <c r="AM23" s="712"/>
      <c r="AN23" s="712">
        <f t="shared" ref="AN23" si="39">SUM(AN17:AN22)</f>
        <v>0</v>
      </c>
      <c r="AO23" s="712"/>
      <c r="AP23" s="712">
        <f t="shared" ref="AP23" si="40">SUM(AP17:AP22)</f>
        <v>0</v>
      </c>
      <c r="AQ23" s="712"/>
      <c r="AR23" s="712">
        <f t="shared" ref="AR23" si="41">SUM(AR17:AR22)</f>
        <v>0</v>
      </c>
      <c r="AS23" s="712"/>
      <c r="AT23" s="712">
        <f>SUM(AT17:AT22)</f>
        <v>0</v>
      </c>
      <c r="AU23" s="712"/>
      <c r="AV23" s="712">
        <f t="shared" ref="AV23" si="42">SUM(AV17:AV22)</f>
        <v>0</v>
      </c>
      <c r="AW23" s="712"/>
      <c r="AX23" s="712">
        <f t="shared" ref="AX23" si="43">SUM(AX17:AX22)</f>
        <v>0</v>
      </c>
      <c r="AY23" s="712"/>
      <c r="AZ23" s="712">
        <f>SUM(AZ17:AZ22)</f>
        <v>0</v>
      </c>
      <c r="BA23" s="712"/>
      <c r="BB23" s="712">
        <f t="shared" ref="BB23" si="44">SUM(BB17:BB22)</f>
        <v>0</v>
      </c>
      <c r="BC23" s="712"/>
      <c r="BD23" s="712">
        <f t="shared" ref="BD23" si="45">SUM(BD17:BD22)</f>
        <v>0</v>
      </c>
      <c r="BE23" s="712"/>
      <c r="BF23" s="712">
        <f t="shared" ref="BF23" si="46">SUM(BF17:BF22)</f>
        <v>0</v>
      </c>
      <c r="BG23" s="712"/>
      <c r="BH23" s="712">
        <f>SUM(BH17:BH22)</f>
        <v>0</v>
      </c>
      <c r="BI23" s="612"/>
      <c r="BJ23" s="590">
        <f>A23</f>
        <v>110</v>
      </c>
    </row>
    <row r="24" spans="1:62">
      <c r="A24" s="590"/>
      <c r="B24" s="702"/>
      <c r="C24" s="702"/>
      <c r="D24" s="590"/>
      <c r="E24" s="590"/>
      <c r="F24" s="590"/>
      <c r="G24" s="590"/>
      <c r="H24" s="590"/>
      <c r="I24" s="590"/>
      <c r="J24" s="590"/>
      <c r="K24" s="590"/>
      <c r="L24" s="590"/>
      <c r="M24" s="590"/>
      <c r="N24" s="590"/>
      <c r="O24" s="590"/>
      <c r="Q24" s="590"/>
      <c r="R24" s="590"/>
      <c r="S24" s="590"/>
      <c r="T24" s="712"/>
      <c r="U24" s="712"/>
      <c r="V24" s="712"/>
      <c r="W24" s="712"/>
      <c r="X24" s="712"/>
      <c r="Y24" s="712"/>
      <c r="Z24" s="712"/>
      <c r="AA24" s="712"/>
      <c r="AB24" s="712"/>
      <c r="AC24" s="712"/>
      <c r="AD24" s="712"/>
      <c r="AE24" s="712"/>
      <c r="AF24" s="712"/>
      <c r="AG24" s="712"/>
      <c r="AH24" s="712"/>
      <c r="AI24" s="712"/>
      <c r="AJ24" s="712"/>
      <c r="AK24" s="712"/>
      <c r="AL24" s="712"/>
      <c r="AM24" s="712"/>
      <c r="AN24" s="712"/>
      <c r="AO24" s="712"/>
      <c r="AP24" s="712"/>
      <c r="AQ24" s="712"/>
      <c r="AR24" s="712"/>
      <c r="AS24" s="712"/>
      <c r="AT24" s="712"/>
      <c r="AU24" s="712"/>
      <c r="AV24" s="712"/>
      <c r="AW24" s="712"/>
      <c r="AX24" s="712"/>
      <c r="AY24" s="712"/>
      <c r="AZ24" s="712"/>
      <c r="BA24" s="712"/>
      <c r="BB24" s="712"/>
      <c r="BC24" s="712"/>
      <c r="BD24" s="712"/>
      <c r="BE24" s="712"/>
      <c r="BF24" s="712"/>
      <c r="BG24" s="712"/>
      <c r="BH24" s="590"/>
      <c r="BI24" s="612"/>
      <c r="BJ24" s="590"/>
    </row>
    <row r="25" spans="1:62">
      <c r="A25" s="323" t="s">
        <v>122</v>
      </c>
      <c r="B25" s="728" t="s">
        <v>1555</v>
      </c>
      <c r="C25" s="613"/>
      <c r="D25" s="589" t="s">
        <v>123</v>
      </c>
      <c r="E25" s="590"/>
      <c r="F25" s="590"/>
      <c r="G25" s="590"/>
      <c r="H25" s="590"/>
      <c r="I25" s="590"/>
      <c r="J25" s="590"/>
      <c r="K25" s="590"/>
      <c r="L25" s="590"/>
      <c r="M25" s="590"/>
      <c r="N25" s="590"/>
      <c r="O25" s="590"/>
      <c r="Q25" s="590"/>
      <c r="R25" s="590"/>
      <c r="S25" s="590"/>
      <c r="T25" s="712"/>
      <c r="U25" s="712"/>
      <c r="V25" s="712"/>
      <c r="W25" s="712"/>
      <c r="X25" s="702"/>
      <c r="Y25" s="702"/>
      <c r="Z25" s="702"/>
      <c r="AA25" s="702"/>
      <c r="AB25" s="702"/>
      <c r="AC25" s="702"/>
      <c r="AD25" s="702"/>
      <c r="AE25" s="702"/>
      <c r="AF25" s="702"/>
      <c r="AG25" s="702"/>
      <c r="AH25" s="702"/>
      <c r="AI25" s="702"/>
      <c r="AJ25" s="702"/>
      <c r="AK25" s="702"/>
      <c r="AL25" s="712"/>
      <c r="AM25" s="712"/>
      <c r="AN25" s="712"/>
      <c r="AO25" s="712"/>
      <c r="AP25" s="702"/>
      <c r="AQ25" s="702"/>
      <c r="AR25" s="702"/>
      <c r="AS25" s="702"/>
      <c r="AT25" s="702"/>
      <c r="AU25" s="702"/>
      <c r="AV25" s="702"/>
      <c r="AW25" s="702"/>
      <c r="AX25" s="702"/>
      <c r="AY25" s="702"/>
      <c r="AZ25" s="712"/>
      <c r="BA25" s="712"/>
      <c r="BB25" s="712"/>
      <c r="BC25" s="712"/>
      <c r="BD25" s="702"/>
      <c r="BE25" s="702"/>
      <c r="BF25" s="702"/>
      <c r="BG25" s="702"/>
      <c r="BH25" s="590"/>
      <c r="BI25" s="612"/>
      <c r="BJ25" s="726" t="s">
        <v>122</v>
      </c>
    </row>
    <row r="26" spans="1:62">
      <c r="A26" s="590">
        <v>200</v>
      </c>
      <c r="B26" s="702" t="s">
        <v>1561</v>
      </c>
      <c r="C26" s="702"/>
      <c r="D26" s="590"/>
      <c r="E26" s="590"/>
      <c r="F26" s="590"/>
      <c r="G26" s="590"/>
      <c r="H26" s="721">
        <f>ROUND(SUM(H27:H31),0)</f>
        <v>0</v>
      </c>
      <c r="I26" s="590"/>
      <c r="J26" s="721">
        <f>ROUND(SUM(J27:J31),0)</f>
        <v>0</v>
      </c>
      <c r="K26" s="712"/>
      <c r="L26" s="721">
        <f>ROUND(SUM(L27:L31),0)</f>
        <v>0</v>
      </c>
      <c r="M26" s="712"/>
      <c r="N26" s="721">
        <f>ROUND(SUM(N27:N31),0)</f>
        <v>0</v>
      </c>
      <c r="O26" s="712"/>
      <c r="Q26" s="590"/>
      <c r="R26" s="590"/>
      <c r="S26" s="590"/>
      <c r="T26" s="721">
        <f>ROUND(SUM(T27:T31),0)</f>
        <v>0</v>
      </c>
      <c r="U26" s="712"/>
      <c r="V26" s="721">
        <f>ROUND(SUM(V27:V31),0)</f>
        <v>0</v>
      </c>
      <c r="W26" s="712"/>
      <c r="X26" s="721">
        <f>ROUND(SUM(X27:X31),0)</f>
        <v>0</v>
      </c>
      <c r="Y26" s="712"/>
      <c r="Z26" s="721">
        <f>ROUND(SUM(Z27:Z31),0)</f>
        <v>0</v>
      </c>
      <c r="AA26" s="712"/>
      <c r="AB26" s="712"/>
      <c r="AC26" s="712"/>
      <c r="AD26" s="721">
        <f>SUM(AD27:AD31)</f>
        <v>0</v>
      </c>
      <c r="AE26" s="712"/>
      <c r="AF26" s="721">
        <f>SUM(AF27:AF31)</f>
        <v>0</v>
      </c>
      <c r="AG26" s="712"/>
      <c r="AH26" s="721">
        <f>SUM(AH27:AH31)</f>
        <v>0</v>
      </c>
      <c r="AI26" s="712"/>
      <c r="AJ26" s="712"/>
      <c r="AK26" s="712"/>
      <c r="AL26" s="721">
        <f>SUM(AL27:AL31)</f>
        <v>0</v>
      </c>
      <c r="AM26" s="712"/>
      <c r="AN26" s="721">
        <f>SUM(AN27:AN31)</f>
        <v>0</v>
      </c>
      <c r="AO26" s="712"/>
      <c r="AP26" s="721">
        <f>SUM(AP27:AP31)</f>
        <v>0</v>
      </c>
      <c r="AQ26" s="712"/>
      <c r="AR26" s="721">
        <f>SUM(AR27:AR31)</f>
        <v>0</v>
      </c>
      <c r="AS26" s="712"/>
      <c r="AT26" s="721">
        <f>SUM(AT27:AT31)</f>
        <v>0</v>
      </c>
      <c r="AU26" s="712"/>
      <c r="AV26" s="721">
        <f>SUM(AV27:AV31)</f>
        <v>0</v>
      </c>
      <c r="AW26" s="712"/>
      <c r="AX26" s="721">
        <f>SUM(AX27:AX31)</f>
        <v>0</v>
      </c>
      <c r="AY26" s="712"/>
      <c r="AZ26" s="721">
        <f>SUM(AZ27:AZ31)</f>
        <v>0</v>
      </c>
      <c r="BA26" s="712"/>
      <c r="BB26" s="721">
        <f>SUM(BB27:BB31)</f>
        <v>0</v>
      </c>
      <c r="BC26" s="712"/>
      <c r="BD26" s="721">
        <f>SUM(BD27:BD31)</f>
        <v>0</v>
      </c>
      <c r="BE26" s="712"/>
      <c r="BF26" s="721">
        <f>SUM(BF27:BF31)</f>
        <v>0</v>
      </c>
      <c r="BG26" s="712"/>
      <c r="BH26" s="721">
        <f>ROUND(SUM(BH27:BH31),0)</f>
        <v>0</v>
      </c>
      <c r="BI26" s="727"/>
      <c r="BJ26" s="590">
        <f t="shared" ref="BJ26:BJ31" si="47">A26</f>
        <v>200</v>
      </c>
    </row>
    <row r="27" spans="1:62">
      <c r="A27" s="590">
        <f t="shared" si="14"/>
        <v>201</v>
      </c>
      <c r="B27" s="729" t="s">
        <v>1775</v>
      </c>
      <c r="C27" s="702"/>
      <c r="D27" s="702" t="s">
        <v>1752</v>
      </c>
      <c r="E27" s="702"/>
      <c r="F27" s="706" t="s">
        <v>1753</v>
      </c>
      <c r="G27" s="702"/>
      <c r="H27" s="723"/>
      <c r="I27" s="590"/>
      <c r="J27" s="723"/>
      <c r="K27" s="712"/>
      <c r="L27" s="723"/>
      <c r="M27" s="712"/>
      <c r="N27" s="723"/>
      <c r="O27" s="712"/>
      <c r="Q27" s="590"/>
      <c r="R27" s="706" t="s">
        <v>1749</v>
      </c>
      <c r="S27" s="590"/>
      <c r="T27" s="712">
        <f>N27</f>
        <v>0</v>
      </c>
      <c r="U27" s="712"/>
      <c r="V27" s="712">
        <v>0</v>
      </c>
      <c r="W27" s="712"/>
      <c r="X27" s="712">
        <v>0</v>
      </c>
      <c r="Y27" s="712"/>
      <c r="Z27" s="712">
        <f t="shared" ref="Z27:Z31" si="48">SUM(T27:X27)</f>
        <v>0</v>
      </c>
      <c r="AA27" s="712"/>
      <c r="AB27" s="607" t="s">
        <v>1548</v>
      </c>
      <c r="AC27" s="712"/>
      <c r="AD27" s="723"/>
      <c r="AE27" s="712"/>
      <c r="AF27" s="712">
        <v>0</v>
      </c>
      <c r="AG27" s="712"/>
      <c r="AH27" s="712">
        <v>0</v>
      </c>
      <c r="AI27" s="712"/>
      <c r="AJ27" s="607" t="s">
        <v>1759</v>
      </c>
      <c r="AK27" s="712"/>
      <c r="AL27" s="605">
        <f>+T27-AD27</f>
        <v>0</v>
      </c>
      <c r="AM27" s="712"/>
      <c r="AN27" s="605">
        <f>+V27-AF27</f>
        <v>0</v>
      </c>
      <c r="AO27" s="712"/>
      <c r="AP27" s="605">
        <f>+X27-AH27</f>
        <v>0</v>
      </c>
      <c r="AQ27" s="712"/>
      <c r="AR27" s="712">
        <f t="shared" ref="AR27:AR31" si="49">SUM(AL27:AP27)</f>
        <v>0</v>
      </c>
      <c r="AS27" s="712"/>
      <c r="AT27" s="723"/>
      <c r="AU27" s="712"/>
      <c r="AV27" s="712">
        <v>0</v>
      </c>
      <c r="AW27" s="712"/>
      <c r="AX27" s="712">
        <v>0</v>
      </c>
      <c r="AY27" s="712"/>
      <c r="AZ27" s="605">
        <f>+AL27-AT27</f>
        <v>0</v>
      </c>
      <c r="BA27" s="712"/>
      <c r="BB27" s="605">
        <f>+AN27-AV27</f>
        <v>0</v>
      </c>
      <c r="BC27" s="712"/>
      <c r="BD27" s="605">
        <f>+AP27-AX27</f>
        <v>0</v>
      </c>
      <c r="BE27" s="712"/>
      <c r="BF27" s="712">
        <f t="shared" ref="BF27:BF31" si="50">SUM(AZ27:BD27)</f>
        <v>0</v>
      </c>
      <c r="BG27" s="712"/>
      <c r="BH27" s="712">
        <f>+BF27*$BH$9</f>
        <v>0</v>
      </c>
      <c r="BI27" s="727"/>
      <c r="BJ27" s="590">
        <f t="shared" si="47"/>
        <v>201</v>
      </c>
    </row>
    <row r="28" spans="1:62">
      <c r="A28" s="590">
        <f t="shared" si="14"/>
        <v>202</v>
      </c>
      <c r="B28" s="729" t="s">
        <v>1776</v>
      </c>
      <c r="C28" s="702"/>
      <c r="D28" s="702" t="s">
        <v>1752</v>
      </c>
      <c r="E28" s="702"/>
      <c r="F28" s="706" t="s">
        <v>1753</v>
      </c>
      <c r="G28" s="702"/>
      <c r="H28" s="723"/>
      <c r="I28" s="590"/>
      <c r="J28" s="723"/>
      <c r="K28" s="712"/>
      <c r="L28" s="723"/>
      <c r="M28" s="712"/>
      <c r="N28" s="723"/>
      <c r="O28" s="712"/>
      <c r="Q28" s="590"/>
      <c r="R28" s="706" t="s">
        <v>1749</v>
      </c>
      <c r="S28" s="590"/>
      <c r="T28" s="712">
        <f t="shared" ref="T28:T29" si="51">N28</f>
        <v>0</v>
      </c>
      <c r="U28" s="712"/>
      <c r="V28" s="712">
        <v>0</v>
      </c>
      <c r="W28" s="712"/>
      <c r="X28" s="712">
        <v>0</v>
      </c>
      <c r="Y28" s="712"/>
      <c r="Z28" s="712">
        <f t="shared" si="48"/>
        <v>0</v>
      </c>
      <c r="AA28" s="712"/>
      <c r="AB28" s="607" t="s">
        <v>1548</v>
      </c>
      <c r="AC28" s="712"/>
      <c r="AD28" s="723"/>
      <c r="AE28" s="712"/>
      <c r="AF28" s="712">
        <v>0</v>
      </c>
      <c r="AG28" s="712"/>
      <c r="AH28" s="712">
        <v>0</v>
      </c>
      <c r="AI28" s="712"/>
      <c r="AJ28" s="607" t="s">
        <v>1759</v>
      </c>
      <c r="AK28" s="712"/>
      <c r="AL28" s="605">
        <f t="shared" ref="AL28:AP31" si="52">+T28-AD28</f>
        <v>0</v>
      </c>
      <c r="AM28" s="712"/>
      <c r="AN28" s="605">
        <f t="shared" si="52"/>
        <v>0</v>
      </c>
      <c r="AO28" s="712"/>
      <c r="AP28" s="605">
        <f t="shared" si="52"/>
        <v>0</v>
      </c>
      <c r="AQ28" s="712"/>
      <c r="AR28" s="712">
        <f t="shared" si="49"/>
        <v>0</v>
      </c>
      <c r="AS28" s="712"/>
      <c r="AT28" s="723"/>
      <c r="AU28" s="712"/>
      <c r="AV28" s="712">
        <v>0</v>
      </c>
      <c r="AW28" s="712"/>
      <c r="AX28" s="712">
        <v>0</v>
      </c>
      <c r="AY28" s="712"/>
      <c r="AZ28" s="605">
        <f t="shared" ref="AZ28:BD31" si="53">+AL28-AT28</f>
        <v>0</v>
      </c>
      <c r="BA28" s="712"/>
      <c r="BB28" s="605">
        <f t="shared" si="53"/>
        <v>0</v>
      </c>
      <c r="BC28" s="712"/>
      <c r="BD28" s="605">
        <f t="shared" si="53"/>
        <v>0</v>
      </c>
      <c r="BE28" s="712"/>
      <c r="BF28" s="712">
        <f t="shared" si="50"/>
        <v>0</v>
      </c>
      <c r="BG28" s="712"/>
      <c r="BH28" s="712">
        <f>+BF28*$BH$9</f>
        <v>0</v>
      </c>
      <c r="BI28" s="727"/>
      <c r="BJ28" s="590">
        <f t="shared" si="47"/>
        <v>202</v>
      </c>
    </row>
    <row r="29" spans="1:62">
      <c r="A29" s="590">
        <f t="shared" si="14"/>
        <v>203</v>
      </c>
      <c r="B29" s="729"/>
      <c r="C29" s="702"/>
      <c r="D29" s="702" t="s">
        <v>1752</v>
      </c>
      <c r="E29" s="702"/>
      <c r="F29" s="706" t="s">
        <v>1753</v>
      </c>
      <c r="G29" s="702"/>
      <c r="H29" s="723"/>
      <c r="I29" s="590"/>
      <c r="J29" s="723"/>
      <c r="K29" s="712"/>
      <c r="L29" s="723"/>
      <c r="M29" s="712"/>
      <c r="N29" s="723"/>
      <c r="O29" s="712"/>
      <c r="Q29" s="590"/>
      <c r="R29" s="706" t="s">
        <v>1749</v>
      </c>
      <c r="S29" s="590"/>
      <c r="T29" s="712">
        <f t="shared" si="51"/>
        <v>0</v>
      </c>
      <c r="U29" s="712"/>
      <c r="V29" s="712">
        <v>0</v>
      </c>
      <c r="W29" s="712"/>
      <c r="X29" s="712">
        <v>0</v>
      </c>
      <c r="Y29" s="712"/>
      <c r="Z29" s="712">
        <f t="shared" si="48"/>
        <v>0</v>
      </c>
      <c r="AA29" s="712"/>
      <c r="AB29" s="607" t="s">
        <v>1548</v>
      </c>
      <c r="AC29" s="712"/>
      <c r="AD29" s="723"/>
      <c r="AE29" s="712"/>
      <c r="AF29" s="712">
        <v>0</v>
      </c>
      <c r="AG29" s="712"/>
      <c r="AH29" s="712">
        <v>0</v>
      </c>
      <c r="AI29" s="712"/>
      <c r="AJ29" s="607" t="s">
        <v>1759</v>
      </c>
      <c r="AK29" s="712"/>
      <c r="AL29" s="605">
        <f t="shared" si="52"/>
        <v>0</v>
      </c>
      <c r="AM29" s="712"/>
      <c r="AN29" s="605">
        <f t="shared" si="52"/>
        <v>0</v>
      </c>
      <c r="AO29" s="712"/>
      <c r="AP29" s="605">
        <f t="shared" si="52"/>
        <v>0</v>
      </c>
      <c r="AQ29" s="712"/>
      <c r="AR29" s="712">
        <f t="shared" si="49"/>
        <v>0</v>
      </c>
      <c r="AS29" s="712"/>
      <c r="AT29" s="723"/>
      <c r="AU29" s="712"/>
      <c r="AV29" s="712">
        <v>0</v>
      </c>
      <c r="AW29" s="712"/>
      <c r="AX29" s="712">
        <v>0</v>
      </c>
      <c r="AY29" s="712"/>
      <c r="AZ29" s="605">
        <f t="shared" si="53"/>
        <v>0</v>
      </c>
      <c r="BA29" s="712"/>
      <c r="BB29" s="605">
        <f t="shared" si="53"/>
        <v>0</v>
      </c>
      <c r="BC29" s="712"/>
      <c r="BD29" s="605">
        <f t="shared" si="53"/>
        <v>0</v>
      </c>
      <c r="BE29" s="712"/>
      <c r="BF29" s="712">
        <f t="shared" si="50"/>
        <v>0</v>
      </c>
      <c r="BG29" s="712"/>
      <c r="BH29" s="712">
        <f>+BF29*$BH$9</f>
        <v>0</v>
      </c>
      <c r="BI29" s="727"/>
      <c r="BJ29" s="590">
        <f t="shared" si="47"/>
        <v>203</v>
      </c>
    </row>
    <row r="30" spans="1:62">
      <c r="A30" s="590">
        <f t="shared" si="14"/>
        <v>204</v>
      </c>
      <c r="B30" s="730" t="s">
        <v>632</v>
      </c>
      <c r="C30" s="702"/>
      <c r="D30" s="590"/>
      <c r="E30" s="590"/>
      <c r="F30" s="590"/>
      <c r="G30" s="590"/>
      <c r="H30" s="723"/>
      <c r="I30" s="590"/>
      <c r="J30" s="723"/>
      <c r="K30" s="712"/>
      <c r="L30" s="723"/>
      <c r="M30" s="712"/>
      <c r="N30" s="723"/>
      <c r="O30" s="712"/>
      <c r="Q30" s="590"/>
      <c r="R30" s="590"/>
      <c r="S30" s="590"/>
      <c r="T30" s="712">
        <v>0</v>
      </c>
      <c r="U30" s="712"/>
      <c r="V30" s="712">
        <v>0</v>
      </c>
      <c r="W30" s="712"/>
      <c r="X30" s="712">
        <v>0</v>
      </c>
      <c r="Y30" s="712"/>
      <c r="Z30" s="712">
        <f t="shared" si="48"/>
        <v>0</v>
      </c>
      <c r="AA30" s="712"/>
      <c r="AB30" s="712"/>
      <c r="AC30" s="712"/>
      <c r="AD30" s="723"/>
      <c r="AE30" s="712"/>
      <c r="AF30" s="712">
        <v>0</v>
      </c>
      <c r="AG30" s="712"/>
      <c r="AH30" s="712">
        <v>0</v>
      </c>
      <c r="AI30" s="712"/>
      <c r="AJ30" s="712"/>
      <c r="AK30" s="712"/>
      <c r="AL30" s="605">
        <f t="shared" si="52"/>
        <v>0</v>
      </c>
      <c r="AM30" s="712"/>
      <c r="AN30" s="605">
        <f t="shared" si="52"/>
        <v>0</v>
      </c>
      <c r="AO30" s="712"/>
      <c r="AP30" s="605">
        <f t="shared" si="52"/>
        <v>0</v>
      </c>
      <c r="AQ30" s="712"/>
      <c r="AR30" s="712">
        <f t="shared" si="49"/>
        <v>0</v>
      </c>
      <c r="AS30" s="712"/>
      <c r="AT30" s="723"/>
      <c r="AU30" s="712"/>
      <c r="AV30" s="712">
        <v>0</v>
      </c>
      <c r="AW30" s="712"/>
      <c r="AX30" s="712">
        <v>0</v>
      </c>
      <c r="AY30" s="712"/>
      <c r="AZ30" s="605">
        <f t="shared" si="53"/>
        <v>0</v>
      </c>
      <c r="BA30" s="712"/>
      <c r="BB30" s="605">
        <f t="shared" si="53"/>
        <v>0</v>
      </c>
      <c r="BC30" s="712"/>
      <c r="BD30" s="605">
        <f t="shared" si="53"/>
        <v>0</v>
      </c>
      <c r="BE30" s="712"/>
      <c r="BF30" s="712">
        <f t="shared" si="50"/>
        <v>0</v>
      </c>
      <c r="BG30" s="712"/>
      <c r="BH30" s="712">
        <f>+BF30*$BH$9</f>
        <v>0</v>
      </c>
      <c r="BI30" s="727"/>
      <c r="BJ30" s="590">
        <f t="shared" si="47"/>
        <v>204</v>
      </c>
    </row>
    <row r="31" spans="1:62">
      <c r="A31" s="590">
        <f>+A30+1</f>
        <v>205</v>
      </c>
      <c r="B31" s="730" t="s">
        <v>632</v>
      </c>
      <c r="C31" s="731"/>
      <c r="D31" s="702"/>
      <c r="E31" s="702"/>
      <c r="F31" s="706"/>
      <c r="G31" s="702"/>
      <c r="H31" s="723"/>
      <c r="I31" s="702"/>
      <c r="J31" s="723"/>
      <c r="K31" s="712"/>
      <c r="L31" s="723"/>
      <c r="M31" s="712"/>
      <c r="N31" s="723"/>
      <c r="O31" s="712"/>
      <c r="Q31" s="702"/>
      <c r="R31" s="702"/>
      <c r="S31" s="702"/>
      <c r="T31" s="712">
        <v>0</v>
      </c>
      <c r="U31" s="712"/>
      <c r="V31" s="712">
        <v>0</v>
      </c>
      <c r="W31" s="712"/>
      <c r="X31" s="712">
        <v>0</v>
      </c>
      <c r="Y31" s="712"/>
      <c r="Z31" s="712">
        <f t="shared" si="48"/>
        <v>0</v>
      </c>
      <c r="AA31" s="712"/>
      <c r="AB31" s="712"/>
      <c r="AC31" s="712"/>
      <c r="AD31" s="723"/>
      <c r="AE31" s="712"/>
      <c r="AF31" s="712">
        <v>0</v>
      </c>
      <c r="AG31" s="712"/>
      <c r="AH31" s="712">
        <v>0</v>
      </c>
      <c r="AI31" s="712"/>
      <c r="AJ31" s="712"/>
      <c r="AK31" s="712"/>
      <c r="AL31" s="605">
        <f t="shared" si="52"/>
        <v>0</v>
      </c>
      <c r="AM31" s="712"/>
      <c r="AN31" s="605">
        <f t="shared" si="52"/>
        <v>0</v>
      </c>
      <c r="AO31" s="712"/>
      <c r="AP31" s="605">
        <f t="shared" si="52"/>
        <v>0</v>
      </c>
      <c r="AQ31" s="712"/>
      <c r="AR31" s="712">
        <f t="shared" si="49"/>
        <v>0</v>
      </c>
      <c r="AS31" s="591"/>
      <c r="AT31" s="723"/>
      <c r="AU31" s="712"/>
      <c r="AV31" s="712">
        <v>0</v>
      </c>
      <c r="AW31" s="712"/>
      <c r="AX31" s="712">
        <v>0</v>
      </c>
      <c r="AY31" s="712"/>
      <c r="AZ31" s="605">
        <f t="shared" si="53"/>
        <v>0</v>
      </c>
      <c r="BA31" s="712"/>
      <c r="BB31" s="605">
        <f t="shared" si="53"/>
        <v>0</v>
      </c>
      <c r="BC31" s="712"/>
      <c r="BD31" s="605">
        <f t="shared" si="53"/>
        <v>0</v>
      </c>
      <c r="BE31" s="712"/>
      <c r="BF31" s="712">
        <f t="shared" si="50"/>
        <v>0</v>
      </c>
      <c r="BG31" s="712"/>
      <c r="BH31" s="712">
        <f>+BF31*$BH$9</f>
        <v>0</v>
      </c>
      <c r="BI31" s="702"/>
      <c r="BJ31" s="590">
        <f t="shared" si="47"/>
        <v>205</v>
      </c>
    </row>
    <row r="32" spans="1:62">
      <c r="A32" s="590"/>
      <c r="B32" s="706"/>
      <c r="C32" s="731"/>
      <c r="D32" s="702"/>
      <c r="E32" s="702"/>
      <c r="F32" s="706"/>
      <c r="G32" s="702"/>
      <c r="H32" s="712"/>
      <c r="I32" s="702"/>
      <c r="J32" s="712"/>
      <c r="K32" s="712"/>
      <c r="L32" s="712"/>
      <c r="M32" s="712"/>
      <c r="N32" s="712"/>
      <c r="O32" s="712"/>
      <c r="Q32" s="702"/>
      <c r="R32" s="702"/>
      <c r="S32" s="702"/>
      <c r="T32" s="712"/>
      <c r="U32" s="712"/>
      <c r="V32" s="712"/>
      <c r="W32" s="712"/>
      <c r="X32" s="712"/>
      <c r="Y32" s="712"/>
      <c r="Z32" s="712"/>
      <c r="AA32" s="712"/>
      <c r="AB32" s="712"/>
      <c r="AC32" s="712"/>
      <c r="AD32" s="712"/>
      <c r="AE32" s="712"/>
      <c r="AF32" s="712"/>
      <c r="AG32" s="712"/>
      <c r="AH32" s="712"/>
      <c r="AI32" s="712"/>
      <c r="AJ32" s="712"/>
      <c r="AK32" s="712"/>
      <c r="AL32" s="712"/>
      <c r="AM32" s="712"/>
      <c r="AN32" s="712"/>
      <c r="AO32" s="712"/>
      <c r="AP32" s="712"/>
      <c r="AQ32" s="712"/>
      <c r="AR32" s="712"/>
      <c r="AS32" s="591"/>
      <c r="AT32" s="712"/>
      <c r="AU32" s="712"/>
      <c r="AV32" s="712"/>
      <c r="AW32" s="712"/>
      <c r="AX32" s="712"/>
      <c r="AY32" s="712"/>
      <c r="AZ32" s="712"/>
      <c r="BA32" s="712"/>
      <c r="BB32" s="712"/>
      <c r="BC32" s="712"/>
      <c r="BD32" s="712"/>
      <c r="BE32" s="712"/>
      <c r="BF32" s="712"/>
      <c r="BG32" s="712"/>
      <c r="BH32" s="712"/>
      <c r="BI32" s="702"/>
      <c r="BJ32" s="590"/>
    </row>
    <row r="33" spans="1:62">
      <c r="A33" s="323" t="s">
        <v>122</v>
      </c>
      <c r="B33" s="715"/>
      <c r="BJ33" s="726" t="s">
        <v>122</v>
      </c>
    </row>
    <row r="34" spans="1:62">
      <c r="A34" s="590">
        <v>300</v>
      </c>
      <c r="B34" s="702" t="s">
        <v>1556</v>
      </c>
      <c r="H34" s="721">
        <f>SUM(H35:H39)</f>
        <v>0</v>
      </c>
      <c r="J34" s="721">
        <f>SUM(J35:J39)</f>
        <v>0</v>
      </c>
      <c r="K34" s="712"/>
      <c r="L34" s="721">
        <f>SUM(L35:L39)</f>
        <v>0</v>
      </c>
      <c r="M34" s="712"/>
      <c r="N34" s="721">
        <f>SUM(N35:N39)</f>
        <v>0</v>
      </c>
      <c r="O34" s="712"/>
      <c r="Q34" s="590"/>
      <c r="R34" s="590"/>
      <c r="S34" s="590"/>
      <c r="T34" s="721">
        <f>SUM(T35:T39)</f>
        <v>0</v>
      </c>
      <c r="U34" s="712"/>
      <c r="V34" s="721">
        <f>SUM(V35:V39)</f>
        <v>0</v>
      </c>
      <c r="W34" s="712"/>
      <c r="X34" s="721">
        <f>SUM(X35:X39)</f>
        <v>0</v>
      </c>
      <c r="Y34" s="712"/>
      <c r="Z34" s="721">
        <f>SUM(Z35:Z39)</f>
        <v>0</v>
      </c>
      <c r="AA34" s="712"/>
      <c r="AB34" s="712"/>
      <c r="AC34" s="712"/>
      <c r="AD34" s="721">
        <f>SUM(AD35:AD39)</f>
        <v>0</v>
      </c>
      <c r="AE34" s="712"/>
      <c r="AF34" s="721">
        <f>SUM(AF35:AF39)</f>
        <v>0</v>
      </c>
      <c r="AG34" s="712"/>
      <c r="AH34" s="721">
        <f>SUM(AH35:AH39)</f>
        <v>0</v>
      </c>
      <c r="AI34" s="712"/>
      <c r="AJ34" s="712"/>
      <c r="AK34" s="712"/>
      <c r="AL34" s="721">
        <f>SUM(AL35:AL39)</f>
        <v>0</v>
      </c>
      <c r="AM34" s="712"/>
      <c r="AN34" s="721">
        <f>SUM(AN35:AN39)</f>
        <v>0</v>
      </c>
      <c r="AO34" s="712"/>
      <c r="AP34" s="721">
        <f>SUM(AP35:AP39)</f>
        <v>0</v>
      </c>
      <c r="AQ34" s="712"/>
      <c r="AR34" s="721">
        <f>SUM(AR35:AR39)</f>
        <v>0</v>
      </c>
      <c r="AT34" s="721">
        <f>SUM(AT35:AT39)</f>
        <v>0</v>
      </c>
      <c r="AU34" s="712"/>
      <c r="AV34" s="721">
        <f>SUM(AV35:AV39)</f>
        <v>0</v>
      </c>
      <c r="AW34" s="712"/>
      <c r="AX34" s="721">
        <f>SUM(AX35:AX39)</f>
        <v>0</v>
      </c>
      <c r="AY34" s="712"/>
      <c r="AZ34" s="721">
        <f>SUM(AZ35:AZ39)</f>
        <v>0</v>
      </c>
      <c r="BA34" s="712"/>
      <c r="BB34" s="721">
        <f>SUM(BB35:BB39)</f>
        <v>0</v>
      </c>
      <c r="BC34" s="712"/>
      <c r="BD34" s="721">
        <f>SUM(BD35:BD39)</f>
        <v>0</v>
      </c>
      <c r="BE34" s="712"/>
      <c r="BF34" s="721">
        <f>SUM(BF35:BF39)</f>
        <v>0</v>
      </c>
      <c r="BG34" s="712"/>
      <c r="BH34" s="721">
        <f>SUM(BH35:BH39)</f>
        <v>0</v>
      </c>
      <c r="BJ34" s="590">
        <f t="shared" ref="BJ34:BJ39" si="54">A34</f>
        <v>300</v>
      </c>
    </row>
    <row r="35" spans="1:62">
      <c r="A35" s="590">
        <f t="shared" ref="A35:A38" si="55">A34+1</f>
        <v>301</v>
      </c>
      <c r="B35" s="634" t="s">
        <v>1777</v>
      </c>
      <c r="D35" s="705" t="s">
        <v>1764</v>
      </c>
      <c r="F35" s="715" t="s">
        <v>1753</v>
      </c>
      <c r="H35" s="723"/>
      <c r="J35" s="723"/>
      <c r="K35" s="712"/>
      <c r="L35" s="723"/>
      <c r="M35" s="712"/>
      <c r="N35" s="723"/>
      <c r="O35" s="712"/>
      <c r="R35" s="706" t="s">
        <v>1749</v>
      </c>
      <c r="T35" s="712">
        <f t="shared" ref="T35:T39" si="56">N35</f>
        <v>0</v>
      </c>
      <c r="U35" s="712"/>
      <c r="V35" s="712">
        <v>0</v>
      </c>
      <c r="W35" s="712"/>
      <c r="X35" s="712">
        <v>0</v>
      </c>
      <c r="Y35" s="712"/>
      <c r="Z35" s="712">
        <f>SUM(T35:X35)</f>
        <v>0</v>
      </c>
      <c r="AA35" s="712"/>
      <c r="AB35" s="712"/>
      <c r="AC35" s="712"/>
      <c r="AD35" s="723"/>
      <c r="AE35" s="712"/>
      <c r="AF35" s="723"/>
      <c r="AG35" s="712"/>
      <c r="AH35" s="712">
        <v>0</v>
      </c>
      <c r="AI35" s="712"/>
      <c r="AJ35" s="712"/>
      <c r="AK35" s="712"/>
      <c r="AL35" s="605">
        <f>+T35-AD35</f>
        <v>0</v>
      </c>
      <c r="AM35" s="712"/>
      <c r="AN35" s="605">
        <f>+V35-AF35</f>
        <v>0</v>
      </c>
      <c r="AO35" s="712"/>
      <c r="AP35" s="605">
        <f>+X35-AH35</f>
        <v>0</v>
      </c>
      <c r="AQ35" s="712"/>
      <c r="AR35" s="712">
        <f t="shared" ref="AR35:AR39" si="57">SUM(AL35:AP35)</f>
        <v>0</v>
      </c>
      <c r="AT35" s="723"/>
      <c r="AU35" s="712"/>
      <c r="AV35" s="723"/>
      <c r="AW35" s="712"/>
      <c r="AX35" s="712">
        <v>0</v>
      </c>
      <c r="AY35" s="712"/>
      <c r="AZ35" s="605">
        <f>+AL35-AT35</f>
        <v>0</v>
      </c>
      <c r="BA35" s="712"/>
      <c r="BB35" s="605">
        <f>+AN35-AV35</f>
        <v>0</v>
      </c>
      <c r="BC35" s="712"/>
      <c r="BD35" s="605">
        <f>+AP35-AX35</f>
        <v>0</v>
      </c>
      <c r="BE35" s="712"/>
      <c r="BF35" s="712">
        <f t="shared" ref="BF35:BF39" si="58">SUM(AZ35:BD35)</f>
        <v>0</v>
      </c>
      <c r="BG35" s="712"/>
      <c r="BH35" s="712">
        <f>+BF35*$BH$9</f>
        <v>0</v>
      </c>
      <c r="BJ35" s="590">
        <f t="shared" si="54"/>
        <v>301</v>
      </c>
    </row>
    <row r="36" spans="1:62">
      <c r="A36" s="590">
        <f t="shared" si="55"/>
        <v>302</v>
      </c>
      <c r="B36" s="634" t="s">
        <v>1777</v>
      </c>
      <c r="D36" s="705" t="s">
        <v>1764</v>
      </c>
      <c r="F36" s="715" t="s">
        <v>1753</v>
      </c>
      <c r="H36" s="723"/>
      <c r="J36" s="723"/>
      <c r="K36" s="712"/>
      <c r="L36" s="723"/>
      <c r="M36" s="712"/>
      <c r="N36" s="723"/>
      <c r="O36" s="712"/>
      <c r="R36" s="706" t="s">
        <v>1749</v>
      </c>
      <c r="T36" s="712">
        <f t="shared" si="56"/>
        <v>0</v>
      </c>
      <c r="U36" s="712"/>
      <c r="V36" s="712">
        <v>0</v>
      </c>
      <c r="W36" s="712"/>
      <c r="X36" s="712">
        <v>0</v>
      </c>
      <c r="Y36" s="712"/>
      <c r="Z36" s="712">
        <f t="shared" ref="Z36:Z39" si="59">SUM(T36:X36)</f>
        <v>0</v>
      </c>
      <c r="AA36" s="712"/>
      <c r="AB36" s="712"/>
      <c r="AC36" s="712"/>
      <c r="AD36" s="723"/>
      <c r="AE36" s="712"/>
      <c r="AF36" s="723"/>
      <c r="AG36" s="712"/>
      <c r="AH36" s="712">
        <v>0</v>
      </c>
      <c r="AI36" s="712"/>
      <c r="AJ36" s="712"/>
      <c r="AK36" s="712"/>
      <c r="AL36" s="605">
        <f t="shared" ref="AL36:AP39" si="60">+T36-AD36</f>
        <v>0</v>
      </c>
      <c r="AM36" s="712"/>
      <c r="AN36" s="605">
        <f t="shared" si="60"/>
        <v>0</v>
      </c>
      <c r="AO36" s="712"/>
      <c r="AP36" s="605">
        <f t="shared" si="60"/>
        <v>0</v>
      </c>
      <c r="AQ36" s="712"/>
      <c r="AR36" s="712">
        <f t="shared" si="57"/>
        <v>0</v>
      </c>
      <c r="AT36" s="723"/>
      <c r="AU36" s="712"/>
      <c r="AV36" s="723"/>
      <c r="AW36" s="712"/>
      <c r="AX36" s="712">
        <v>0</v>
      </c>
      <c r="AY36" s="712"/>
      <c r="AZ36" s="605">
        <f t="shared" ref="AZ36:BD39" si="61">+AL36-AT36</f>
        <v>0</v>
      </c>
      <c r="BA36" s="712"/>
      <c r="BB36" s="605">
        <f t="shared" si="61"/>
        <v>0</v>
      </c>
      <c r="BC36" s="712"/>
      <c r="BD36" s="605">
        <f t="shared" si="61"/>
        <v>0</v>
      </c>
      <c r="BE36" s="712"/>
      <c r="BF36" s="712">
        <f t="shared" si="58"/>
        <v>0</v>
      </c>
      <c r="BG36" s="712"/>
      <c r="BH36" s="712">
        <f>+BF36*$BH$9</f>
        <v>0</v>
      </c>
      <c r="BJ36" s="590">
        <f t="shared" si="54"/>
        <v>302</v>
      </c>
    </row>
    <row r="37" spans="1:62">
      <c r="A37" s="590">
        <f t="shared" si="55"/>
        <v>303</v>
      </c>
      <c r="B37" s="634" t="s">
        <v>1777</v>
      </c>
      <c r="D37" s="705" t="s">
        <v>1764</v>
      </c>
      <c r="F37" s="715" t="s">
        <v>1753</v>
      </c>
      <c r="H37" s="723"/>
      <c r="J37" s="723"/>
      <c r="K37" s="712"/>
      <c r="L37" s="723"/>
      <c r="M37" s="712"/>
      <c r="N37" s="723"/>
      <c r="O37" s="712"/>
      <c r="R37" s="706" t="s">
        <v>1749</v>
      </c>
      <c r="T37" s="712">
        <f t="shared" si="56"/>
        <v>0</v>
      </c>
      <c r="U37" s="712"/>
      <c r="V37" s="712">
        <v>0</v>
      </c>
      <c r="W37" s="712"/>
      <c r="X37" s="712">
        <v>0</v>
      </c>
      <c r="Y37" s="712"/>
      <c r="Z37" s="712">
        <f t="shared" si="59"/>
        <v>0</v>
      </c>
      <c r="AA37" s="712"/>
      <c r="AB37" s="712"/>
      <c r="AC37" s="712"/>
      <c r="AD37" s="723"/>
      <c r="AE37" s="712"/>
      <c r="AF37" s="723"/>
      <c r="AG37" s="712"/>
      <c r="AH37" s="712">
        <v>0</v>
      </c>
      <c r="AI37" s="712"/>
      <c r="AJ37" s="712"/>
      <c r="AK37" s="712"/>
      <c r="AL37" s="605">
        <f t="shared" si="60"/>
        <v>0</v>
      </c>
      <c r="AM37" s="712"/>
      <c r="AN37" s="605">
        <f t="shared" si="60"/>
        <v>0</v>
      </c>
      <c r="AO37" s="712"/>
      <c r="AP37" s="605">
        <f t="shared" si="60"/>
        <v>0</v>
      </c>
      <c r="AQ37" s="712"/>
      <c r="AR37" s="712">
        <f t="shared" si="57"/>
        <v>0</v>
      </c>
      <c r="AT37" s="723"/>
      <c r="AU37" s="712"/>
      <c r="AV37" s="723"/>
      <c r="AW37" s="712"/>
      <c r="AX37" s="712">
        <v>0</v>
      </c>
      <c r="AY37" s="712"/>
      <c r="AZ37" s="605">
        <f t="shared" si="61"/>
        <v>0</v>
      </c>
      <c r="BA37" s="712"/>
      <c r="BB37" s="605">
        <f t="shared" si="61"/>
        <v>0</v>
      </c>
      <c r="BC37" s="712"/>
      <c r="BD37" s="605">
        <f t="shared" si="61"/>
        <v>0</v>
      </c>
      <c r="BE37" s="712"/>
      <c r="BF37" s="712">
        <f t="shared" si="58"/>
        <v>0</v>
      </c>
      <c r="BG37" s="712"/>
      <c r="BH37" s="712">
        <f>+BF37*$BH$9</f>
        <v>0</v>
      </c>
      <c r="BJ37" s="590">
        <f t="shared" si="54"/>
        <v>303</v>
      </c>
    </row>
    <row r="38" spans="1:62">
      <c r="A38" s="590">
        <f t="shared" si="55"/>
        <v>304</v>
      </c>
      <c r="B38" s="730" t="s">
        <v>632</v>
      </c>
      <c r="H38" s="723"/>
      <c r="J38" s="723"/>
      <c r="K38" s="712"/>
      <c r="L38" s="723"/>
      <c r="M38" s="712"/>
      <c r="N38" s="723"/>
      <c r="O38" s="712"/>
      <c r="T38" s="712">
        <f t="shared" si="56"/>
        <v>0</v>
      </c>
      <c r="U38" s="712"/>
      <c r="V38" s="712">
        <v>0</v>
      </c>
      <c r="W38" s="712"/>
      <c r="X38" s="712">
        <v>0</v>
      </c>
      <c r="Y38" s="712"/>
      <c r="Z38" s="712">
        <f t="shared" si="59"/>
        <v>0</v>
      </c>
      <c r="AA38" s="712"/>
      <c r="AB38" s="712"/>
      <c r="AC38" s="712"/>
      <c r="AD38" s="723"/>
      <c r="AE38" s="712"/>
      <c r="AF38" s="723"/>
      <c r="AG38" s="712"/>
      <c r="AH38" s="712">
        <v>0</v>
      </c>
      <c r="AI38" s="712"/>
      <c r="AJ38" s="712"/>
      <c r="AK38" s="712"/>
      <c r="AL38" s="605">
        <f t="shared" si="60"/>
        <v>0</v>
      </c>
      <c r="AM38" s="712"/>
      <c r="AN38" s="605">
        <f t="shared" si="60"/>
        <v>0</v>
      </c>
      <c r="AO38" s="712"/>
      <c r="AP38" s="605">
        <f t="shared" si="60"/>
        <v>0</v>
      </c>
      <c r="AQ38" s="712"/>
      <c r="AR38" s="712">
        <f t="shared" si="57"/>
        <v>0</v>
      </c>
      <c r="AT38" s="723"/>
      <c r="AU38" s="712"/>
      <c r="AV38" s="723"/>
      <c r="AW38" s="712"/>
      <c r="AX38" s="712">
        <v>0</v>
      </c>
      <c r="AY38" s="712"/>
      <c r="AZ38" s="605">
        <f t="shared" si="61"/>
        <v>0</v>
      </c>
      <c r="BA38" s="712"/>
      <c r="BB38" s="605">
        <f t="shared" si="61"/>
        <v>0</v>
      </c>
      <c r="BC38" s="712"/>
      <c r="BD38" s="605">
        <f t="shared" si="61"/>
        <v>0</v>
      </c>
      <c r="BE38" s="712"/>
      <c r="BF38" s="712">
        <f t="shared" si="58"/>
        <v>0</v>
      </c>
      <c r="BG38" s="712"/>
      <c r="BH38" s="712">
        <f>+BF38*$BH$9</f>
        <v>0</v>
      </c>
      <c r="BJ38" s="590">
        <f t="shared" si="54"/>
        <v>304</v>
      </c>
    </row>
    <row r="39" spans="1:62">
      <c r="A39" s="590">
        <f>+A38+1</f>
        <v>305</v>
      </c>
      <c r="B39" s="730" t="s">
        <v>632</v>
      </c>
      <c r="H39" s="723"/>
      <c r="J39" s="723"/>
      <c r="K39" s="712"/>
      <c r="L39" s="723"/>
      <c r="M39" s="712"/>
      <c r="N39" s="723"/>
      <c r="O39" s="712"/>
      <c r="T39" s="712">
        <f t="shared" si="56"/>
        <v>0</v>
      </c>
      <c r="U39" s="712"/>
      <c r="V39" s="712">
        <v>0</v>
      </c>
      <c r="W39" s="712"/>
      <c r="X39" s="712">
        <v>0</v>
      </c>
      <c r="Y39" s="712"/>
      <c r="Z39" s="712">
        <f t="shared" si="59"/>
        <v>0</v>
      </c>
      <c r="AA39" s="712"/>
      <c r="AB39" s="712"/>
      <c r="AC39" s="712"/>
      <c r="AD39" s="723"/>
      <c r="AE39" s="712"/>
      <c r="AF39" s="723"/>
      <c r="AG39" s="712"/>
      <c r="AH39" s="712">
        <v>0</v>
      </c>
      <c r="AI39" s="712"/>
      <c r="AJ39" s="712"/>
      <c r="AK39" s="712"/>
      <c r="AL39" s="605">
        <f t="shared" si="60"/>
        <v>0</v>
      </c>
      <c r="AM39" s="712"/>
      <c r="AN39" s="605">
        <f t="shared" si="60"/>
        <v>0</v>
      </c>
      <c r="AO39" s="712"/>
      <c r="AP39" s="605">
        <f t="shared" si="60"/>
        <v>0</v>
      </c>
      <c r="AQ39" s="712"/>
      <c r="AR39" s="712">
        <f t="shared" si="57"/>
        <v>0</v>
      </c>
      <c r="AT39" s="723"/>
      <c r="AU39" s="712"/>
      <c r="AV39" s="723"/>
      <c r="AW39" s="712"/>
      <c r="AX39" s="712">
        <v>0</v>
      </c>
      <c r="AY39" s="712"/>
      <c r="AZ39" s="605">
        <f t="shared" si="61"/>
        <v>0</v>
      </c>
      <c r="BA39" s="712"/>
      <c r="BB39" s="605">
        <f t="shared" si="61"/>
        <v>0</v>
      </c>
      <c r="BC39" s="712"/>
      <c r="BD39" s="605">
        <f t="shared" si="61"/>
        <v>0</v>
      </c>
      <c r="BE39" s="712"/>
      <c r="BF39" s="712">
        <f t="shared" si="58"/>
        <v>0</v>
      </c>
      <c r="BG39" s="712"/>
      <c r="BH39" s="712">
        <f>+BF39*$BH$9</f>
        <v>0</v>
      </c>
      <c r="BJ39" s="590">
        <f t="shared" si="54"/>
        <v>305</v>
      </c>
    </row>
    <row r="40" spans="1:62">
      <c r="A40" s="590"/>
      <c r="B40" s="706"/>
      <c r="H40" s="712"/>
      <c r="J40" s="712"/>
      <c r="K40" s="712"/>
      <c r="L40" s="712"/>
      <c r="M40" s="712"/>
      <c r="N40" s="712"/>
      <c r="O40" s="712"/>
      <c r="T40" s="712"/>
      <c r="U40" s="712"/>
      <c r="V40" s="712"/>
      <c r="W40" s="712"/>
      <c r="X40" s="712"/>
      <c r="Y40" s="712"/>
      <c r="Z40" s="712"/>
      <c r="AA40" s="712"/>
      <c r="AB40" s="712"/>
      <c r="AC40" s="712"/>
      <c r="AD40" s="712"/>
      <c r="AE40" s="712"/>
      <c r="AF40" s="712"/>
      <c r="AG40" s="712"/>
      <c r="AH40" s="712"/>
      <c r="AI40" s="712"/>
      <c r="AJ40" s="712"/>
      <c r="AK40" s="712"/>
      <c r="AL40" s="712"/>
      <c r="AM40" s="712"/>
      <c r="AN40" s="712"/>
      <c r="AO40" s="712"/>
      <c r="AP40" s="712"/>
      <c r="AQ40" s="712"/>
      <c r="AR40" s="712"/>
      <c r="AT40" s="712"/>
      <c r="AU40" s="712"/>
      <c r="AV40" s="712"/>
      <c r="AW40" s="712"/>
      <c r="AX40" s="712"/>
      <c r="AY40" s="712"/>
      <c r="AZ40" s="712"/>
      <c r="BA40" s="712"/>
      <c r="BB40" s="712"/>
      <c r="BC40" s="712"/>
      <c r="BD40" s="712"/>
      <c r="BE40" s="712"/>
      <c r="BF40" s="712"/>
      <c r="BG40" s="712"/>
      <c r="BH40" s="712"/>
      <c r="BJ40" s="590"/>
    </row>
    <row r="41" spans="1:62">
      <c r="A41" s="323" t="s">
        <v>122</v>
      </c>
      <c r="T41" s="712"/>
      <c r="U41" s="712"/>
      <c r="V41" s="712"/>
      <c r="W41" s="712"/>
      <c r="X41" s="712"/>
      <c r="Y41" s="712"/>
      <c r="Z41" s="712"/>
      <c r="AA41" s="712"/>
      <c r="AB41" s="712"/>
      <c r="AC41" s="712"/>
      <c r="AE41" s="712"/>
      <c r="AG41" s="712"/>
      <c r="AI41" s="712"/>
      <c r="AJ41" s="712"/>
      <c r="AK41" s="712"/>
      <c r="AL41" s="712"/>
      <c r="AM41" s="712"/>
      <c r="AN41" s="712"/>
      <c r="AO41" s="712"/>
      <c r="AP41" s="712"/>
      <c r="AQ41" s="712"/>
      <c r="AR41" s="712"/>
      <c r="AU41" s="712"/>
      <c r="AW41" s="712"/>
      <c r="AY41" s="712"/>
      <c r="AZ41" s="712"/>
      <c r="BA41" s="712"/>
      <c r="BB41" s="712"/>
      <c r="BC41" s="712"/>
      <c r="BD41" s="712"/>
      <c r="BE41" s="712"/>
      <c r="BF41" s="712"/>
      <c r="BG41" s="712"/>
      <c r="BJ41" s="323" t="s">
        <v>122</v>
      </c>
    </row>
    <row r="42" spans="1:62">
      <c r="A42" s="590">
        <v>400</v>
      </c>
      <c r="B42" s="702" t="s">
        <v>1557</v>
      </c>
      <c r="H42" s="721">
        <f>ROUND(SUM(H43:H99),0)</f>
        <v>0</v>
      </c>
      <c r="J42" s="721">
        <f>ROUND(SUM(J43:J99),0)</f>
        <v>0</v>
      </c>
      <c r="K42" s="712"/>
      <c r="L42" s="721">
        <f>ROUND(SUM(L43:L99),0)</f>
        <v>0</v>
      </c>
      <c r="M42" s="712"/>
      <c r="N42" s="721">
        <f>ROUND(SUM(N43:N99),0)</f>
        <v>0</v>
      </c>
      <c r="O42" s="712"/>
      <c r="Q42" s="590"/>
      <c r="R42" s="590"/>
      <c r="S42" s="590"/>
      <c r="T42" s="721">
        <f>ROUND(SUM(T43:T99),0)</f>
        <v>0</v>
      </c>
      <c r="U42" s="712"/>
      <c r="V42" s="721">
        <f>ROUND(SUM(V43:V99),0)</f>
        <v>0</v>
      </c>
      <c r="W42" s="712"/>
      <c r="X42" s="721">
        <f>ROUND(SUM(X43:X99),0)</f>
        <v>0</v>
      </c>
      <c r="Y42" s="712"/>
      <c r="Z42" s="721">
        <f>ROUND(SUM(Z43:Z99),0)</f>
        <v>0</v>
      </c>
      <c r="AA42" s="712"/>
      <c r="AB42" s="712"/>
      <c r="AC42" s="712"/>
      <c r="AD42" s="721">
        <f>SUM(AD43:AD99)</f>
        <v>0</v>
      </c>
      <c r="AE42" s="712"/>
      <c r="AF42" s="721">
        <f>SUM(AF43:AF99)</f>
        <v>0</v>
      </c>
      <c r="AG42" s="712"/>
      <c r="AH42" s="721">
        <f>SUM(AH43:AH99)</f>
        <v>0</v>
      </c>
      <c r="AI42" s="712"/>
      <c r="AJ42" s="712"/>
      <c r="AK42" s="712"/>
      <c r="AL42" s="721">
        <f>SUM(AL43:AL99)</f>
        <v>0</v>
      </c>
      <c r="AM42" s="712"/>
      <c r="AN42" s="721">
        <f>SUM(AN43:AN99)</f>
        <v>0</v>
      </c>
      <c r="AO42" s="712"/>
      <c r="AP42" s="721">
        <f>SUM(AP43:AP99)</f>
        <v>0</v>
      </c>
      <c r="AQ42" s="712"/>
      <c r="AR42" s="721">
        <f>SUM(AR43:AR99)</f>
        <v>0</v>
      </c>
      <c r="AT42" s="721">
        <f>SUM(AT43:AT99)</f>
        <v>0</v>
      </c>
      <c r="AU42" s="712"/>
      <c r="AV42" s="721">
        <f>SUM(AV43:AV99)</f>
        <v>0</v>
      </c>
      <c r="AW42" s="712"/>
      <c r="AX42" s="721">
        <f>SUM(AX43:AX99)</f>
        <v>0</v>
      </c>
      <c r="AY42" s="712"/>
      <c r="AZ42" s="721">
        <f>SUM(AZ43:AZ99)</f>
        <v>0</v>
      </c>
      <c r="BA42" s="712"/>
      <c r="BB42" s="721">
        <f>SUM(BB43:BB99)</f>
        <v>0</v>
      </c>
      <c r="BC42" s="712"/>
      <c r="BD42" s="721">
        <f>SUM(BD43:BD99)</f>
        <v>0</v>
      </c>
      <c r="BE42" s="712"/>
      <c r="BF42" s="721">
        <f>SUM(BF43:BF99)</f>
        <v>0</v>
      </c>
      <c r="BG42" s="712"/>
      <c r="BH42" s="721">
        <f>ROUND(SUM(BH43:BH99),0)</f>
        <v>0</v>
      </c>
      <c r="BJ42" s="590">
        <f t="shared" ref="BJ42:BJ99" si="62">A42</f>
        <v>400</v>
      </c>
    </row>
    <row r="43" spans="1:62">
      <c r="A43" s="590">
        <f t="shared" ref="A43:A99" si="63">A42+1</f>
        <v>401</v>
      </c>
      <c r="B43" s="729" t="s">
        <v>1778</v>
      </c>
      <c r="F43" s="715" t="s">
        <v>1753</v>
      </c>
      <c r="H43" s="723"/>
      <c r="J43" s="723"/>
      <c r="K43" s="712"/>
      <c r="L43" s="723"/>
      <c r="M43" s="712"/>
      <c r="N43" s="723"/>
      <c r="O43" s="712"/>
      <c r="R43" s="713" t="s">
        <v>1749</v>
      </c>
      <c r="T43" s="712">
        <v>0</v>
      </c>
      <c r="U43" s="712"/>
      <c r="V43" s="712">
        <f>N43</f>
        <v>0</v>
      </c>
      <c r="W43" s="712"/>
      <c r="X43" s="712">
        <v>0</v>
      </c>
      <c r="Y43" s="712"/>
      <c r="Z43" s="712">
        <f>SUM(T43:X43)</f>
        <v>0</v>
      </c>
      <c r="AA43" s="712"/>
      <c r="AB43" s="607" t="s">
        <v>1548</v>
      </c>
      <c r="AC43" s="712"/>
      <c r="AD43" s="712">
        <v>0</v>
      </c>
      <c r="AE43" s="712"/>
      <c r="AF43" s="723"/>
      <c r="AG43" s="712"/>
      <c r="AH43" s="712">
        <v>0</v>
      </c>
      <c r="AI43" s="712"/>
      <c r="AJ43" s="607" t="s">
        <v>1759</v>
      </c>
      <c r="AK43" s="712"/>
      <c r="AL43" s="605">
        <f>+T43-AD43</f>
        <v>0</v>
      </c>
      <c r="AM43" s="712"/>
      <c r="AN43" s="605">
        <f>+V43-AF43</f>
        <v>0</v>
      </c>
      <c r="AO43" s="712"/>
      <c r="AP43" s="605">
        <f>+X43-AH43</f>
        <v>0</v>
      </c>
      <c r="AQ43" s="712"/>
      <c r="AR43" s="712">
        <f t="shared" ref="AR43:AR99" si="64">SUM(AL43:AP43)</f>
        <v>0</v>
      </c>
      <c r="AT43" s="712">
        <v>0</v>
      </c>
      <c r="AU43" s="712"/>
      <c r="AV43" s="723"/>
      <c r="AW43" s="712"/>
      <c r="AX43" s="712">
        <v>0</v>
      </c>
      <c r="AY43" s="712"/>
      <c r="AZ43" s="605">
        <f>+AL43-AT43</f>
        <v>0</v>
      </c>
      <c r="BA43" s="712"/>
      <c r="BB43" s="605">
        <f>+AN43-AV43</f>
        <v>0</v>
      </c>
      <c r="BC43" s="712"/>
      <c r="BD43" s="605">
        <f>+AP43-AX43</f>
        <v>0</v>
      </c>
      <c r="BE43" s="712"/>
      <c r="BF43" s="712">
        <f t="shared" ref="BF43:BF99" si="65">SUM(AZ43:BD43)</f>
        <v>0</v>
      </c>
      <c r="BG43" s="712"/>
      <c r="BH43" s="712">
        <f t="shared" ref="BH43:BH99" si="66">+BF43*$BH$9</f>
        <v>0</v>
      </c>
      <c r="BJ43" s="590">
        <f t="shared" si="62"/>
        <v>401</v>
      </c>
    </row>
    <row r="44" spans="1:62">
      <c r="A44" s="590">
        <f t="shared" si="63"/>
        <v>402</v>
      </c>
      <c r="B44" s="729" t="s">
        <v>1779</v>
      </c>
      <c r="F44" s="715" t="s">
        <v>1753</v>
      </c>
      <c r="H44" s="723"/>
      <c r="J44" s="723"/>
      <c r="K44" s="712"/>
      <c r="L44" s="723"/>
      <c r="M44" s="712"/>
      <c r="N44" s="723"/>
      <c r="O44" s="712"/>
      <c r="R44" s="713" t="s">
        <v>1749</v>
      </c>
      <c r="T44" s="712">
        <v>0</v>
      </c>
      <c r="U44" s="712"/>
      <c r="V44" s="712">
        <f t="shared" ref="V44:V99" si="67">N44</f>
        <v>0</v>
      </c>
      <c r="W44" s="712"/>
      <c r="X44" s="712">
        <v>0</v>
      </c>
      <c r="Y44" s="712"/>
      <c r="Z44" s="712">
        <f t="shared" ref="Z44:Z104" si="68">SUM(T44:X44)</f>
        <v>0</v>
      </c>
      <c r="AA44" s="712"/>
      <c r="AB44" s="607" t="s">
        <v>1548</v>
      </c>
      <c r="AC44" s="712"/>
      <c r="AD44" s="712">
        <v>0</v>
      </c>
      <c r="AE44" s="712"/>
      <c r="AF44" s="723"/>
      <c r="AG44" s="712"/>
      <c r="AH44" s="712">
        <v>0</v>
      </c>
      <c r="AI44" s="712"/>
      <c r="AJ44" s="607" t="s">
        <v>1759</v>
      </c>
      <c r="AK44" s="712"/>
      <c r="AL44" s="605">
        <f t="shared" ref="AL44:AP99" si="69">+T44-AD44</f>
        <v>0</v>
      </c>
      <c r="AM44" s="712"/>
      <c r="AN44" s="605">
        <f t="shared" si="69"/>
        <v>0</v>
      </c>
      <c r="AO44" s="712"/>
      <c r="AP44" s="605">
        <f t="shared" si="69"/>
        <v>0</v>
      </c>
      <c r="AQ44" s="712"/>
      <c r="AR44" s="712">
        <f t="shared" si="64"/>
        <v>0</v>
      </c>
      <c r="AT44" s="712">
        <v>0</v>
      </c>
      <c r="AU44" s="712"/>
      <c r="AV44" s="723"/>
      <c r="AW44" s="712"/>
      <c r="AX44" s="712">
        <v>0</v>
      </c>
      <c r="AY44" s="712"/>
      <c r="AZ44" s="605">
        <f t="shared" ref="AZ44:AZ99" si="70">+AL44-AT44</f>
        <v>0</v>
      </c>
      <c r="BA44" s="712"/>
      <c r="BB44" s="605">
        <f t="shared" ref="BB44:BB99" si="71">+AN44-AV44</f>
        <v>0</v>
      </c>
      <c r="BC44" s="712"/>
      <c r="BD44" s="605">
        <f t="shared" ref="BD44:BD99" si="72">+AP44-AX44</f>
        <v>0</v>
      </c>
      <c r="BE44" s="712"/>
      <c r="BF44" s="712">
        <f t="shared" si="65"/>
        <v>0</v>
      </c>
      <c r="BG44" s="712"/>
      <c r="BH44" s="712">
        <f t="shared" si="66"/>
        <v>0</v>
      </c>
      <c r="BJ44" s="590">
        <f t="shared" si="62"/>
        <v>402</v>
      </c>
    </row>
    <row r="45" spans="1:62">
      <c r="A45" s="590">
        <f t="shared" si="63"/>
        <v>403</v>
      </c>
      <c r="B45" s="729" t="s">
        <v>1780</v>
      </c>
      <c r="F45" s="715" t="s">
        <v>1753</v>
      </c>
      <c r="H45" s="723"/>
      <c r="J45" s="723"/>
      <c r="K45" s="712"/>
      <c r="L45" s="723"/>
      <c r="M45" s="712"/>
      <c r="N45" s="723"/>
      <c r="O45" s="712"/>
      <c r="R45" s="713" t="s">
        <v>1749</v>
      </c>
      <c r="T45" s="712">
        <v>0</v>
      </c>
      <c r="U45" s="712"/>
      <c r="V45" s="712">
        <f t="shared" si="67"/>
        <v>0</v>
      </c>
      <c r="W45" s="712"/>
      <c r="X45" s="712">
        <v>0</v>
      </c>
      <c r="Y45" s="712"/>
      <c r="Z45" s="712">
        <f t="shared" si="68"/>
        <v>0</v>
      </c>
      <c r="AA45" s="712"/>
      <c r="AB45" s="607" t="s">
        <v>1548</v>
      </c>
      <c r="AC45" s="712"/>
      <c r="AD45" s="712">
        <v>0</v>
      </c>
      <c r="AE45" s="712"/>
      <c r="AF45" s="723"/>
      <c r="AG45" s="712"/>
      <c r="AH45" s="712">
        <v>0</v>
      </c>
      <c r="AI45" s="712"/>
      <c r="AJ45" s="607" t="s">
        <v>1759</v>
      </c>
      <c r="AK45" s="712"/>
      <c r="AL45" s="605">
        <f t="shared" si="69"/>
        <v>0</v>
      </c>
      <c r="AM45" s="712"/>
      <c r="AN45" s="605">
        <f t="shared" si="69"/>
        <v>0</v>
      </c>
      <c r="AO45" s="712"/>
      <c r="AP45" s="605">
        <f t="shared" si="69"/>
        <v>0</v>
      </c>
      <c r="AQ45" s="712"/>
      <c r="AR45" s="712">
        <f t="shared" si="64"/>
        <v>0</v>
      </c>
      <c r="AT45" s="712">
        <v>0</v>
      </c>
      <c r="AU45" s="712"/>
      <c r="AV45" s="723"/>
      <c r="AW45" s="712"/>
      <c r="AX45" s="712">
        <v>0</v>
      </c>
      <c r="AY45" s="712"/>
      <c r="AZ45" s="605">
        <f t="shared" si="70"/>
        <v>0</v>
      </c>
      <c r="BA45" s="712"/>
      <c r="BB45" s="605">
        <f t="shared" si="71"/>
        <v>0</v>
      </c>
      <c r="BC45" s="712"/>
      <c r="BD45" s="605">
        <f t="shared" si="72"/>
        <v>0</v>
      </c>
      <c r="BE45" s="712"/>
      <c r="BF45" s="712">
        <f t="shared" si="65"/>
        <v>0</v>
      </c>
      <c r="BG45" s="712"/>
      <c r="BH45" s="712">
        <f t="shared" si="66"/>
        <v>0</v>
      </c>
      <c r="BJ45" s="590">
        <f t="shared" si="62"/>
        <v>403</v>
      </c>
    </row>
    <row r="46" spans="1:62">
      <c r="A46" s="590">
        <f t="shared" si="63"/>
        <v>404</v>
      </c>
      <c r="B46" s="729" t="s">
        <v>1781</v>
      </c>
      <c r="F46" s="715" t="s">
        <v>1753</v>
      </c>
      <c r="H46" s="723"/>
      <c r="J46" s="723"/>
      <c r="K46" s="712"/>
      <c r="L46" s="723"/>
      <c r="M46" s="712"/>
      <c r="N46" s="723"/>
      <c r="O46" s="712"/>
      <c r="R46" s="713" t="s">
        <v>1749</v>
      </c>
      <c r="T46" s="712">
        <v>0</v>
      </c>
      <c r="U46" s="712"/>
      <c r="V46" s="712">
        <f t="shared" si="67"/>
        <v>0</v>
      </c>
      <c r="W46" s="712"/>
      <c r="X46" s="712">
        <v>0</v>
      </c>
      <c r="Y46" s="712"/>
      <c r="Z46" s="712">
        <f t="shared" si="68"/>
        <v>0</v>
      </c>
      <c r="AA46" s="712"/>
      <c r="AB46" s="607" t="s">
        <v>1548</v>
      </c>
      <c r="AC46" s="712"/>
      <c r="AD46" s="712">
        <v>0</v>
      </c>
      <c r="AE46" s="712"/>
      <c r="AF46" s="723"/>
      <c r="AG46" s="712"/>
      <c r="AH46" s="712">
        <v>0</v>
      </c>
      <c r="AI46" s="712"/>
      <c r="AJ46" s="607" t="s">
        <v>1759</v>
      </c>
      <c r="AK46" s="712"/>
      <c r="AL46" s="605">
        <f t="shared" si="69"/>
        <v>0</v>
      </c>
      <c r="AM46" s="712"/>
      <c r="AN46" s="605">
        <f t="shared" si="69"/>
        <v>0</v>
      </c>
      <c r="AO46" s="712"/>
      <c r="AP46" s="605">
        <f t="shared" si="69"/>
        <v>0</v>
      </c>
      <c r="AQ46" s="712"/>
      <c r="AR46" s="712">
        <f t="shared" si="64"/>
        <v>0</v>
      </c>
      <c r="AT46" s="712">
        <v>0</v>
      </c>
      <c r="AU46" s="712"/>
      <c r="AV46" s="723"/>
      <c r="AW46" s="712"/>
      <c r="AX46" s="712">
        <v>0</v>
      </c>
      <c r="AY46" s="712"/>
      <c r="AZ46" s="605">
        <f t="shared" si="70"/>
        <v>0</v>
      </c>
      <c r="BA46" s="712"/>
      <c r="BB46" s="605">
        <f t="shared" si="71"/>
        <v>0</v>
      </c>
      <c r="BC46" s="712"/>
      <c r="BD46" s="605">
        <f t="shared" si="72"/>
        <v>0</v>
      </c>
      <c r="BE46" s="712"/>
      <c r="BF46" s="712">
        <f t="shared" si="65"/>
        <v>0</v>
      </c>
      <c r="BG46" s="712"/>
      <c r="BH46" s="712">
        <f t="shared" si="66"/>
        <v>0</v>
      </c>
      <c r="BJ46" s="590">
        <f t="shared" si="62"/>
        <v>404</v>
      </c>
    </row>
    <row r="47" spans="1:62">
      <c r="A47" s="590">
        <f t="shared" si="63"/>
        <v>405</v>
      </c>
      <c r="B47" s="729" t="s">
        <v>1782</v>
      </c>
      <c r="F47" s="715" t="s">
        <v>1753</v>
      </c>
      <c r="H47" s="723"/>
      <c r="J47" s="723"/>
      <c r="K47" s="712"/>
      <c r="L47" s="723"/>
      <c r="M47" s="712"/>
      <c r="N47" s="723"/>
      <c r="O47" s="712"/>
      <c r="R47" s="713" t="s">
        <v>1749</v>
      </c>
      <c r="T47" s="712">
        <v>0</v>
      </c>
      <c r="U47" s="712"/>
      <c r="V47" s="712">
        <f t="shared" si="67"/>
        <v>0</v>
      </c>
      <c r="W47" s="712"/>
      <c r="X47" s="712">
        <v>0</v>
      </c>
      <c r="Y47" s="712"/>
      <c r="Z47" s="712">
        <f t="shared" si="68"/>
        <v>0</v>
      </c>
      <c r="AA47" s="712"/>
      <c r="AB47" s="607" t="s">
        <v>1548</v>
      </c>
      <c r="AC47" s="712"/>
      <c r="AD47" s="712">
        <v>0</v>
      </c>
      <c r="AE47" s="712"/>
      <c r="AF47" s="723"/>
      <c r="AG47" s="712"/>
      <c r="AH47" s="712">
        <v>0</v>
      </c>
      <c r="AI47" s="712"/>
      <c r="AJ47" s="607" t="s">
        <v>1759</v>
      </c>
      <c r="AK47" s="712"/>
      <c r="AL47" s="605">
        <f t="shared" si="69"/>
        <v>0</v>
      </c>
      <c r="AM47" s="712"/>
      <c r="AN47" s="605">
        <f t="shared" si="69"/>
        <v>0</v>
      </c>
      <c r="AO47" s="712"/>
      <c r="AP47" s="605">
        <f t="shared" si="69"/>
        <v>0</v>
      </c>
      <c r="AQ47" s="712"/>
      <c r="AR47" s="712">
        <f t="shared" si="64"/>
        <v>0</v>
      </c>
      <c r="AT47" s="712">
        <v>0</v>
      </c>
      <c r="AU47" s="712"/>
      <c r="AV47" s="723"/>
      <c r="AW47" s="712"/>
      <c r="AX47" s="712">
        <v>0</v>
      </c>
      <c r="AY47" s="712"/>
      <c r="AZ47" s="605">
        <f t="shared" si="70"/>
        <v>0</v>
      </c>
      <c r="BA47" s="712"/>
      <c r="BB47" s="605">
        <f t="shared" si="71"/>
        <v>0</v>
      </c>
      <c r="BC47" s="712"/>
      <c r="BD47" s="605">
        <f t="shared" si="72"/>
        <v>0</v>
      </c>
      <c r="BE47" s="712"/>
      <c r="BF47" s="712">
        <f t="shared" si="65"/>
        <v>0</v>
      </c>
      <c r="BG47" s="712"/>
      <c r="BH47" s="712">
        <f t="shared" si="66"/>
        <v>0</v>
      </c>
      <c r="BJ47" s="590">
        <f t="shared" si="62"/>
        <v>405</v>
      </c>
    </row>
    <row r="48" spans="1:62">
      <c r="A48" s="590">
        <f t="shared" si="63"/>
        <v>406</v>
      </c>
      <c r="B48" s="729" t="s">
        <v>1783</v>
      </c>
      <c r="F48" s="715" t="s">
        <v>1753</v>
      </c>
      <c r="H48" s="723"/>
      <c r="J48" s="723"/>
      <c r="K48" s="712"/>
      <c r="L48" s="723"/>
      <c r="M48" s="712"/>
      <c r="N48" s="723"/>
      <c r="O48" s="712"/>
      <c r="R48" s="713" t="s">
        <v>1749</v>
      </c>
      <c r="T48" s="712">
        <v>0</v>
      </c>
      <c r="U48" s="712"/>
      <c r="V48" s="712">
        <f t="shared" si="67"/>
        <v>0</v>
      </c>
      <c r="W48" s="712"/>
      <c r="X48" s="712">
        <v>0</v>
      </c>
      <c r="Y48" s="712"/>
      <c r="Z48" s="712">
        <f t="shared" si="68"/>
        <v>0</v>
      </c>
      <c r="AA48" s="712"/>
      <c r="AB48" s="607" t="s">
        <v>1548</v>
      </c>
      <c r="AC48" s="712"/>
      <c r="AD48" s="712">
        <v>0</v>
      </c>
      <c r="AE48" s="712"/>
      <c r="AF48" s="723"/>
      <c r="AG48" s="712"/>
      <c r="AH48" s="712">
        <v>0</v>
      </c>
      <c r="AI48" s="712"/>
      <c r="AJ48" s="607" t="s">
        <v>1759</v>
      </c>
      <c r="AK48" s="712"/>
      <c r="AL48" s="605">
        <f t="shared" si="69"/>
        <v>0</v>
      </c>
      <c r="AM48" s="712"/>
      <c r="AN48" s="605">
        <f t="shared" si="69"/>
        <v>0</v>
      </c>
      <c r="AO48" s="712"/>
      <c r="AP48" s="605">
        <f t="shared" si="69"/>
        <v>0</v>
      </c>
      <c r="AQ48" s="712"/>
      <c r="AR48" s="712">
        <f t="shared" si="64"/>
        <v>0</v>
      </c>
      <c r="AT48" s="712">
        <v>0</v>
      </c>
      <c r="AU48" s="712"/>
      <c r="AV48" s="723"/>
      <c r="AW48" s="712"/>
      <c r="AX48" s="712">
        <v>0</v>
      </c>
      <c r="AY48" s="712"/>
      <c r="AZ48" s="605">
        <f t="shared" si="70"/>
        <v>0</v>
      </c>
      <c r="BA48" s="712"/>
      <c r="BB48" s="605">
        <f t="shared" si="71"/>
        <v>0</v>
      </c>
      <c r="BC48" s="712"/>
      <c r="BD48" s="605">
        <f t="shared" si="72"/>
        <v>0</v>
      </c>
      <c r="BE48" s="712"/>
      <c r="BF48" s="712">
        <f t="shared" si="65"/>
        <v>0</v>
      </c>
      <c r="BG48" s="712"/>
      <c r="BH48" s="712">
        <f t="shared" si="66"/>
        <v>0</v>
      </c>
      <c r="BJ48" s="590">
        <f t="shared" si="62"/>
        <v>406</v>
      </c>
    </row>
    <row r="49" spans="1:62">
      <c r="A49" s="590">
        <f t="shared" si="63"/>
        <v>407</v>
      </c>
      <c r="B49" s="729" t="s">
        <v>1784</v>
      </c>
      <c r="F49" s="715" t="s">
        <v>1753</v>
      </c>
      <c r="H49" s="723"/>
      <c r="J49" s="723"/>
      <c r="K49" s="712"/>
      <c r="L49" s="723"/>
      <c r="M49" s="712"/>
      <c r="N49" s="723"/>
      <c r="O49" s="712"/>
      <c r="R49" s="713" t="s">
        <v>1749</v>
      </c>
      <c r="T49" s="712">
        <v>0</v>
      </c>
      <c r="U49" s="712"/>
      <c r="V49" s="712">
        <f t="shared" si="67"/>
        <v>0</v>
      </c>
      <c r="W49" s="712"/>
      <c r="X49" s="712">
        <v>0</v>
      </c>
      <c r="Y49" s="712"/>
      <c r="Z49" s="712">
        <f t="shared" si="68"/>
        <v>0</v>
      </c>
      <c r="AA49" s="712"/>
      <c r="AB49" s="607" t="s">
        <v>1548</v>
      </c>
      <c r="AC49" s="712"/>
      <c r="AD49" s="712">
        <v>0</v>
      </c>
      <c r="AE49" s="712"/>
      <c r="AF49" s="723"/>
      <c r="AG49" s="712"/>
      <c r="AH49" s="712">
        <v>0</v>
      </c>
      <c r="AI49" s="712"/>
      <c r="AJ49" s="607" t="s">
        <v>1759</v>
      </c>
      <c r="AK49" s="712"/>
      <c r="AL49" s="605">
        <f t="shared" si="69"/>
        <v>0</v>
      </c>
      <c r="AM49" s="712"/>
      <c r="AN49" s="605">
        <f t="shared" si="69"/>
        <v>0</v>
      </c>
      <c r="AO49" s="712"/>
      <c r="AP49" s="605">
        <f t="shared" si="69"/>
        <v>0</v>
      </c>
      <c r="AQ49" s="712"/>
      <c r="AR49" s="712">
        <f t="shared" si="64"/>
        <v>0</v>
      </c>
      <c r="AT49" s="712">
        <v>0</v>
      </c>
      <c r="AU49" s="712"/>
      <c r="AV49" s="723"/>
      <c r="AW49" s="712"/>
      <c r="AX49" s="712">
        <v>0</v>
      </c>
      <c r="AY49" s="712"/>
      <c r="AZ49" s="605">
        <f t="shared" si="70"/>
        <v>0</v>
      </c>
      <c r="BA49" s="712"/>
      <c r="BB49" s="605">
        <f t="shared" si="71"/>
        <v>0</v>
      </c>
      <c r="BC49" s="712"/>
      <c r="BD49" s="605">
        <f t="shared" si="72"/>
        <v>0</v>
      </c>
      <c r="BE49" s="712"/>
      <c r="BF49" s="712">
        <f t="shared" si="65"/>
        <v>0</v>
      </c>
      <c r="BG49" s="712"/>
      <c r="BH49" s="712">
        <f t="shared" si="66"/>
        <v>0</v>
      </c>
      <c r="BJ49" s="590">
        <f t="shared" si="62"/>
        <v>407</v>
      </c>
    </row>
    <row r="50" spans="1:62">
      <c r="A50" s="590">
        <f t="shared" si="63"/>
        <v>408</v>
      </c>
      <c r="B50" s="729" t="s">
        <v>1785</v>
      </c>
      <c r="F50" s="715" t="s">
        <v>1753</v>
      </c>
      <c r="H50" s="723"/>
      <c r="J50" s="723"/>
      <c r="K50" s="712"/>
      <c r="L50" s="723"/>
      <c r="M50" s="712"/>
      <c r="N50" s="723"/>
      <c r="O50" s="712"/>
      <c r="R50" s="713" t="s">
        <v>1749</v>
      </c>
      <c r="T50" s="712">
        <v>0</v>
      </c>
      <c r="U50" s="712"/>
      <c r="V50" s="712">
        <f t="shared" si="67"/>
        <v>0</v>
      </c>
      <c r="W50" s="712"/>
      <c r="X50" s="712">
        <v>0</v>
      </c>
      <c r="Y50" s="712"/>
      <c r="Z50" s="712">
        <f t="shared" si="68"/>
        <v>0</v>
      </c>
      <c r="AA50" s="712"/>
      <c r="AB50" s="607" t="s">
        <v>1548</v>
      </c>
      <c r="AC50" s="712"/>
      <c r="AD50" s="712">
        <v>0</v>
      </c>
      <c r="AE50" s="712"/>
      <c r="AF50" s="723"/>
      <c r="AG50" s="712"/>
      <c r="AH50" s="712">
        <v>0</v>
      </c>
      <c r="AI50" s="712"/>
      <c r="AJ50" s="607" t="s">
        <v>1759</v>
      </c>
      <c r="AK50" s="712"/>
      <c r="AL50" s="605">
        <f t="shared" si="69"/>
        <v>0</v>
      </c>
      <c r="AM50" s="712"/>
      <c r="AN50" s="605">
        <f t="shared" si="69"/>
        <v>0</v>
      </c>
      <c r="AO50" s="712"/>
      <c r="AP50" s="605">
        <f t="shared" si="69"/>
        <v>0</v>
      </c>
      <c r="AQ50" s="712"/>
      <c r="AR50" s="712">
        <f t="shared" si="64"/>
        <v>0</v>
      </c>
      <c r="AT50" s="712">
        <v>0</v>
      </c>
      <c r="AU50" s="712"/>
      <c r="AV50" s="723"/>
      <c r="AW50" s="712"/>
      <c r="AX50" s="712">
        <v>0</v>
      </c>
      <c r="AY50" s="712"/>
      <c r="AZ50" s="605">
        <f t="shared" si="70"/>
        <v>0</v>
      </c>
      <c r="BA50" s="712"/>
      <c r="BB50" s="605">
        <f t="shared" si="71"/>
        <v>0</v>
      </c>
      <c r="BC50" s="712"/>
      <c r="BD50" s="605">
        <f t="shared" si="72"/>
        <v>0</v>
      </c>
      <c r="BE50" s="712"/>
      <c r="BF50" s="712">
        <f t="shared" si="65"/>
        <v>0</v>
      </c>
      <c r="BG50" s="712"/>
      <c r="BH50" s="712">
        <f t="shared" si="66"/>
        <v>0</v>
      </c>
      <c r="BJ50" s="590">
        <f t="shared" si="62"/>
        <v>408</v>
      </c>
    </row>
    <row r="51" spans="1:62">
      <c r="A51" s="590">
        <f t="shared" si="63"/>
        <v>409</v>
      </c>
      <c r="B51" s="729" t="s">
        <v>1786</v>
      </c>
      <c r="F51" s="715" t="s">
        <v>1753</v>
      </c>
      <c r="H51" s="723"/>
      <c r="J51" s="723"/>
      <c r="K51" s="712"/>
      <c r="L51" s="723"/>
      <c r="M51" s="712"/>
      <c r="N51" s="723"/>
      <c r="O51" s="712"/>
      <c r="R51" s="713" t="s">
        <v>1749</v>
      </c>
      <c r="T51" s="712">
        <v>0</v>
      </c>
      <c r="U51" s="712"/>
      <c r="V51" s="712">
        <f t="shared" si="67"/>
        <v>0</v>
      </c>
      <c r="W51" s="712"/>
      <c r="X51" s="712">
        <v>0</v>
      </c>
      <c r="Y51" s="712"/>
      <c r="Z51" s="712">
        <f t="shared" si="68"/>
        <v>0</v>
      </c>
      <c r="AA51" s="712"/>
      <c r="AB51" s="607" t="s">
        <v>1548</v>
      </c>
      <c r="AC51" s="712"/>
      <c r="AD51" s="712">
        <v>0</v>
      </c>
      <c r="AE51" s="712"/>
      <c r="AF51" s="723"/>
      <c r="AG51" s="712"/>
      <c r="AH51" s="712">
        <v>0</v>
      </c>
      <c r="AI51" s="712"/>
      <c r="AJ51" s="607" t="s">
        <v>1759</v>
      </c>
      <c r="AK51" s="712"/>
      <c r="AL51" s="605">
        <f t="shared" si="69"/>
        <v>0</v>
      </c>
      <c r="AM51" s="712"/>
      <c r="AN51" s="605">
        <f t="shared" si="69"/>
        <v>0</v>
      </c>
      <c r="AO51" s="712"/>
      <c r="AP51" s="605">
        <f t="shared" si="69"/>
        <v>0</v>
      </c>
      <c r="AQ51" s="712"/>
      <c r="AR51" s="712">
        <f t="shared" si="64"/>
        <v>0</v>
      </c>
      <c r="AT51" s="712">
        <v>0</v>
      </c>
      <c r="AU51" s="712"/>
      <c r="AV51" s="723"/>
      <c r="AW51" s="712"/>
      <c r="AX51" s="712">
        <v>0</v>
      </c>
      <c r="AY51" s="712"/>
      <c r="AZ51" s="605">
        <f t="shared" si="70"/>
        <v>0</v>
      </c>
      <c r="BA51" s="712"/>
      <c r="BB51" s="605">
        <f t="shared" si="71"/>
        <v>0</v>
      </c>
      <c r="BC51" s="712"/>
      <c r="BD51" s="605">
        <f t="shared" si="72"/>
        <v>0</v>
      </c>
      <c r="BE51" s="712"/>
      <c r="BF51" s="712">
        <f t="shared" si="65"/>
        <v>0</v>
      </c>
      <c r="BG51" s="712"/>
      <c r="BH51" s="712">
        <f t="shared" si="66"/>
        <v>0</v>
      </c>
      <c r="BJ51" s="590">
        <f t="shared" si="62"/>
        <v>409</v>
      </c>
    </row>
    <row r="52" spans="1:62">
      <c r="A52" s="590">
        <f t="shared" si="63"/>
        <v>410</v>
      </c>
      <c r="B52" s="729" t="s">
        <v>1787</v>
      </c>
      <c r="F52" s="715" t="s">
        <v>1753</v>
      </c>
      <c r="H52" s="723"/>
      <c r="J52" s="723"/>
      <c r="K52" s="712"/>
      <c r="L52" s="723"/>
      <c r="M52" s="712"/>
      <c r="N52" s="723"/>
      <c r="O52" s="712"/>
      <c r="R52" s="713" t="s">
        <v>1749</v>
      </c>
      <c r="T52" s="712">
        <v>0</v>
      </c>
      <c r="U52" s="712"/>
      <c r="V52" s="712">
        <f t="shared" si="67"/>
        <v>0</v>
      </c>
      <c r="W52" s="712"/>
      <c r="X52" s="712">
        <v>0</v>
      </c>
      <c r="Y52" s="712"/>
      <c r="Z52" s="712">
        <f t="shared" si="68"/>
        <v>0</v>
      </c>
      <c r="AA52" s="712"/>
      <c r="AB52" s="607" t="s">
        <v>1548</v>
      </c>
      <c r="AC52" s="712"/>
      <c r="AD52" s="712">
        <v>0</v>
      </c>
      <c r="AE52" s="712"/>
      <c r="AF52" s="723"/>
      <c r="AG52" s="712"/>
      <c r="AH52" s="712">
        <v>0</v>
      </c>
      <c r="AI52" s="712"/>
      <c r="AJ52" s="607" t="s">
        <v>1759</v>
      </c>
      <c r="AK52" s="712"/>
      <c r="AL52" s="605">
        <f t="shared" si="69"/>
        <v>0</v>
      </c>
      <c r="AM52" s="712"/>
      <c r="AN52" s="605">
        <f t="shared" si="69"/>
        <v>0</v>
      </c>
      <c r="AO52" s="712"/>
      <c r="AP52" s="605">
        <f t="shared" si="69"/>
        <v>0</v>
      </c>
      <c r="AQ52" s="712"/>
      <c r="AR52" s="712">
        <f t="shared" si="64"/>
        <v>0</v>
      </c>
      <c r="AT52" s="712">
        <v>0</v>
      </c>
      <c r="AU52" s="712"/>
      <c r="AV52" s="723"/>
      <c r="AW52" s="712"/>
      <c r="AX52" s="712">
        <v>0</v>
      </c>
      <c r="AY52" s="712"/>
      <c r="AZ52" s="605">
        <f t="shared" si="70"/>
        <v>0</v>
      </c>
      <c r="BA52" s="712"/>
      <c r="BB52" s="605">
        <f t="shared" si="71"/>
        <v>0</v>
      </c>
      <c r="BC52" s="712"/>
      <c r="BD52" s="605">
        <f t="shared" si="72"/>
        <v>0</v>
      </c>
      <c r="BE52" s="712"/>
      <c r="BF52" s="712">
        <f t="shared" si="65"/>
        <v>0</v>
      </c>
      <c r="BG52" s="712"/>
      <c r="BH52" s="712">
        <f t="shared" si="66"/>
        <v>0</v>
      </c>
      <c r="BJ52" s="590">
        <f t="shared" si="62"/>
        <v>410</v>
      </c>
    </row>
    <row r="53" spans="1:62">
      <c r="A53" s="590">
        <f t="shared" si="63"/>
        <v>411</v>
      </c>
      <c r="B53" s="729" t="s">
        <v>1788</v>
      </c>
      <c r="F53" s="715" t="s">
        <v>1753</v>
      </c>
      <c r="H53" s="723"/>
      <c r="J53" s="723"/>
      <c r="K53" s="712"/>
      <c r="L53" s="723"/>
      <c r="M53" s="712"/>
      <c r="N53" s="723"/>
      <c r="O53" s="712"/>
      <c r="R53" s="713" t="s">
        <v>1749</v>
      </c>
      <c r="T53" s="712">
        <v>0</v>
      </c>
      <c r="U53" s="712"/>
      <c r="V53" s="712">
        <f t="shared" si="67"/>
        <v>0</v>
      </c>
      <c r="W53" s="712"/>
      <c r="X53" s="712">
        <v>0</v>
      </c>
      <c r="Y53" s="712"/>
      <c r="Z53" s="712">
        <f t="shared" si="68"/>
        <v>0</v>
      </c>
      <c r="AA53" s="712"/>
      <c r="AB53" s="607" t="s">
        <v>1548</v>
      </c>
      <c r="AC53" s="712"/>
      <c r="AD53" s="712">
        <v>0</v>
      </c>
      <c r="AE53" s="712"/>
      <c r="AF53" s="723"/>
      <c r="AG53" s="712"/>
      <c r="AH53" s="712">
        <v>0</v>
      </c>
      <c r="AI53" s="712"/>
      <c r="AJ53" s="607" t="s">
        <v>1759</v>
      </c>
      <c r="AK53" s="712"/>
      <c r="AL53" s="605">
        <f t="shared" si="69"/>
        <v>0</v>
      </c>
      <c r="AM53" s="712"/>
      <c r="AN53" s="605">
        <f t="shared" si="69"/>
        <v>0</v>
      </c>
      <c r="AO53" s="712"/>
      <c r="AP53" s="605">
        <f t="shared" si="69"/>
        <v>0</v>
      </c>
      <c r="AQ53" s="712"/>
      <c r="AR53" s="712">
        <f t="shared" si="64"/>
        <v>0</v>
      </c>
      <c r="AT53" s="712">
        <v>0</v>
      </c>
      <c r="AU53" s="712"/>
      <c r="AV53" s="723"/>
      <c r="AW53" s="712"/>
      <c r="AX53" s="712">
        <v>0</v>
      </c>
      <c r="AY53" s="712"/>
      <c r="AZ53" s="605">
        <f t="shared" si="70"/>
        <v>0</v>
      </c>
      <c r="BA53" s="712"/>
      <c r="BB53" s="605">
        <f t="shared" si="71"/>
        <v>0</v>
      </c>
      <c r="BC53" s="712"/>
      <c r="BD53" s="605">
        <f t="shared" si="72"/>
        <v>0</v>
      </c>
      <c r="BE53" s="712"/>
      <c r="BF53" s="712">
        <f t="shared" si="65"/>
        <v>0</v>
      </c>
      <c r="BG53" s="712"/>
      <c r="BH53" s="712">
        <f t="shared" si="66"/>
        <v>0</v>
      </c>
      <c r="BJ53" s="590">
        <f t="shared" si="62"/>
        <v>411</v>
      </c>
    </row>
    <row r="54" spans="1:62">
      <c r="A54" s="590">
        <f t="shared" si="63"/>
        <v>412</v>
      </c>
      <c r="B54" s="729" t="s">
        <v>1789</v>
      </c>
      <c r="F54" s="715" t="s">
        <v>1753</v>
      </c>
      <c r="H54" s="723"/>
      <c r="J54" s="723"/>
      <c r="K54" s="712"/>
      <c r="L54" s="723"/>
      <c r="M54" s="712"/>
      <c r="N54" s="723"/>
      <c r="O54" s="712"/>
      <c r="R54" s="713" t="s">
        <v>1749</v>
      </c>
      <c r="T54" s="712">
        <v>0</v>
      </c>
      <c r="U54" s="712"/>
      <c r="V54" s="712">
        <f t="shared" si="67"/>
        <v>0</v>
      </c>
      <c r="W54" s="712"/>
      <c r="X54" s="712">
        <v>0</v>
      </c>
      <c r="Y54" s="712"/>
      <c r="Z54" s="712">
        <f t="shared" si="68"/>
        <v>0</v>
      </c>
      <c r="AA54" s="712"/>
      <c r="AB54" s="607" t="s">
        <v>1548</v>
      </c>
      <c r="AC54" s="712"/>
      <c r="AD54" s="712">
        <v>0</v>
      </c>
      <c r="AE54" s="712"/>
      <c r="AF54" s="723"/>
      <c r="AG54" s="712"/>
      <c r="AH54" s="712">
        <v>0</v>
      </c>
      <c r="AI54" s="712"/>
      <c r="AJ54" s="607" t="s">
        <v>1759</v>
      </c>
      <c r="AK54" s="712"/>
      <c r="AL54" s="605">
        <f t="shared" si="69"/>
        <v>0</v>
      </c>
      <c r="AM54" s="712"/>
      <c r="AN54" s="605">
        <f t="shared" si="69"/>
        <v>0</v>
      </c>
      <c r="AO54" s="712"/>
      <c r="AP54" s="605">
        <f t="shared" si="69"/>
        <v>0</v>
      </c>
      <c r="AQ54" s="712"/>
      <c r="AR54" s="712">
        <f t="shared" si="64"/>
        <v>0</v>
      </c>
      <c r="AT54" s="712">
        <v>0</v>
      </c>
      <c r="AU54" s="712"/>
      <c r="AV54" s="723"/>
      <c r="AW54" s="712"/>
      <c r="AX54" s="712">
        <v>0</v>
      </c>
      <c r="AY54" s="712"/>
      <c r="AZ54" s="605">
        <f t="shared" si="70"/>
        <v>0</v>
      </c>
      <c r="BA54" s="712"/>
      <c r="BB54" s="605">
        <f t="shared" si="71"/>
        <v>0</v>
      </c>
      <c r="BC54" s="712"/>
      <c r="BD54" s="605">
        <f t="shared" si="72"/>
        <v>0</v>
      </c>
      <c r="BE54" s="712"/>
      <c r="BF54" s="712">
        <f t="shared" si="65"/>
        <v>0</v>
      </c>
      <c r="BG54" s="712"/>
      <c r="BH54" s="712">
        <f t="shared" si="66"/>
        <v>0</v>
      </c>
      <c r="BJ54" s="590">
        <f t="shared" si="62"/>
        <v>412</v>
      </c>
    </row>
    <row r="55" spans="1:62">
      <c r="A55" s="590">
        <f t="shared" si="63"/>
        <v>413</v>
      </c>
      <c r="B55" s="729" t="s">
        <v>1790</v>
      </c>
      <c r="F55" s="715" t="s">
        <v>1753</v>
      </c>
      <c r="H55" s="723"/>
      <c r="J55" s="723"/>
      <c r="K55" s="712"/>
      <c r="L55" s="723"/>
      <c r="M55" s="712"/>
      <c r="N55" s="723"/>
      <c r="O55" s="712"/>
      <c r="R55" s="713" t="s">
        <v>1749</v>
      </c>
      <c r="T55" s="712">
        <v>0</v>
      </c>
      <c r="U55" s="712"/>
      <c r="V55" s="712">
        <f t="shared" si="67"/>
        <v>0</v>
      </c>
      <c r="W55" s="712"/>
      <c r="X55" s="712">
        <v>0</v>
      </c>
      <c r="Y55" s="712"/>
      <c r="Z55" s="712">
        <f t="shared" si="68"/>
        <v>0</v>
      </c>
      <c r="AA55" s="712"/>
      <c r="AB55" s="607" t="s">
        <v>1548</v>
      </c>
      <c r="AC55" s="712"/>
      <c r="AD55" s="712">
        <v>0</v>
      </c>
      <c r="AE55" s="712"/>
      <c r="AF55" s="723"/>
      <c r="AG55" s="712"/>
      <c r="AH55" s="712">
        <v>0</v>
      </c>
      <c r="AI55" s="712"/>
      <c r="AJ55" s="607" t="s">
        <v>1759</v>
      </c>
      <c r="AK55" s="712"/>
      <c r="AL55" s="605">
        <f t="shared" si="69"/>
        <v>0</v>
      </c>
      <c r="AM55" s="712"/>
      <c r="AN55" s="605">
        <f t="shared" si="69"/>
        <v>0</v>
      </c>
      <c r="AO55" s="712"/>
      <c r="AP55" s="605">
        <f t="shared" si="69"/>
        <v>0</v>
      </c>
      <c r="AQ55" s="712"/>
      <c r="AR55" s="712">
        <f t="shared" si="64"/>
        <v>0</v>
      </c>
      <c r="AT55" s="712">
        <v>0</v>
      </c>
      <c r="AU55" s="712"/>
      <c r="AV55" s="723"/>
      <c r="AW55" s="712"/>
      <c r="AX55" s="712">
        <v>0</v>
      </c>
      <c r="AY55" s="712"/>
      <c r="AZ55" s="605">
        <f t="shared" si="70"/>
        <v>0</v>
      </c>
      <c r="BA55" s="712"/>
      <c r="BB55" s="605">
        <f t="shared" si="71"/>
        <v>0</v>
      </c>
      <c r="BC55" s="712"/>
      <c r="BD55" s="605">
        <f t="shared" si="72"/>
        <v>0</v>
      </c>
      <c r="BE55" s="712"/>
      <c r="BF55" s="712">
        <f t="shared" si="65"/>
        <v>0</v>
      </c>
      <c r="BG55" s="712"/>
      <c r="BH55" s="712">
        <f t="shared" si="66"/>
        <v>0</v>
      </c>
      <c r="BJ55" s="590">
        <f t="shared" si="62"/>
        <v>413</v>
      </c>
    </row>
    <row r="56" spans="1:62">
      <c r="A56" s="590">
        <f t="shared" si="63"/>
        <v>414</v>
      </c>
      <c r="B56" s="729" t="s">
        <v>1791</v>
      </c>
      <c r="F56" s="715" t="s">
        <v>1753</v>
      </c>
      <c r="H56" s="723"/>
      <c r="J56" s="723"/>
      <c r="K56" s="712"/>
      <c r="L56" s="723"/>
      <c r="M56" s="712"/>
      <c r="N56" s="723"/>
      <c r="O56" s="712"/>
      <c r="R56" s="713" t="s">
        <v>1749</v>
      </c>
      <c r="T56" s="712">
        <v>0</v>
      </c>
      <c r="U56" s="712"/>
      <c r="V56" s="712">
        <f t="shared" si="67"/>
        <v>0</v>
      </c>
      <c r="W56" s="712"/>
      <c r="X56" s="712">
        <v>0</v>
      </c>
      <c r="Y56" s="712"/>
      <c r="Z56" s="712">
        <f t="shared" si="68"/>
        <v>0</v>
      </c>
      <c r="AA56" s="712"/>
      <c r="AB56" s="607" t="s">
        <v>1548</v>
      </c>
      <c r="AC56" s="712"/>
      <c r="AD56" s="712">
        <v>0</v>
      </c>
      <c r="AE56" s="712"/>
      <c r="AF56" s="723"/>
      <c r="AG56" s="712"/>
      <c r="AH56" s="712">
        <v>0</v>
      </c>
      <c r="AI56" s="712"/>
      <c r="AJ56" s="607" t="s">
        <v>1759</v>
      </c>
      <c r="AK56" s="712"/>
      <c r="AL56" s="605">
        <f t="shared" si="69"/>
        <v>0</v>
      </c>
      <c r="AM56" s="712"/>
      <c r="AN56" s="605">
        <f t="shared" si="69"/>
        <v>0</v>
      </c>
      <c r="AO56" s="712"/>
      <c r="AP56" s="605">
        <f t="shared" si="69"/>
        <v>0</v>
      </c>
      <c r="AQ56" s="712"/>
      <c r="AR56" s="712">
        <f t="shared" si="64"/>
        <v>0</v>
      </c>
      <c r="AT56" s="712">
        <v>0</v>
      </c>
      <c r="AU56" s="712"/>
      <c r="AV56" s="723"/>
      <c r="AW56" s="712"/>
      <c r="AX56" s="712">
        <v>0</v>
      </c>
      <c r="AY56" s="712"/>
      <c r="AZ56" s="605">
        <f t="shared" si="70"/>
        <v>0</v>
      </c>
      <c r="BA56" s="712"/>
      <c r="BB56" s="605">
        <f t="shared" si="71"/>
        <v>0</v>
      </c>
      <c r="BC56" s="712"/>
      <c r="BD56" s="605">
        <f t="shared" si="72"/>
        <v>0</v>
      </c>
      <c r="BE56" s="712"/>
      <c r="BF56" s="712">
        <f t="shared" si="65"/>
        <v>0</v>
      </c>
      <c r="BG56" s="712"/>
      <c r="BH56" s="712">
        <f t="shared" si="66"/>
        <v>0</v>
      </c>
      <c r="BJ56" s="590">
        <f t="shared" si="62"/>
        <v>414</v>
      </c>
    </row>
    <row r="57" spans="1:62">
      <c r="A57" s="590">
        <f t="shared" si="63"/>
        <v>415</v>
      </c>
      <c r="B57" s="729" t="s">
        <v>1792</v>
      </c>
      <c r="F57" s="715" t="s">
        <v>1753</v>
      </c>
      <c r="H57" s="723"/>
      <c r="J57" s="723"/>
      <c r="K57" s="712"/>
      <c r="L57" s="723"/>
      <c r="M57" s="712"/>
      <c r="N57" s="723"/>
      <c r="O57" s="712"/>
      <c r="R57" s="713" t="s">
        <v>1749</v>
      </c>
      <c r="T57" s="712">
        <v>0</v>
      </c>
      <c r="U57" s="712"/>
      <c r="V57" s="712">
        <f t="shared" si="67"/>
        <v>0</v>
      </c>
      <c r="W57" s="712"/>
      <c r="X57" s="712">
        <v>0</v>
      </c>
      <c r="Y57" s="712"/>
      <c r="Z57" s="712">
        <f t="shared" si="68"/>
        <v>0</v>
      </c>
      <c r="AA57" s="712"/>
      <c r="AB57" s="607" t="s">
        <v>1548</v>
      </c>
      <c r="AC57" s="712"/>
      <c r="AD57" s="712">
        <v>0</v>
      </c>
      <c r="AE57" s="712"/>
      <c r="AF57" s="723"/>
      <c r="AG57" s="712"/>
      <c r="AH57" s="712">
        <v>0</v>
      </c>
      <c r="AI57" s="712"/>
      <c r="AJ57" s="607" t="s">
        <v>1759</v>
      </c>
      <c r="AK57" s="712"/>
      <c r="AL57" s="605">
        <f t="shared" si="69"/>
        <v>0</v>
      </c>
      <c r="AM57" s="712"/>
      <c r="AN57" s="605">
        <f t="shared" si="69"/>
        <v>0</v>
      </c>
      <c r="AO57" s="712"/>
      <c r="AP57" s="605">
        <f t="shared" si="69"/>
        <v>0</v>
      </c>
      <c r="AQ57" s="712"/>
      <c r="AR57" s="712">
        <f t="shared" si="64"/>
        <v>0</v>
      </c>
      <c r="AT57" s="712">
        <v>0</v>
      </c>
      <c r="AU57" s="712"/>
      <c r="AV57" s="723"/>
      <c r="AW57" s="712"/>
      <c r="AX57" s="712">
        <v>0</v>
      </c>
      <c r="AY57" s="712"/>
      <c r="AZ57" s="605">
        <f t="shared" si="70"/>
        <v>0</v>
      </c>
      <c r="BA57" s="712"/>
      <c r="BB57" s="605">
        <f t="shared" si="71"/>
        <v>0</v>
      </c>
      <c r="BC57" s="712"/>
      <c r="BD57" s="605">
        <f t="shared" si="72"/>
        <v>0</v>
      </c>
      <c r="BE57" s="712"/>
      <c r="BF57" s="712">
        <f t="shared" si="65"/>
        <v>0</v>
      </c>
      <c r="BG57" s="712"/>
      <c r="BH57" s="712">
        <f t="shared" si="66"/>
        <v>0</v>
      </c>
      <c r="BJ57" s="590">
        <f t="shared" si="62"/>
        <v>415</v>
      </c>
    </row>
    <row r="58" spans="1:62">
      <c r="A58" s="590">
        <f t="shared" si="63"/>
        <v>416</v>
      </c>
      <c r="B58" s="729" t="s">
        <v>1793</v>
      </c>
      <c r="F58" s="715" t="s">
        <v>1753</v>
      </c>
      <c r="H58" s="723"/>
      <c r="J58" s="723"/>
      <c r="K58" s="712"/>
      <c r="L58" s="723"/>
      <c r="M58" s="712"/>
      <c r="N58" s="723"/>
      <c r="O58" s="712"/>
      <c r="R58" s="713" t="s">
        <v>1749</v>
      </c>
      <c r="T58" s="712">
        <v>0</v>
      </c>
      <c r="U58" s="712"/>
      <c r="V58" s="712">
        <f t="shared" si="67"/>
        <v>0</v>
      </c>
      <c r="W58" s="712"/>
      <c r="X58" s="712">
        <v>0</v>
      </c>
      <c r="Y58" s="712"/>
      <c r="Z58" s="712">
        <f t="shared" si="68"/>
        <v>0</v>
      </c>
      <c r="AA58" s="712"/>
      <c r="AB58" s="607" t="s">
        <v>1548</v>
      </c>
      <c r="AC58" s="712"/>
      <c r="AD58" s="712">
        <v>0</v>
      </c>
      <c r="AE58" s="712"/>
      <c r="AF58" s="723"/>
      <c r="AG58" s="712"/>
      <c r="AH58" s="712">
        <v>0</v>
      </c>
      <c r="AI58" s="712"/>
      <c r="AJ58" s="607" t="s">
        <v>1759</v>
      </c>
      <c r="AK58" s="712"/>
      <c r="AL58" s="605">
        <f t="shared" si="69"/>
        <v>0</v>
      </c>
      <c r="AM58" s="712"/>
      <c r="AN58" s="605">
        <f t="shared" si="69"/>
        <v>0</v>
      </c>
      <c r="AO58" s="712"/>
      <c r="AP58" s="605">
        <f t="shared" si="69"/>
        <v>0</v>
      </c>
      <c r="AQ58" s="712"/>
      <c r="AR58" s="712">
        <f t="shared" si="64"/>
        <v>0</v>
      </c>
      <c r="AT58" s="712">
        <v>0</v>
      </c>
      <c r="AU58" s="712"/>
      <c r="AV58" s="723"/>
      <c r="AW58" s="712"/>
      <c r="AX58" s="712">
        <v>0</v>
      </c>
      <c r="AY58" s="712"/>
      <c r="AZ58" s="605">
        <f t="shared" si="70"/>
        <v>0</v>
      </c>
      <c r="BA58" s="712"/>
      <c r="BB58" s="605">
        <f t="shared" si="71"/>
        <v>0</v>
      </c>
      <c r="BC58" s="712"/>
      <c r="BD58" s="605">
        <f t="shared" si="72"/>
        <v>0</v>
      </c>
      <c r="BE58" s="712"/>
      <c r="BF58" s="712">
        <f t="shared" si="65"/>
        <v>0</v>
      </c>
      <c r="BG58" s="712"/>
      <c r="BH58" s="712">
        <f t="shared" si="66"/>
        <v>0</v>
      </c>
      <c r="BJ58" s="590">
        <f t="shared" si="62"/>
        <v>416</v>
      </c>
    </row>
    <row r="59" spans="1:62">
      <c r="A59" s="590">
        <f t="shared" si="63"/>
        <v>417</v>
      </c>
      <c r="B59" s="729" t="s">
        <v>1794</v>
      </c>
      <c r="F59" s="715" t="s">
        <v>1753</v>
      </c>
      <c r="H59" s="723"/>
      <c r="J59" s="723"/>
      <c r="K59" s="712"/>
      <c r="L59" s="723"/>
      <c r="M59" s="712"/>
      <c r="N59" s="723"/>
      <c r="O59" s="712"/>
      <c r="R59" s="713" t="s">
        <v>1749</v>
      </c>
      <c r="T59" s="712">
        <v>0</v>
      </c>
      <c r="U59" s="712"/>
      <c r="V59" s="712">
        <f t="shared" si="67"/>
        <v>0</v>
      </c>
      <c r="W59" s="712"/>
      <c r="X59" s="712">
        <v>0</v>
      </c>
      <c r="Y59" s="712"/>
      <c r="Z59" s="712">
        <f t="shared" si="68"/>
        <v>0</v>
      </c>
      <c r="AA59" s="712"/>
      <c r="AB59" s="607" t="s">
        <v>1548</v>
      </c>
      <c r="AC59" s="712"/>
      <c r="AD59" s="712">
        <v>0</v>
      </c>
      <c r="AE59" s="712"/>
      <c r="AF59" s="723"/>
      <c r="AG59" s="712"/>
      <c r="AH59" s="712">
        <v>0</v>
      </c>
      <c r="AI59" s="712"/>
      <c r="AJ59" s="607" t="s">
        <v>1759</v>
      </c>
      <c r="AK59" s="712"/>
      <c r="AL59" s="605">
        <f t="shared" si="69"/>
        <v>0</v>
      </c>
      <c r="AM59" s="712"/>
      <c r="AN59" s="605">
        <f t="shared" si="69"/>
        <v>0</v>
      </c>
      <c r="AO59" s="712"/>
      <c r="AP59" s="605">
        <f t="shared" si="69"/>
        <v>0</v>
      </c>
      <c r="AQ59" s="712"/>
      <c r="AR59" s="712">
        <f t="shared" si="64"/>
        <v>0</v>
      </c>
      <c r="AT59" s="712">
        <v>0</v>
      </c>
      <c r="AU59" s="712"/>
      <c r="AV59" s="723"/>
      <c r="AW59" s="712"/>
      <c r="AX59" s="712">
        <v>0</v>
      </c>
      <c r="AY59" s="712"/>
      <c r="AZ59" s="605">
        <f t="shared" si="70"/>
        <v>0</v>
      </c>
      <c r="BA59" s="712"/>
      <c r="BB59" s="605">
        <f t="shared" si="71"/>
        <v>0</v>
      </c>
      <c r="BC59" s="712"/>
      <c r="BD59" s="605">
        <f t="shared" si="72"/>
        <v>0</v>
      </c>
      <c r="BE59" s="712"/>
      <c r="BF59" s="712">
        <f t="shared" si="65"/>
        <v>0</v>
      </c>
      <c r="BG59" s="712"/>
      <c r="BH59" s="712">
        <f t="shared" si="66"/>
        <v>0</v>
      </c>
      <c r="BJ59" s="590">
        <f t="shared" si="62"/>
        <v>417</v>
      </c>
    </row>
    <row r="60" spans="1:62">
      <c r="A60" s="590">
        <f t="shared" si="63"/>
        <v>418</v>
      </c>
      <c r="B60" s="729" t="s">
        <v>1795</v>
      </c>
      <c r="F60" s="715" t="s">
        <v>1753</v>
      </c>
      <c r="H60" s="723"/>
      <c r="J60" s="723"/>
      <c r="K60" s="712"/>
      <c r="L60" s="723"/>
      <c r="M60" s="712"/>
      <c r="N60" s="723"/>
      <c r="O60" s="712"/>
      <c r="R60" s="713" t="s">
        <v>1749</v>
      </c>
      <c r="T60" s="712">
        <v>0</v>
      </c>
      <c r="U60" s="712"/>
      <c r="V60" s="712">
        <f t="shared" si="67"/>
        <v>0</v>
      </c>
      <c r="W60" s="712"/>
      <c r="X60" s="712">
        <v>0</v>
      </c>
      <c r="Y60" s="712"/>
      <c r="Z60" s="712">
        <f t="shared" si="68"/>
        <v>0</v>
      </c>
      <c r="AA60" s="712"/>
      <c r="AB60" s="607" t="s">
        <v>1548</v>
      </c>
      <c r="AC60" s="712"/>
      <c r="AD60" s="712">
        <v>0</v>
      </c>
      <c r="AE60" s="712"/>
      <c r="AF60" s="723"/>
      <c r="AG60" s="712"/>
      <c r="AH60" s="712">
        <v>0</v>
      </c>
      <c r="AI60" s="712"/>
      <c r="AJ60" s="607" t="s">
        <v>1759</v>
      </c>
      <c r="AK60" s="712"/>
      <c r="AL60" s="605">
        <f t="shared" si="69"/>
        <v>0</v>
      </c>
      <c r="AM60" s="712"/>
      <c r="AN60" s="605">
        <f t="shared" si="69"/>
        <v>0</v>
      </c>
      <c r="AO60" s="712"/>
      <c r="AP60" s="605">
        <f t="shared" si="69"/>
        <v>0</v>
      </c>
      <c r="AQ60" s="712"/>
      <c r="AR60" s="712">
        <f t="shared" si="64"/>
        <v>0</v>
      </c>
      <c r="AT60" s="712">
        <v>0</v>
      </c>
      <c r="AU60" s="712"/>
      <c r="AV60" s="723"/>
      <c r="AW60" s="712"/>
      <c r="AX60" s="712">
        <v>0</v>
      </c>
      <c r="AY60" s="712"/>
      <c r="AZ60" s="605">
        <f t="shared" si="70"/>
        <v>0</v>
      </c>
      <c r="BA60" s="712"/>
      <c r="BB60" s="605">
        <f t="shared" si="71"/>
        <v>0</v>
      </c>
      <c r="BC60" s="712"/>
      <c r="BD60" s="605">
        <f t="shared" si="72"/>
        <v>0</v>
      </c>
      <c r="BE60" s="712"/>
      <c r="BF60" s="712">
        <f t="shared" si="65"/>
        <v>0</v>
      </c>
      <c r="BG60" s="712"/>
      <c r="BH60" s="712">
        <f t="shared" si="66"/>
        <v>0</v>
      </c>
      <c r="BJ60" s="590">
        <f t="shared" si="62"/>
        <v>418</v>
      </c>
    </row>
    <row r="61" spans="1:62">
      <c r="A61" s="590">
        <f t="shared" si="63"/>
        <v>419</v>
      </c>
      <c r="B61" s="729" t="s">
        <v>1796</v>
      </c>
      <c r="F61" s="715" t="s">
        <v>1753</v>
      </c>
      <c r="H61" s="723"/>
      <c r="J61" s="723"/>
      <c r="K61" s="712"/>
      <c r="L61" s="723"/>
      <c r="M61" s="712"/>
      <c r="N61" s="723"/>
      <c r="O61" s="712"/>
      <c r="R61" s="713" t="s">
        <v>1749</v>
      </c>
      <c r="T61" s="712">
        <v>0</v>
      </c>
      <c r="U61" s="712"/>
      <c r="V61" s="712">
        <f t="shared" si="67"/>
        <v>0</v>
      </c>
      <c r="W61" s="712"/>
      <c r="X61" s="712">
        <v>0</v>
      </c>
      <c r="Y61" s="712"/>
      <c r="Z61" s="712">
        <f t="shared" si="68"/>
        <v>0</v>
      </c>
      <c r="AA61" s="712"/>
      <c r="AB61" s="607" t="s">
        <v>1548</v>
      </c>
      <c r="AC61" s="712"/>
      <c r="AD61" s="712">
        <v>0</v>
      </c>
      <c r="AE61" s="712"/>
      <c r="AF61" s="723"/>
      <c r="AG61" s="712"/>
      <c r="AH61" s="712">
        <v>0</v>
      </c>
      <c r="AI61" s="712"/>
      <c r="AJ61" s="607" t="s">
        <v>1759</v>
      </c>
      <c r="AK61" s="712"/>
      <c r="AL61" s="605">
        <f t="shared" si="69"/>
        <v>0</v>
      </c>
      <c r="AM61" s="712"/>
      <c r="AN61" s="605">
        <f t="shared" si="69"/>
        <v>0</v>
      </c>
      <c r="AO61" s="712"/>
      <c r="AP61" s="605">
        <f t="shared" si="69"/>
        <v>0</v>
      </c>
      <c r="AQ61" s="712"/>
      <c r="AR61" s="712">
        <f t="shared" si="64"/>
        <v>0</v>
      </c>
      <c r="AT61" s="712">
        <v>0</v>
      </c>
      <c r="AU61" s="712"/>
      <c r="AV61" s="723"/>
      <c r="AW61" s="712"/>
      <c r="AX61" s="712">
        <v>0</v>
      </c>
      <c r="AY61" s="712"/>
      <c r="AZ61" s="605">
        <f t="shared" si="70"/>
        <v>0</v>
      </c>
      <c r="BA61" s="712"/>
      <c r="BB61" s="605">
        <f t="shared" si="71"/>
        <v>0</v>
      </c>
      <c r="BC61" s="712"/>
      <c r="BD61" s="605">
        <f t="shared" si="72"/>
        <v>0</v>
      </c>
      <c r="BE61" s="712"/>
      <c r="BF61" s="712">
        <f t="shared" si="65"/>
        <v>0</v>
      </c>
      <c r="BG61" s="712"/>
      <c r="BH61" s="712">
        <f t="shared" si="66"/>
        <v>0</v>
      </c>
      <c r="BJ61" s="590">
        <f t="shared" si="62"/>
        <v>419</v>
      </c>
    </row>
    <row r="62" spans="1:62">
      <c r="A62" s="590">
        <f t="shared" si="63"/>
        <v>420</v>
      </c>
      <c r="B62" s="729" t="s">
        <v>1797</v>
      </c>
      <c r="F62" s="715" t="s">
        <v>1753</v>
      </c>
      <c r="H62" s="723"/>
      <c r="J62" s="723"/>
      <c r="K62" s="712"/>
      <c r="L62" s="723"/>
      <c r="M62" s="712"/>
      <c r="N62" s="723"/>
      <c r="O62" s="712"/>
      <c r="R62" s="713" t="s">
        <v>1749</v>
      </c>
      <c r="T62" s="712">
        <v>0</v>
      </c>
      <c r="U62" s="712"/>
      <c r="V62" s="712">
        <f t="shared" si="67"/>
        <v>0</v>
      </c>
      <c r="W62" s="712"/>
      <c r="X62" s="712">
        <v>0</v>
      </c>
      <c r="Y62" s="712"/>
      <c r="Z62" s="712">
        <f t="shared" si="68"/>
        <v>0</v>
      </c>
      <c r="AA62" s="712"/>
      <c r="AB62" s="607" t="s">
        <v>1548</v>
      </c>
      <c r="AC62" s="712"/>
      <c r="AD62" s="712">
        <v>0</v>
      </c>
      <c r="AE62" s="712"/>
      <c r="AF62" s="723"/>
      <c r="AG62" s="712"/>
      <c r="AH62" s="712">
        <v>0</v>
      </c>
      <c r="AI62" s="712"/>
      <c r="AJ62" s="607" t="s">
        <v>1759</v>
      </c>
      <c r="AK62" s="712"/>
      <c r="AL62" s="605">
        <f t="shared" si="69"/>
        <v>0</v>
      </c>
      <c r="AM62" s="712"/>
      <c r="AN62" s="605">
        <f t="shared" si="69"/>
        <v>0</v>
      </c>
      <c r="AO62" s="712"/>
      <c r="AP62" s="605">
        <f t="shared" si="69"/>
        <v>0</v>
      </c>
      <c r="AQ62" s="712"/>
      <c r="AR62" s="712">
        <f t="shared" si="64"/>
        <v>0</v>
      </c>
      <c r="AT62" s="712">
        <v>0</v>
      </c>
      <c r="AU62" s="712"/>
      <c r="AV62" s="723"/>
      <c r="AW62" s="712"/>
      <c r="AX62" s="712">
        <v>0</v>
      </c>
      <c r="AY62" s="712"/>
      <c r="AZ62" s="605">
        <f t="shared" si="70"/>
        <v>0</v>
      </c>
      <c r="BA62" s="712"/>
      <c r="BB62" s="605">
        <f t="shared" si="71"/>
        <v>0</v>
      </c>
      <c r="BC62" s="712"/>
      <c r="BD62" s="605">
        <f t="shared" si="72"/>
        <v>0</v>
      </c>
      <c r="BE62" s="712"/>
      <c r="BF62" s="712">
        <f t="shared" si="65"/>
        <v>0</v>
      </c>
      <c r="BG62" s="712"/>
      <c r="BH62" s="712">
        <f t="shared" si="66"/>
        <v>0</v>
      </c>
      <c r="BJ62" s="590">
        <f t="shared" si="62"/>
        <v>420</v>
      </c>
    </row>
    <row r="63" spans="1:62">
      <c r="A63" s="590">
        <f t="shared" si="63"/>
        <v>421</v>
      </c>
      <c r="B63" s="729" t="s">
        <v>1798</v>
      </c>
      <c r="F63" s="715" t="s">
        <v>1753</v>
      </c>
      <c r="H63" s="723"/>
      <c r="J63" s="723"/>
      <c r="K63" s="712"/>
      <c r="L63" s="723"/>
      <c r="M63" s="712"/>
      <c r="N63" s="723"/>
      <c r="O63" s="712"/>
      <c r="R63" s="713" t="s">
        <v>1749</v>
      </c>
      <c r="T63" s="712">
        <v>0</v>
      </c>
      <c r="U63" s="712"/>
      <c r="V63" s="712">
        <f t="shared" si="67"/>
        <v>0</v>
      </c>
      <c r="W63" s="712"/>
      <c r="X63" s="712">
        <v>0</v>
      </c>
      <c r="Y63" s="712"/>
      <c r="Z63" s="712">
        <f t="shared" si="68"/>
        <v>0</v>
      </c>
      <c r="AA63" s="712"/>
      <c r="AB63" s="607" t="s">
        <v>1548</v>
      </c>
      <c r="AC63" s="712"/>
      <c r="AD63" s="712">
        <v>0</v>
      </c>
      <c r="AE63" s="712"/>
      <c r="AF63" s="723"/>
      <c r="AG63" s="712"/>
      <c r="AH63" s="712">
        <v>0</v>
      </c>
      <c r="AI63" s="712"/>
      <c r="AJ63" s="607" t="s">
        <v>1759</v>
      </c>
      <c r="AK63" s="712"/>
      <c r="AL63" s="605">
        <f t="shared" si="69"/>
        <v>0</v>
      </c>
      <c r="AM63" s="712"/>
      <c r="AN63" s="605">
        <f t="shared" si="69"/>
        <v>0</v>
      </c>
      <c r="AO63" s="712"/>
      <c r="AP63" s="605">
        <f t="shared" si="69"/>
        <v>0</v>
      </c>
      <c r="AQ63" s="712"/>
      <c r="AR63" s="712">
        <f t="shared" si="64"/>
        <v>0</v>
      </c>
      <c r="AT63" s="712">
        <v>0</v>
      </c>
      <c r="AU63" s="712"/>
      <c r="AV63" s="723"/>
      <c r="AW63" s="712"/>
      <c r="AX63" s="712">
        <v>0</v>
      </c>
      <c r="AY63" s="712"/>
      <c r="AZ63" s="605">
        <f t="shared" si="70"/>
        <v>0</v>
      </c>
      <c r="BA63" s="712"/>
      <c r="BB63" s="605">
        <f t="shared" si="71"/>
        <v>0</v>
      </c>
      <c r="BC63" s="712"/>
      <c r="BD63" s="605">
        <f t="shared" si="72"/>
        <v>0</v>
      </c>
      <c r="BE63" s="712"/>
      <c r="BF63" s="712">
        <f t="shared" si="65"/>
        <v>0</v>
      </c>
      <c r="BG63" s="712"/>
      <c r="BH63" s="712">
        <f t="shared" si="66"/>
        <v>0</v>
      </c>
      <c r="BJ63" s="590">
        <f t="shared" si="62"/>
        <v>421</v>
      </c>
    </row>
    <row r="64" spans="1:62">
      <c r="A64" s="590">
        <f t="shared" si="63"/>
        <v>422</v>
      </c>
      <c r="B64" s="729" t="s">
        <v>1799</v>
      </c>
      <c r="F64" s="715" t="s">
        <v>1753</v>
      </c>
      <c r="H64" s="723"/>
      <c r="J64" s="723"/>
      <c r="K64" s="712"/>
      <c r="L64" s="723"/>
      <c r="M64" s="712"/>
      <c r="N64" s="723"/>
      <c r="O64" s="712"/>
      <c r="R64" s="713" t="s">
        <v>1749</v>
      </c>
      <c r="T64" s="712">
        <v>0</v>
      </c>
      <c r="U64" s="712"/>
      <c r="V64" s="712">
        <f t="shared" si="67"/>
        <v>0</v>
      </c>
      <c r="W64" s="712"/>
      <c r="X64" s="712">
        <v>0</v>
      </c>
      <c r="Y64" s="712"/>
      <c r="Z64" s="712">
        <f t="shared" si="68"/>
        <v>0</v>
      </c>
      <c r="AA64" s="712"/>
      <c r="AB64" s="607" t="s">
        <v>1548</v>
      </c>
      <c r="AC64" s="712"/>
      <c r="AD64" s="712">
        <v>0</v>
      </c>
      <c r="AE64" s="712"/>
      <c r="AF64" s="723"/>
      <c r="AG64" s="712"/>
      <c r="AH64" s="712">
        <v>0</v>
      </c>
      <c r="AI64" s="712"/>
      <c r="AJ64" s="607" t="s">
        <v>1759</v>
      </c>
      <c r="AK64" s="712"/>
      <c r="AL64" s="605">
        <f t="shared" si="69"/>
        <v>0</v>
      </c>
      <c r="AM64" s="712"/>
      <c r="AN64" s="605">
        <f t="shared" si="69"/>
        <v>0</v>
      </c>
      <c r="AO64" s="712"/>
      <c r="AP64" s="605">
        <f t="shared" si="69"/>
        <v>0</v>
      </c>
      <c r="AQ64" s="712"/>
      <c r="AR64" s="712">
        <f t="shared" si="64"/>
        <v>0</v>
      </c>
      <c r="AT64" s="712">
        <v>0</v>
      </c>
      <c r="AU64" s="712"/>
      <c r="AV64" s="723"/>
      <c r="AW64" s="712"/>
      <c r="AX64" s="712">
        <v>0</v>
      </c>
      <c r="AY64" s="712"/>
      <c r="AZ64" s="605">
        <f t="shared" si="70"/>
        <v>0</v>
      </c>
      <c r="BA64" s="712"/>
      <c r="BB64" s="605">
        <f t="shared" si="71"/>
        <v>0</v>
      </c>
      <c r="BC64" s="712"/>
      <c r="BD64" s="605">
        <f t="shared" si="72"/>
        <v>0</v>
      </c>
      <c r="BE64" s="712"/>
      <c r="BF64" s="712">
        <f t="shared" si="65"/>
        <v>0</v>
      </c>
      <c r="BG64" s="712"/>
      <c r="BH64" s="712">
        <f t="shared" si="66"/>
        <v>0</v>
      </c>
      <c r="BJ64" s="590">
        <f t="shared" si="62"/>
        <v>422</v>
      </c>
    </row>
    <row r="65" spans="1:62">
      <c r="A65" s="590">
        <f t="shared" si="63"/>
        <v>423</v>
      </c>
      <c r="B65" s="729" t="s">
        <v>1800</v>
      </c>
      <c r="F65" s="715" t="s">
        <v>1753</v>
      </c>
      <c r="H65" s="723"/>
      <c r="J65" s="723"/>
      <c r="K65" s="712"/>
      <c r="L65" s="723"/>
      <c r="M65" s="712"/>
      <c r="N65" s="723"/>
      <c r="O65" s="712"/>
      <c r="R65" s="713" t="s">
        <v>1749</v>
      </c>
      <c r="T65" s="712">
        <v>0</v>
      </c>
      <c r="U65" s="712"/>
      <c r="V65" s="712">
        <f t="shared" si="67"/>
        <v>0</v>
      </c>
      <c r="W65" s="712"/>
      <c r="X65" s="712">
        <v>0</v>
      </c>
      <c r="Y65" s="712"/>
      <c r="Z65" s="712">
        <f t="shared" si="68"/>
        <v>0</v>
      </c>
      <c r="AA65" s="712"/>
      <c r="AB65" s="607" t="s">
        <v>1548</v>
      </c>
      <c r="AC65" s="712"/>
      <c r="AD65" s="712">
        <v>0</v>
      </c>
      <c r="AE65" s="712"/>
      <c r="AF65" s="723"/>
      <c r="AG65" s="712"/>
      <c r="AH65" s="712">
        <v>0</v>
      </c>
      <c r="AI65" s="712"/>
      <c r="AJ65" s="607" t="s">
        <v>1759</v>
      </c>
      <c r="AK65" s="712"/>
      <c r="AL65" s="605">
        <f t="shared" si="69"/>
        <v>0</v>
      </c>
      <c r="AM65" s="712"/>
      <c r="AN65" s="605">
        <f t="shared" si="69"/>
        <v>0</v>
      </c>
      <c r="AO65" s="712"/>
      <c r="AP65" s="605">
        <f t="shared" si="69"/>
        <v>0</v>
      </c>
      <c r="AQ65" s="712"/>
      <c r="AR65" s="712">
        <f t="shared" si="64"/>
        <v>0</v>
      </c>
      <c r="AT65" s="712">
        <v>0</v>
      </c>
      <c r="AU65" s="712"/>
      <c r="AV65" s="723"/>
      <c r="AW65" s="712"/>
      <c r="AX65" s="712">
        <v>0</v>
      </c>
      <c r="AY65" s="712"/>
      <c r="AZ65" s="605">
        <f t="shared" si="70"/>
        <v>0</v>
      </c>
      <c r="BA65" s="712"/>
      <c r="BB65" s="605">
        <f t="shared" si="71"/>
        <v>0</v>
      </c>
      <c r="BC65" s="712"/>
      <c r="BD65" s="605">
        <f t="shared" si="72"/>
        <v>0</v>
      </c>
      <c r="BE65" s="712"/>
      <c r="BF65" s="712">
        <f t="shared" si="65"/>
        <v>0</v>
      </c>
      <c r="BG65" s="712"/>
      <c r="BH65" s="712">
        <f t="shared" si="66"/>
        <v>0</v>
      </c>
      <c r="BJ65" s="590">
        <f t="shared" si="62"/>
        <v>423</v>
      </c>
    </row>
    <row r="66" spans="1:62">
      <c r="A66" s="590">
        <f t="shared" si="63"/>
        <v>424</v>
      </c>
      <c r="B66" s="729" t="s">
        <v>1801</v>
      </c>
      <c r="F66" s="715" t="s">
        <v>1753</v>
      </c>
      <c r="H66" s="723"/>
      <c r="J66" s="723"/>
      <c r="K66" s="712"/>
      <c r="L66" s="723"/>
      <c r="M66" s="712"/>
      <c r="N66" s="723"/>
      <c r="O66" s="712"/>
      <c r="R66" s="713" t="s">
        <v>1749</v>
      </c>
      <c r="T66" s="712">
        <v>0</v>
      </c>
      <c r="U66" s="712"/>
      <c r="V66" s="712">
        <f t="shared" si="67"/>
        <v>0</v>
      </c>
      <c r="W66" s="712"/>
      <c r="X66" s="712">
        <v>0</v>
      </c>
      <c r="Y66" s="712"/>
      <c r="Z66" s="712">
        <f t="shared" si="68"/>
        <v>0</v>
      </c>
      <c r="AA66" s="712"/>
      <c r="AB66" s="607" t="s">
        <v>1548</v>
      </c>
      <c r="AC66" s="712"/>
      <c r="AD66" s="712">
        <v>0</v>
      </c>
      <c r="AE66" s="712"/>
      <c r="AF66" s="723"/>
      <c r="AG66" s="712"/>
      <c r="AH66" s="712">
        <v>0</v>
      </c>
      <c r="AI66" s="712"/>
      <c r="AJ66" s="607" t="s">
        <v>1759</v>
      </c>
      <c r="AK66" s="712"/>
      <c r="AL66" s="605">
        <f t="shared" si="69"/>
        <v>0</v>
      </c>
      <c r="AM66" s="712"/>
      <c r="AN66" s="605">
        <f t="shared" si="69"/>
        <v>0</v>
      </c>
      <c r="AO66" s="712"/>
      <c r="AP66" s="605">
        <f t="shared" si="69"/>
        <v>0</v>
      </c>
      <c r="AQ66" s="712"/>
      <c r="AR66" s="712">
        <f t="shared" si="64"/>
        <v>0</v>
      </c>
      <c r="AT66" s="712">
        <v>0</v>
      </c>
      <c r="AU66" s="712"/>
      <c r="AV66" s="723"/>
      <c r="AW66" s="712"/>
      <c r="AX66" s="712">
        <v>0</v>
      </c>
      <c r="AY66" s="712"/>
      <c r="AZ66" s="605">
        <f t="shared" si="70"/>
        <v>0</v>
      </c>
      <c r="BA66" s="712"/>
      <c r="BB66" s="605">
        <f t="shared" si="71"/>
        <v>0</v>
      </c>
      <c r="BC66" s="712"/>
      <c r="BD66" s="605">
        <f t="shared" si="72"/>
        <v>0</v>
      </c>
      <c r="BE66" s="712"/>
      <c r="BF66" s="712">
        <f t="shared" si="65"/>
        <v>0</v>
      </c>
      <c r="BG66" s="712"/>
      <c r="BH66" s="712">
        <f t="shared" si="66"/>
        <v>0</v>
      </c>
      <c r="BJ66" s="590">
        <f t="shared" si="62"/>
        <v>424</v>
      </c>
    </row>
    <row r="67" spans="1:62">
      <c r="A67" s="590">
        <f t="shared" si="63"/>
        <v>425</v>
      </c>
      <c r="B67" s="729" t="s">
        <v>1802</v>
      </c>
      <c r="F67" s="715" t="s">
        <v>1753</v>
      </c>
      <c r="H67" s="723"/>
      <c r="J67" s="723"/>
      <c r="K67" s="712"/>
      <c r="L67" s="723"/>
      <c r="M67" s="712"/>
      <c r="N67" s="723"/>
      <c r="O67" s="712"/>
      <c r="R67" s="713" t="s">
        <v>1749</v>
      </c>
      <c r="T67" s="712">
        <v>0</v>
      </c>
      <c r="U67" s="712"/>
      <c r="V67" s="712">
        <f t="shared" si="67"/>
        <v>0</v>
      </c>
      <c r="W67" s="712"/>
      <c r="X67" s="712">
        <v>0</v>
      </c>
      <c r="Y67" s="712"/>
      <c r="Z67" s="712">
        <f t="shared" si="68"/>
        <v>0</v>
      </c>
      <c r="AA67" s="712"/>
      <c r="AB67" s="607" t="s">
        <v>1548</v>
      </c>
      <c r="AC67" s="712"/>
      <c r="AD67" s="712">
        <v>0</v>
      </c>
      <c r="AE67" s="712"/>
      <c r="AF67" s="723"/>
      <c r="AG67" s="712"/>
      <c r="AH67" s="712">
        <v>0</v>
      </c>
      <c r="AI67" s="712"/>
      <c r="AJ67" s="607" t="s">
        <v>1759</v>
      </c>
      <c r="AK67" s="712"/>
      <c r="AL67" s="605">
        <f t="shared" si="69"/>
        <v>0</v>
      </c>
      <c r="AM67" s="712"/>
      <c r="AN67" s="605">
        <f t="shared" si="69"/>
        <v>0</v>
      </c>
      <c r="AO67" s="712"/>
      <c r="AP67" s="605">
        <f t="shared" si="69"/>
        <v>0</v>
      </c>
      <c r="AQ67" s="712"/>
      <c r="AR67" s="712">
        <f t="shared" si="64"/>
        <v>0</v>
      </c>
      <c r="AT67" s="712">
        <v>0</v>
      </c>
      <c r="AU67" s="712"/>
      <c r="AV67" s="723"/>
      <c r="AW67" s="712"/>
      <c r="AX67" s="712">
        <v>0</v>
      </c>
      <c r="AY67" s="712"/>
      <c r="AZ67" s="605">
        <f t="shared" si="70"/>
        <v>0</v>
      </c>
      <c r="BA67" s="712"/>
      <c r="BB67" s="605">
        <f t="shared" si="71"/>
        <v>0</v>
      </c>
      <c r="BC67" s="712"/>
      <c r="BD67" s="605">
        <f t="shared" si="72"/>
        <v>0</v>
      </c>
      <c r="BE67" s="712"/>
      <c r="BF67" s="712">
        <f t="shared" si="65"/>
        <v>0</v>
      </c>
      <c r="BG67" s="712"/>
      <c r="BH67" s="712">
        <f t="shared" si="66"/>
        <v>0</v>
      </c>
      <c r="BJ67" s="590">
        <f t="shared" si="62"/>
        <v>425</v>
      </c>
    </row>
    <row r="68" spans="1:62">
      <c r="A68" s="590">
        <f t="shared" si="63"/>
        <v>426</v>
      </c>
      <c r="B68" s="729" t="s">
        <v>1803</v>
      </c>
      <c r="F68" s="715" t="s">
        <v>1753</v>
      </c>
      <c r="H68" s="723"/>
      <c r="J68" s="723"/>
      <c r="K68" s="712"/>
      <c r="L68" s="723"/>
      <c r="M68" s="712"/>
      <c r="N68" s="723"/>
      <c r="O68" s="712"/>
      <c r="R68" s="713" t="s">
        <v>1749</v>
      </c>
      <c r="T68" s="712">
        <v>0</v>
      </c>
      <c r="U68" s="712"/>
      <c r="V68" s="712">
        <f t="shared" si="67"/>
        <v>0</v>
      </c>
      <c r="W68" s="712"/>
      <c r="X68" s="712">
        <v>0</v>
      </c>
      <c r="Y68" s="712"/>
      <c r="Z68" s="712">
        <f t="shared" si="68"/>
        <v>0</v>
      </c>
      <c r="AA68" s="712"/>
      <c r="AB68" s="607" t="s">
        <v>1548</v>
      </c>
      <c r="AC68" s="712"/>
      <c r="AD68" s="712">
        <v>0</v>
      </c>
      <c r="AE68" s="712"/>
      <c r="AF68" s="723"/>
      <c r="AG68" s="712"/>
      <c r="AH68" s="712">
        <v>0</v>
      </c>
      <c r="AI68" s="712"/>
      <c r="AJ68" s="607" t="s">
        <v>1759</v>
      </c>
      <c r="AK68" s="712"/>
      <c r="AL68" s="605">
        <f t="shared" si="69"/>
        <v>0</v>
      </c>
      <c r="AM68" s="712"/>
      <c r="AN68" s="605">
        <f t="shared" si="69"/>
        <v>0</v>
      </c>
      <c r="AO68" s="712"/>
      <c r="AP68" s="605">
        <f t="shared" si="69"/>
        <v>0</v>
      </c>
      <c r="AQ68" s="712"/>
      <c r="AR68" s="712">
        <f t="shared" si="64"/>
        <v>0</v>
      </c>
      <c r="AT68" s="712">
        <v>0</v>
      </c>
      <c r="AU68" s="712"/>
      <c r="AV68" s="723"/>
      <c r="AW68" s="712"/>
      <c r="AX68" s="712">
        <v>0</v>
      </c>
      <c r="AY68" s="712"/>
      <c r="AZ68" s="605">
        <f t="shared" si="70"/>
        <v>0</v>
      </c>
      <c r="BA68" s="712"/>
      <c r="BB68" s="605">
        <f t="shared" si="71"/>
        <v>0</v>
      </c>
      <c r="BC68" s="712"/>
      <c r="BD68" s="605">
        <f t="shared" si="72"/>
        <v>0</v>
      </c>
      <c r="BE68" s="712"/>
      <c r="BF68" s="712">
        <f t="shared" si="65"/>
        <v>0</v>
      </c>
      <c r="BG68" s="712"/>
      <c r="BH68" s="712">
        <f t="shared" si="66"/>
        <v>0</v>
      </c>
      <c r="BJ68" s="590">
        <f t="shared" si="62"/>
        <v>426</v>
      </c>
    </row>
    <row r="69" spans="1:62">
      <c r="A69" s="590">
        <f t="shared" si="63"/>
        <v>427</v>
      </c>
      <c r="B69" s="729" t="s">
        <v>1804</v>
      </c>
      <c r="F69" s="715" t="s">
        <v>1753</v>
      </c>
      <c r="H69" s="723"/>
      <c r="J69" s="723"/>
      <c r="K69" s="712"/>
      <c r="L69" s="723"/>
      <c r="M69" s="712"/>
      <c r="N69" s="723"/>
      <c r="O69" s="712"/>
      <c r="R69" s="713" t="s">
        <v>1749</v>
      </c>
      <c r="T69" s="712">
        <v>0</v>
      </c>
      <c r="U69" s="712"/>
      <c r="V69" s="712">
        <f t="shared" si="67"/>
        <v>0</v>
      </c>
      <c r="W69" s="712"/>
      <c r="X69" s="712">
        <v>0</v>
      </c>
      <c r="Y69" s="712"/>
      <c r="Z69" s="712">
        <f t="shared" si="68"/>
        <v>0</v>
      </c>
      <c r="AA69" s="712"/>
      <c r="AB69" s="607" t="s">
        <v>1548</v>
      </c>
      <c r="AC69" s="712"/>
      <c r="AD69" s="712">
        <v>0</v>
      </c>
      <c r="AE69" s="712"/>
      <c r="AF69" s="723"/>
      <c r="AG69" s="712"/>
      <c r="AH69" s="712">
        <v>0</v>
      </c>
      <c r="AI69" s="712"/>
      <c r="AJ69" s="607" t="s">
        <v>1759</v>
      </c>
      <c r="AK69" s="712"/>
      <c r="AL69" s="605">
        <f t="shared" si="69"/>
        <v>0</v>
      </c>
      <c r="AM69" s="712"/>
      <c r="AN69" s="605">
        <f t="shared" si="69"/>
        <v>0</v>
      </c>
      <c r="AO69" s="712"/>
      <c r="AP69" s="605">
        <f t="shared" si="69"/>
        <v>0</v>
      </c>
      <c r="AQ69" s="712"/>
      <c r="AR69" s="712">
        <f t="shared" si="64"/>
        <v>0</v>
      </c>
      <c r="AT69" s="712">
        <v>0</v>
      </c>
      <c r="AU69" s="712"/>
      <c r="AV69" s="723"/>
      <c r="AW69" s="712"/>
      <c r="AX69" s="712">
        <v>0</v>
      </c>
      <c r="AY69" s="712"/>
      <c r="AZ69" s="605">
        <f t="shared" si="70"/>
        <v>0</v>
      </c>
      <c r="BA69" s="712"/>
      <c r="BB69" s="605">
        <f t="shared" si="71"/>
        <v>0</v>
      </c>
      <c r="BC69" s="712"/>
      <c r="BD69" s="605">
        <f t="shared" si="72"/>
        <v>0</v>
      </c>
      <c r="BE69" s="712"/>
      <c r="BF69" s="712">
        <f t="shared" si="65"/>
        <v>0</v>
      </c>
      <c r="BG69" s="712"/>
      <c r="BH69" s="712">
        <f t="shared" si="66"/>
        <v>0</v>
      </c>
      <c r="BJ69" s="590">
        <f t="shared" si="62"/>
        <v>427</v>
      </c>
    </row>
    <row r="70" spans="1:62">
      <c r="A70" s="590">
        <f t="shared" si="63"/>
        <v>428</v>
      </c>
      <c r="B70" s="729" t="s">
        <v>1805</v>
      </c>
      <c r="F70" s="715" t="s">
        <v>1753</v>
      </c>
      <c r="H70" s="723"/>
      <c r="J70" s="723"/>
      <c r="K70" s="712"/>
      <c r="L70" s="723"/>
      <c r="M70" s="712"/>
      <c r="N70" s="723"/>
      <c r="O70" s="712"/>
      <c r="R70" s="713" t="s">
        <v>1749</v>
      </c>
      <c r="T70" s="712">
        <v>0</v>
      </c>
      <c r="U70" s="712"/>
      <c r="V70" s="712">
        <f t="shared" si="67"/>
        <v>0</v>
      </c>
      <c r="W70" s="712"/>
      <c r="X70" s="712">
        <v>0</v>
      </c>
      <c r="Y70" s="712"/>
      <c r="Z70" s="712">
        <f t="shared" si="68"/>
        <v>0</v>
      </c>
      <c r="AA70" s="712"/>
      <c r="AB70" s="607" t="s">
        <v>1548</v>
      </c>
      <c r="AC70" s="712"/>
      <c r="AD70" s="712">
        <v>0</v>
      </c>
      <c r="AE70" s="712"/>
      <c r="AF70" s="723"/>
      <c r="AG70" s="712"/>
      <c r="AH70" s="712">
        <v>0</v>
      </c>
      <c r="AI70" s="712"/>
      <c r="AJ70" s="607" t="s">
        <v>1759</v>
      </c>
      <c r="AK70" s="712"/>
      <c r="AL70" s="605">
        <f t="shared" si="69"/>
        <v>0</v>
      </c>
      <c r="AM70" s="712"/>
      <c r="AN70" s="605">
        <f t="shared" si="69"/>
        <v>0</v>
      </c>
      <c r="AO70" s="712"/>
      <c r="AP70" s="605">
        <f t="shared" si="69"/>
        <v>0</v>
      </c>
      <c r="AQ70" s="712"/>
      <c r="AR70" s="712">
        <f t="shared" si="64"/>
        <v>0</v>
      </c>
      <c r="AT70" s="712">
        <v>0</v>
      </c>
      <c r="AU70" s="712"/>
      <c r="AV70" s="723"/>
      <c r="AW70" s="712"/>
      <c r="AX70" s="712">
        <v>0</v>
      </c>
      <c r="AY70" s="712"/>
      <c r="AZ70" s="605">
        <f t="shared" si="70"/>
        <v>0</v>
      </c>
      <c r="BA70" s="712"/>
      <c r="BB70" s="605">
        <f t="shared" si="71"/>
        <v>0</v>
      </c>
      <c r="BC70" s="712"/>
      <c r="BD70" s="605">
        <f t="shared" si="72"/>
        <v>0</v>
      </c>
      <c r="BE70" s="712"/>
      <c r="BF70" s="712">
        <f t="shared" si="65"/>
        <v>0</v>
      </c>
      <c r="BG70" s="712"/>
      <c r="BH70" s="712">
        <f t="shared" si="66"/>
        <v>0</v>
      </c>
      <c r="BJ70" s="590">
        <f t="shared" si="62"/>
        <v>428</v>
      </c>
    </row>
    <row r="71" spans="1:62">
      <c r="A71" s="590">
        <f t="shared" si="63"/>
        <v>429</v>
      </c>
      <c r="B71" s="729" t="s">
        <v>1806</v>
      </c>
      <c r="F71" s="715" t="s">
        <v>1753</v>
      </c>
      <c r="H71" s="723"/>
      <c r="J71" s="723"/>
      <c r="K71" s="712"/>
      <c r="L71" s="723"/>
      <c r="M71" s="712"/>
      <c r="N71" s="723"/>
      <c r="O71" s="712"/>
      <c r="R71" s="713" t="s">
        <v>1749</v>
      </c>
      <c r="T71" s="712">
        <v>0</v>
      </c>
      <c r="U71" s="712"/>
      <c r="V71" s="712">
        <f t="shared" si="67"/>
        <v>0</v>
      </c>
      <c r="W71" s="712"/>
      <c r="X71" s="712">
        <v>0</v>
      </c>
      <c r="Y71" s="712"/>
      <c r="Z71" s="712">
        <f t="shared" si="68"/>
        <v>0</v>
      </c>
      <c r="AA71" s="712"/>
      <c r="AB71" s="607" t="s">
        <v>1548</v>
      </c>
      <c r="AC71" s="712"/>
      <c r="AD71" s="712">
        <v>0</v>
      </c>
      <c r="AE71" s="712"/>
      <c r="AF71" s="723"/>
      <c r="AG71" s="712"/>
      <c r="AH71" s="712">
        <v>0</v>
      </c>
      <c r="AI71" s="712"/>
      <c r="AJ71" s="607" t="s">
        <v>1759</v>
      </c>
      <c r="AK71" s="712"/>
      <c r="AL71" s="605">
        <f t="shared" si="69"/>
        <v>0</v>
      </c>
      <c r="AM71" s="712"/>
      <c r="AN71" s="605">
        <f t="shared" si="69"/>
        <v>0</v>
      </c>
      <c r="AO71" s="712"/>
      <c r="AP71" s="605">
        <f t="shared" si="69"/>
        <v>0</v>
      </c>
      <c r="AQ71" s="712"/>
      <c r="AR71" s="712">
        <f t="shared" si="64"/>
        <v>0</v>
      </c>
      <c r="AT71" s="712">
        <v>0</v>
      </c>
      <c r="AU71" s="712"/>
      <c r="AV71" s="723"/>
      <c r="AW71" s="712"/>
      <c r="AX71" s="712">
        <v>0</v>
      </c>
      <c r="AY71" s="712"/>
      <c r="AZ71" s="605">
        <f t="shared" si="70"/>
        <v>0</v>
      </c>
      <c r="BA71" s="712"/>
      <c r="BB71" s="605">
        <f t="shared" si="71"/>
        <v>0</v>
      </c>
      <c r="BC71" s="712"/>
      <c r="BD71" s="605">
        <f t="shared" si="72"/>
        <v>0</v>
      </c>
      <c r="BE71" s="712"/>
      <c r="BF71" s="712">
        <f t="shared" si="65"/>
        <v>0</v>
      </c>
      <c r="BG71" s="712"/>
      <c r="BH71" s="712">
        <f t="shared" si="66"/>
        <v>0</v>
      </c>
      <c r="BJ71" s="590">
        <f t="shared" si="62"/>
        <v>429</v>
      </c>
    </row>
    <row r="72" spans="1:62">
      <c r="A72" s="590">
        <f t="shared" si="63"/>
        <v>430</v>
      </c>
      <c r="B72" s="729" t="s">
        <v>1807</v>
      </c>
      <c r="F72" s="715" t="s">
        <v>1753</v>
      </c>
      <c r="H72" s="723"/>
      <c r="J72" s="723"/>
      <c r="K72" s="712"/>
      <c r="L72" s="723"/>
      <c r="M72" s="712"/>
      <c r="N72" s="723"/>
      <c r="O72" s="712"/>
      <c r="R72" s="713" t="s">
        <v>1749</v>
      </c>
      <c r="T72" s="712">
        <v>0</v>
      </c>
      <c r="U72" s="712"/>
      <c r="V72" s="712">
        <f t="shared" si="67"/>
        <v>0</v>
      </c>
      <c r="W72" s="712"/>
      <c r="X72" s="712">
        <v>0</v>
      </c>
      <c r="Y72" s="712"/>
      <c r="Z72" s="712">
        <f t="shared" si="68"/>
        <v>0</v>
      </c>
      <c r="AA72" s="712"/>
      <c r="AB72" s="607" t="s">
        <v>1548</v>
      </c>
      <c r="AC72" s="712"/>
      <c r="AD72" s="712">
        <v>0</v>
      </c>
      <c r="AE72" s="712"/>
      <c r="AF72" s="723"/>
      <c r="AG72" s="712"/>
      <c r="AH72" s="712">
        <v>0</v>
      </c>
      <c r="AI72" s="712"/>
      <c r="AJ72" s="607" t="s">
        <v>1759</v>
      </c>
      <c r="AK72" s="712"/>
      <c r="AL72" s="605">
        <f t="shared" si="69"/>
        <v>0</v>
      </c>
      <c r="AM72" s="712"/>
      <c r="AN72" s="605">
        <f t="shared" si="69"/>
        <v>0</v>
      </c>
      <c r="AO72" s="712"/>
      <c r="AP72" s="605">
        <f t="shared" si="69"/>
        <v>0</v>
      </c>
      <c r="AQ72" s="712"/>
      <c r="AR72" s="712">
        <f t="shared" si="64"/>
        <v>0</v>
      </c>
      <c r="AT72" s="712">
        <v>0</v>
      </c>
      <c r="AU72" s="712"/>
      <c r="AV72" s="723"/>
      <c r="AW72" s="712"/>
      <c r="AX72" s="712">
        <v>0</v>
      </c>
      <c r="AY72" s="712"/>
      <c r="AZ72" s="605">
        <f t="shared" si="70"/>
        <v>0</v>
      </c>
      <c r="BA72" s="712"/>
      <c r="BB72" s="605">
        <f t="shared" si="71"/>
        <v>0</v>
      </c>
      <c r="BC72" s="712"/>
      <c r="BD72" s="605">
        <f t="shared" si="72"/>
        <v>0</v>
      </c>
      <c r="BE72" s="712"/>
      <c r="BF72" s="712">
        <f t="shared" si="65"/>
        <v>0</v>
      </c>
      <c r="BG72" s="712"/>
      <c r="BH72" s="712">
        <f t="shared" si="66"/>
        <v>0</v>
      </c>
      <c r="BJ72" s="590">
        <f t="shared" si="62"/>
        <v>430</v>
      </c>
    </row>
    <row r="73" spans="1:62">
      <c r="A73" s="590">
        <f t="shared" si="63"/>
        <v>431</v>
      </c>
      <c r="B73" s="729" t="s">
        <v>1808</v>
      </c>
      <c r="F73" s="715" t="s">
        <v>1753</v>
      </c>
      <c r="H73" s="723"/>
      <c r="J73" s="723"/>
      <c r="K73" s="712"/>
      <c r="L73" s="723"/>
      <c r="M73" s="712"/>
      <c r="N73" s="723"/>
      <c r="O73" s="712"/>
      <c r="R73" s="713" t="s">
        <v>1749</v>
      </c>
      <c r="T73" s="712">
        <v>0</v>
      </c>
      <c r="U73" s="712"/>
      <c r="V73" s="712">
        <f t="shared" si="67"/>
        <v>0</v>
      </c>
      <c r="W73" s="712"/>
      <c r="X73" s="712">
        <v>0</v>
      </c>
      <c r="Y73" s="712"/>
      <c r="Z73" s="712">
        <f t="shared" si="68"/>
        <v>0</v>
      </c>
      <c r="AA73" s="712"/>
      <c r="AB73" s="607" t="s">
        <v>1548</v>
      </c>
      <c r="AC73" s="712"/>
      <c r="AD73" s="712">
        <v>0</v>
      </c>
      <c r="AE73" s="712"/>
      <c r="AF73" s="723"/>
      <c r="AG73" s="712"/>
      <c r="AH73" s="712">
        <v>0</v>
      </c>
      <c r="AI73" s="712"/>
      <c r="AJ73" s="607" t="s">
        <v>1759</v>
      </c>
      <c r="AK73" s="712"/>
      <c r="AL73" s="605">
        <f t="shared" si="69"/>
        <v>0</v>
      </c>
      <c r="AM73" s="712"/>
      <c r="AN73" s="605">
        <f t="shared" si="69"/>
        <v>0</v>
      </c>
      <c r="AO73" s="712"/>
      <c r="AP73" s="605">
        <f t="shared" si="69"/>
        <v>0</v>
      </c>
      <c r="AQ73" s="712"/>
      <c r="AR73" s="712">
        <f t="shared" si="64"/>
        <v>0</v>
      </c>
      <c r="AT73" s="712">
        <v>0</v>
      </c>
      <c r="AU73" s="712"/>
      <c r="AV73" s="723"/>
      <c r="AW73" s="712"/>
      <c r="AX73" s="712">
        <v>0</v>
      </c>
      <c r="AY73" s="712"/>
      <c r="AZ73" s="605">
        <f t="shared" si="70"/>
        <v>0</v>
      </c>
      <c r="BA73" s="712"/>
      <c r="BB73" s="605">
        <f t="shared" si="71"/>
        <v>0</v>
      </c>
      <c r="BC73" s="712"/>
      <c r="BD73" s="605">
        <f t="shared" si="72"/>
        <v>0</v>
      </c>
      <c r="BE73" s="712"/>
      <c r="BF73" s="712">
        <f t="shared" si="65"/>
        <v>0</v>
      </c>
      <c r="BG73" s="712"/>
      <c r="BH73" s="712">
        <f t="shared" si="66"/>
        <v>0</v>
      </c>
      <c r="BJ73" s="590">
        <f t="shared" si="62"/>
        <v>431</v>
      </c>
    </row>
    <row r="74" spans="1:62">
      <c r="A74" s="590">
        <f t="shared" si="63"/>
        <v>432</v>
      </c>
      <c r="B74" s="729" t="s">
        <v>1809</v>
      </c>
      <c r="F74" s="715" t="s">
        <v>1753</v>
      </c>
      <c r="H74" s="723"/>
      <c r="J74" s="723"/>
      <c r="K74" s="712"/>
      <c r="L74" s="723"/>
      <c r="M74" s="712"/>
      <c r="N74" s="723"/>
      <c r="O74" s="712"/>
      <c r="R74" s="713" t="s">
        <v>1749</v>
      </c>
      <c r="T74" s="712">
        <v>0</v>
      </c>
      <c r="U74" s="712"/>
      <c r="V74" s="712">
        <f t="shared" si="67"/>
        <v>0</v>
      </c>
      <c r="W74" s="712"/>
      <c r="X74" s="712">
        <v>0</v>
      </c>
      <c r="Y74" s="712"/>
      <c r="Z74" s="712">
        <f t="shared" si="68"/>
        <v>0</v>
      </c>
      <c r="AA74" s="712"/>
      <c r="AB74" s="607" t="s">
        <v>1548</v>
      </c>
      <c r="AC74" s="712"/>
      <c r="AD74" s="712">
        <v>0</v>
      </c>
      <c r="AE74" s="712"/>
      <c r="AF74" s="723"/>
      <c r="AG74" s="712"/>
      <c r="AH74" s="712">
        <v>0</v>
      </c>
      <c r="AI74" s="712"/>
      <c r="AJ74" s="607" t="s">
        <v>1759</v>
      </c>
      <c r="AK74" s="712"/>
      <c r="AL74" s="605">
        <f t="shared" si="69"/>
        <v>0</v>
      </c>
      <c r="AM74" s="712"/>
      <c r="AN74" s="605">
        <f t="shared" si="69"/>
        <v>0</v>
      </c>
      <c r="AO74" s="712"/>
      <c r="AP74" s="605">
        <f t="shared" si="69"/>
        <v>0</v>
      </c>
      <c r="AQ74" s="712"/>
      <c r="AR74" s="712">
        <f t="shared" si="64"/>
        <v>0</v>
      </c>
      <c r="AT74" s="712">
        <v>0</v>
      </c>
      <c r="AU74" s="712"/>
      <c r="AV74" s="723"/>
      <c r="AW74" s="712"/>
      <c r="AX74" s="712">
        <v>0</v>
      </c>
      <c r="AY74" s="712"/>
      <c r="AZ74" s="605">
        <f t="shared" si="70"/>
        <v>0</v>
      </c>
      <c r="BA74" s="712"/>
      <c r="BB74" s="605">
        <f t="shared" si="71"/>
        <v>0</v>
      </c>
      <c r="BC74" s="712"/>
      <c r="BD74" s="605">
        <f t="shared" si="72"/>
        <v>0</v>
      </c>
      <c r="BE74" s="712"/>
      <c r="BF74" s="712">
        <f t="shared" si="65"/>
        <v>0</v>
      </c>
      <c r="BG74" s="712"/>
      <c r="BH74" s="712">
        <f t="shared" si="66"/>
        <v>0</v>
      </c>
      <c r="BJ74" s="590">
        <f t="shared" si="62"/>
        <v>432</v>
      </c>
    </row>
    <row r="75" spans="1:62">
      <c r="A75" s="590">
        <f t="shared" si="63"/>
        <v>433</v>
      </c>
      <c r="B75" s="729" t="s">
        <v>1810</v>
      </c>
      <c r="F75" s="715" t="s">
        <v>1753</v>
      </c>
      <c r="H75" s="723"/>
      <c r="J75" s="723"/>
      <c r="K75" s="712"/>
      <c r="L75" s="723"/>
      <c r="M75" s="712"/>
      <c r="N75" s="723"/>
      <c r="O75" s="712"/>
      <c r="R75" s="713" t="s">
        <v>1749</v>
      </c>
      <c r="T75" s="712">
        <v>0</v>
      </c>
      <c r="U75" s="712"/>
      <c r="V75" s="712">
        <f t="shared" si="67"/>
        <v>0</v>
      </c>
      <c r="W75" s="712"/>
      <c r="X75" s="712">
        <v>0</v>
      </c>
      <c r="Y75" s="712"/>
      <c r="Z75" s="712">
        <f t="shared" si="68"/>
        <v>0</v>
      </c>
      <c r="AA75" s="712"/>
      <c r="AB75" s="607" t="s">
        <v>1548</v>
      </c>
      <c r="AC75" s="712"/>
      <c r="AD75" s="712">
        <v>0</v>
      </c>
      <c r="AE75" s="712"/>
      <c r="AF75" s="723"/>
      <c r="AG75" s="712"/>
      <c r="AH75" s="712">
        <v>0</v>
      </c>
      <c r="AI75" s="712"/>
      <c r="AJ75" s="607" t="s">
        <v>1759</v>
      </c>
      <c r="AK75" s="712"/>
      <c r="AL75" s="605">
        <f t="shared" si="69"/>
        <v>0</v>
      </c>
      <c r="AM75" s="712"/>
      <c r="AN75" s="605">
        <f t="shared" si="69"/>
        <v>0</v>
      </c>
      <c r="AO75" s="712"/>
      <c r="AP75" s="605">
        <f t="shared" si="69"/>
        <v>0</v>
      </c>
      <c r="AQ75" s="712"/>
      <c r="AR75" s="712">
        <f t="shared" si="64"/>
        <v>0</v>
      </c>
      <c r="AT75" s="712">
        <v>0</v>
      </c>
      <c r="AU75" s="712"/>
      <c r="AV75" s="723"/>
      <c r="AW75" s="712"/>
      <c r="AX75" s="712">
        <v>0</v>
      </c>
      <c r="AY75" s="712"/>
      <c r="AZ75" s="605">
        <f t="shared" si="70"/>
        <v>0</v>
      </c>
      <c r="BA75" s="712"/>
      <c r="BB75" s="605">
        <f t="shared" si="71"/>
        <v>0</v>
      </c>
      <c r="BC75" s="712"/>
      <c r="BD75" s="605">
        <f t="shared" si="72"/>
        <v>0</v>
      </c>
      <c r="BE75" s="712"/>
      <c r="BF75" s="712">
        <f t="shared" si="65"/>
        <v>0</v>
      </c>
      <c r="BG75" s="712"/>
      <c r="BH75" s="712">
        <f t="shared" si="66"/>
        <v>0</v>
      </c>
      <c r="BJ75" s="590">
        <f t="shared" si="62"/>
        <v>433</v>
      </c>
    </row>
    <row r="76" spans="1:62">
      <c r="A76" s="590">
        <f t="shared" si="63"/>
        <v>434</v>
      </c>
      <c r="B76" s="729" t="s">
        <v>1811</v>
      </c>
      <c r="F76" s="715" t="s">
        <v>1753</v>
      </c>
      <c r="H76" s="723"/>
      <c r="J76" s="723"/>
      <c r="K76" s="712"/>
      <c r="L76" s="723"/>
      <c r="M76" s="712"/>
      <c r="N76" s="723"/>
      <c r="O76" s="712"/>
      <c r="R76" s="713" t="s">
        <v>1749</v>
      </c>
      <c r="T76" s="712">
        <v>0</v>
      </c>
      <c r="U76" s="712"/>
      <c r="V76" s="712">
        <f t="shared" si="67"/>
        <v>0</v>
      </c>
      <c r="W76" s="712"/>
      <c r="X76" s="712">
        <v>0</v>
      </c>
      <c r="Y76" s="712"/>
      <c r="Z76" s="712">
        <f t="shared" si="68"/>
        <v>0</v>
      </c>
      <c r="AA76" s="712"/>
      <c r="AB76" s="607" t="s">
        <v>1548</v>
      </c>
      <c r="AC76" s="712"/>
      <c r="AD76" s="712">
        <v>0</v>
      </c>
      <c r="AE76" s="712"/>
      <c r="AF76" s="723"/>
      <c r="AG76" s="712"/>
      <c r="AH76" s="712">
        <v>0</v>
      </c>
      <c r="AI76" s="712"/>
      <c r="AJ76" s="607" t="s">
        <v>1759</v>
      </c>
      <c r="AK76" s="712"/>
      <c r="AL76" s="605">
        <f t="shared" si="69"/>
        <v>0</v>
      </c>
      <c r="AM76" s="712"/>
      <c r="AN76" s="605">
        <f t="shared" si="69"/>
        <v>0</v>
      </c>
      <c r="AO76" s="712"/>
      <c r="AP76" s="605">
        <f t="shared" si="69"/>
        <v>0</v>
      </c>
      <c r="AQ76" s="712"/>
      <c r="AR76" s="712">
        <f t="shared" si="64"/>
        <v>0</v>
      </c>
      <c r="AT76" s="712">
        <v>0</v>
      </c>
      <c r="AU76" s="712"/>
      <c r="AV76" s="723"/>
      <c r="AW76" s="712"/>
      <c r="AX76" s="712">
        <v>0</v>
      </c>
      <c r="AY76" s="712"/>
      <c r="AZ76" s="605">
        <f t="shared" si="70"/>
        <v>0</v>
      </c>
      <c r="BA76" s="712"/>
      <c r="BB76" s="605">
        <f t="shared" si="71"/>
        <v>0</v>
      </c>
      <c r="BC76" s="712"/>
      <c r="BD76" s="605">
        <f t="shared" si="72"/>
        <v>0</v>
      </c>
      <c r="BE76" s="712"/>
      <c r="BF76" s="712">
        <f t="shared" si="65"/>
        <v>0</v>
      </c>
      <c r="BG76" s="712"/>
      <c r="BH76" s="712">
        <f t="shared" si="66"/>
        <v>0</v>
      </c>
      <c r="BJ76" s="590">
        <f t="shared" si="62"/>
        <v>434</v>
      </c>
    </row>
    <row r="77" spans="1:62">
      <c r="A77" s="590">
        <f t="shared" si="63"/>
        <v>435</v>
      </c>
      <c r="B77" s="729" t="s">
        <v>1812</v>
      </c>
      <c r="F77" s="715" t="s">
        <v>1753</v>
      </c>
      <c r="H77" s="723"/>
      <c r="J77" s="723"/>
      <c r="K77" s="712"/>
      <c r="L77" s="723"/>
      <c r="M77" s="712"/>
      <c r="N77" s="723"/>
      <c r="O77" s="712"/>
      <c r="R77" s="713" t="s">
        <v>1749</v>
      </c>
      <c r="T77" s="712">
        <v>0</v>
      </c>
      <c r="U77" s="712"/>
      <c r="V77" s="712">
        <f t="shared" si="67"/>
        <v>0</v>
      </c>
      <c r="W77" s="712"/>
      <c r="X77" s="712">
        <v>0</v>
      </c>
      <c r="Y77" s="712"/>
      <c r="Z77" s="712">
        <f t="shared" si="68"/>
        <v>0</v>
      </c>
      <c r="AA77" s="712"/>
      <c r="AB77" s="607" t="s">
        <v>1548</v>
      </c>
      <c r="AC77" s="712"/>
      <c r="AD77" s="712">
        <v>0</v>
      </c>
      <c r="AE77" s="712"/>
      <c r="AF77" s="723"/>
      <c r="AG77" s="712"/>
      <c r="AH77" s="712">
        <v>0</v>
      </c>
      <c r="AI77" s="712"/>
      <c r="AJ77" s="607" t="s">
        <v>1759</v>
      </c>
      <c r="AK77" s="712"/>
      <c r="AL77" s="605">
        <f t="shared" si="69"/>
        <v>0</v>
      </c>
      <c r="AM77" s="712"/>
      <c r="AN77" s="605">
        <f t="shared" si="69"/>
        <v>0</v>
      </c>
      <c r="AO77" s="712"/>
      <c r="AP77" s="605">
        <f t="shared" si="69"/>
        <v>0</v>
      </c>
      <c r="AQ77" s="712"/>
      <c r="AR77" s="712">
        <f t="shared" si="64"/>
        <v>0</v>
      </c>
      <c r="AT77" s="712">
        <v>0</v>
      </c>
      <c r="AU77" s="712"/>
      <c r="AV77" s="723"/>
      <c r="AW77" s="712"/>
      <c r="AX77" s="712">
        <v>0</v>
      </c>
      <c r="AY77" s="712"/>
      <c r="AZ77" s="605">
        <f t="shared" si="70"/>
        <v>0</v>
      </c>
      <c r="BA77" s="712"/>
      <c r="BB77" s="605">
        <f t="shared" si="71"/>
        <v>0</v>
      </c>
      <c r="BC77" s="712"/>
      <c r="BD77" s="605">
        <f t="shared" si="72"/>
        <v>0</v>
      </c>
      <c r="BE77" s="712"/>
      <c r="BF77" s="712">
        <f t="shared" si="65"/>
        <v>0</v>
      </c>
      <c r="BG77" s="712"/>
      <c r="BH77" s="712">
        <f t="shared" si="66"/>
        <v>0</v>
      </c>
      <c r="BJ77" s="590">
        <f t="shared" si="62"/>
        <v>435</v>
      </c>
    </row>
    <row r="78" spans="1:62">
      <c r="A78" s="590">
        <f t="shared" si="63"/>
        <v>436</v>
      </c>
      <c r="B78" s="729" t="s">
        <v>1813</v>
      </c>
      <c r="F78" s="715" t="s">
        <v>1753</v>
      </c>
      <c r="H78" s="723"/>
      <c r="J78" s="723"/>
      <c r="K78" s="712"/>
      <c r="L78" s="723"/>
      <c r="M78" s="712"/>
      <c r="N78" s="723"/>
      <c r="O78" s="712"/>
      <c r="R78" s="713" t="s">
        <v>1749</v>
      </c>
      <c r="T78" s="712">
        <v>0</v>
      </c>
      <c r="U78" s="712"/>
      <c r="V78" s="712">
        <f t="shared" si="67"/>
        <v>0</v>
      </c>
      <c r="W78" s="712"/>
      <c r="X78" s="712">
        <v>0</v>
      </c>
      <c r="Y78" s="712"/>
      <c r="Z78" s="712">
        <f t="shared" si="68"/>
        <v>0</v>
      </c>
      <c r="AA78" s="712"/>
      <c r="AB78" s="607" t="s">
        <v>1548</v>
      </c>
      <c r="AC78" s="712"/>
      <c r="AD78" s="712">
        <v>0</v>
      </c>
      <c r="AE78" s="712"/>
      <c r="AF78" s="723"/>
      <c r="AG78" s="712"/>
      <c r="AH78" s="712">
        <v>0</v>
      </c>
      <c r="AI78" s="712"/>
      <c r="AJ78" s="607" t="s">
        <v>1759</v>
      </c>
      <c r="AK78" s="712"/>
      <c r="AL78" s="605">
        <f t="shared" si="69"/>
        <v>0</v>
      </c>
      <c r="AM78" s="712"/>
      <c r="AN78" s="605">
        <f t="shared" si="69"/>
        <v>0</v>
      </c>
      <c r="AO78" s="712"/>
      <c r="AP78" s="605">
        <f t="shared" si="69"/>
        <v>0</v>
      </c>
      <c r="AQ78" s="712"/>
      <c r="AR78" s="712">
        <f t="shared" si="64"/>
        <v>0</v>
      </c>
      <c r="AT78" s="712">
        <v>0</v>
      </c>
      <c r="AU78" s="712"/>
      <c r="AV78" s="723"/>
      <c r="AW78" s="712"/>
      <c r="AX78" s="712">
        <v>0</v>
      </c>
      <c r="AY78" s="712"/>
      <c r="AZ78" s="605">
        <f t="shared" si="70"/>
        <v>0</v>
      </c>
      <c r="BA78" s="712"/>
      <c r="BB78" s="605">
        <f t="shared" si="71"/>
        <v>0</v>
      </c>
      <c r="BC78" s="712"/>
      <c r="BD78" s="605">
        <f t="shared" si="72"/>
        <v>0</v>
      </c>
      <c r="BE78" s="712"/>
      <c r="BF78" s="712">
        <f t="shared" si="65"/>
        <v>0</v>
      </c>
      <c r="BG78" s="712"/>
      <c r="BH78" s="712">
        <f t="shared" si="66"/>
        <v>0</v>
      </c>
      <c r="BJ78" s="590">
        <f t="shared" si="62"/>
        <v>436</v>
      </c>
    </row>
    <row r="79" spans="1:62">
      <c r="A79" s="590">
        <f t="shared" si="63"/>
        <v>437</v>
      </c>
      <c r="B79" s="729" t="s">
        <v>1814</v>
      </c>
      <c r="F79" s="715" t="s">
        <v>1753</v>
      </c>
      <c r="H79" s="723"/>
      <c r="J79" s="723"/>
      <c r="K79" s="712"/>
      <c r="L79" s="723"/>
      <c r="M79" s="712"/>
      <c r="N79" s="723"/>
      <c r="O79" s="712"/>
      <c r="R79" s="713" t="s">
        <v>1749</v>
      </c>
      <c r="T79" s="712">
        <v>0</v>
      </c>
      <c r="U79" s="712"/>
      <c r="V79" s="712">
        <f t="shared" si="67"/>
        <v>0</v>
      </c>
      <c r="W79" s="712"/>
      <c r="X79" s="712">
        <v>0</v>
      </c>
      <c r="Y79" s="712"/>
      <c r="Z79" s="712">
        <f t="shared" si="68"/>
        <v>0</v>
      </c>
      <c r="AA79" s="712"/>
      <c r="AB79" s="607" t="s">
        <v>1548</v>
      </c>
      <c r="AC79" s="712"/>
      <c r="AD79" s="712">
        <v>0</v>
      </c>
      <c r="AE79" s="712"/>
      <c r="AF79" s="723"/>
      <c r="AG79" s="712"/>
      <c r="AH79" s="712">
        <v>0</v>
      </c>
      <c r="AI79" s="712"/>
      <c r="AJ79" s="607" t="s">
        <v>1759</v>
      </c>
      <c r="AK79" s="712"/>
      <c r="AL79" s="605">
        <f t="shared" si="69"/>
        <v>0</v>
      </c>
      <c r="AM79" s="712"/>
      <c r="AN79" s="605">
        <f t="shared" si="69"/>
        <v>0</v>
      </c>
      <c r="AO79" s="712"/>
      <c r="AP79" s="605">
        <f t="shared" si="69"/>
        <v>0</v>
      </c>
      <c r="AQ79" s="712"/>
      <c r="AR79" s="712">
        <f t="shared" si="64"/>
        <v>0</v>
      </c>
      <c r="AT79" s="712">
        <v>0</v>
      </c>
      <c r="AU79" s="712"/>
      <c r="AV79" s="723"/>
      <c r="AW79" s="712"/>
      <c r="AX79" s="712">
        <v>0</v>
      </c>
      <c r="AY79" s="712"/>
      <c r="AZ79" s="605">
        <f t="shared" si="70"/>
        <v>0</v>
      </c>
      <c r="BA79" s="712"/>
      <c r="BB79" s="605">
        <f t="shared" si="71"/>
        <v>0</v>
      </c>
      <c r="BC79" s="712"/>
      <c r="BD79" s="605">
        <f t="shared" si="72"/>
        <v>0</v>
      </c>
      <c r="BE79" s="712"/>
      <c r="BF79" s="712">
        <f t="shared" si="65"/>
        <v>0</v>
      </c>
      <c r="BG79" s="712"/>
      <c r="BH79" s="712">
        <f t="shared" si="66"/>
        <v>0</v>
      </c>
      <c r="BJ79" s="590">
        <f t="shared" si="62"/>
        <v>437</v>
      </c>
    </row>
    <row r="80" spans="1:62">
      <c r="A80" s="590">
        <f t="shared" si="63"/>
        <v>438</v>
      </c>
      <c r="B80" s="729" t="s">
        <v>1815</v>
      </c>
      <c r="F80" s="715" t="s">
        <v>1753</v>
      </c>
      <c r="H80" s="723"/>
      <c r="J80" s="723"/>
      <c r="K80" s="712"/>
      <c r="L80" s="723"/>
      <c r="M80" s="712"/>
      <c r="N80" s="723"/>
      <c r="O80" s="712"/>
      <c r="R80" s="713" t="s">
        <v>1749</v>
      </c>
      <c r="T80" s="712">
        <v>0</v>
      </c>
      <c r="U80" s="712"/>
      <c r="V80" s="712">
        <f t="shared" si="67"/>
        <v>0</v>
      </c>
      <c r="W80" s="712"/>
      <c r="X80" s="712">
        <v>0</v>
      </c>
      <c r="Y80" s="712"/>
      <c r="Z80" s="712">
        <f t="shared" si="68"/>
        <v>0</v>
      </c>
      <c r="AA80" s="712"/>
      <c r="AB80" s="607" t="s">
        <v>1548</v>
      </c>
      <c r="AC80" s="712"/>
      <c r="AD80" s="712">
        <v>0</v>
      </c>
      <c r="AE80" s="712"/>
      <c r="AF80" s="723"/>
      <c r="AG80" s="712"/>
      <c r="AH80" s="712">
        <v>0</v>
      </c>
      <c r="AI80" s="712"/>
      <c r="AJ80" s="607" t="s">
        <v>1759</v>
      </c>
      <c r="AK80" s="712"/>
      <c r="AL80" s="605">
        <f t="shared" si="69"/>
        <v>0</v>
      </c>
      <c r="AM80" s="712"/>
      <c r="AN80" s="605">
        <f t="shared" si="69"/>
        <v>0</v>
      </c>
      <c r="AO80" s="712"/>
      <c r="AP80" s="605">
        <f t="shared" si="69"/>
        <v>0</v>
      </c>
      <c r="AQ80" s="712"/>
      <c r="AR80" s="712">
        <f t="shared" si="64"/>
        <v>0</v>
      </c>
      <c r="AT80" s="712">
        <v>0</v>
      </c>
      <c r="AU80" s="712"/>
      <c r="AV80" s="723"/>
      <c r="AW80" s="712"/>
      <c r="AX80" s="712">
        <v>0</v>
      </c>
      <c r="AY80" s="712"/>
      <c r="AZ80" s="605">
        <f t="shared" si="70"/>
        <v>0</v>
      </c>
      <c r="BA80" s="712"/>
      <c r="BB80" s="605">
        <f t="shared" si="71"/>
        <v>0</v>
      </c>
      <c r="BC80" s="712"/>
      <c r="BD80" s="605">
        <f t="shared" si="72"/>
        <v>0</v>
      </c>
      <c r="BE80" s="712"/>
      <c r="BF80" s="712">
        <f t="shared" si="65"/>
        <v>0</v>
      </c>
      <c r="BG80" s="712"/>
      <c r="BH80" s="712">
        <f t="shared" si="66"/>
        <v>0</v>
      </c>
      <c r="BJ80" s="590">
        <f t="shared" si="62"/>
        <v>438</v>
      </c>
    </row>
    <row r="81" spans="1:62">
      <c r="A81" s="590">
        <f t="shared" si="63"/>
        <v>439</v>
      </c>
      <c r="B81" s="729" t="s">
        <v>1816</v>
      </c>
      <c r="F81" s="715" t="s">
        <v>1753</v>
      </c>
      <c r="H81" s="723"/>
      <c r="J81" s="723"/>
      <c r="K81" s="712"/>
      <c r="L81" s="723"/>
      <c r="M81" s="712"/>
      <c r="N81" s="723"/>
      <c r="O81" s="712"/>
      <c r="R81" s="713" t="s">
        <v>1749</v>
      </c>
      <c r="T81" s="712">
        <v>0</v>
      </c>
      <c r="U81" s="712"/>
      <c r="V81" s="712">
        <f t="shared" si="67"/>
        <v>0</v>
      </c>
      <c r="W81" s="712"/>
      <c r="X81" s="712">
        <v>0</v>
      </c>
      <c r="Y81" s="712"/>
      <c r="Z81" s="712">
        <f t="shared" si="68"/>
        <v>0</v>
      </c>
      <c r="AA81" s="712"/>
      <c r="AB81" s="607" t="s">
        <v>1548</v>
      </c>
      <c r="AC81" s="712"/>
      <c r="AD81" s="712">
        <v>0</v>
      </c>
      <c r="AE81" s="712"/>
      <c r="AF81" s="723"/>
      <c r="AG81" s="712"/>
      <c r="AH81" s="712">
        <v>0</v>
      </c>
      <c r="AI81" s="712"/>
      <c r="AJ81" s="607" t="s">
        <v>1759</v>
      </c>
      <c r="AK81" s="712"/>
      <c r="AL81" s="605">
        <f t="shared" si="69"/>
        <v>0</v>
      </c>
      <c r="AM81" s="712"/>
      <c r="AN81" s="605">
        <f t="shared" si="69"/>
        <v>0</v>
      </c>
      <c r="AO81" s="712"/>
      <c r="AP81" s="605">
        <f t="shared" si="69"/>
        <v>0</v>
      </c>
      <c r="AQ81" s="712"/>
      <c r="AR81" s="712">
        <f t="shared" si="64"/>
        <v>0</v>
      </c>
      <c r="AT81" s="712">
        <v>0</v>
      </c>
      <c r="AU81" s="712"/>
      <c r="AV81" s="723"/>
      <c r="AW81" s="712"/>
      <c r="AX81" s="712">
        <v>0</v>
      </c>
      <c r="AY81" s="712"/>
      <c r="AZ81" s="605">
        <f t="shared" si="70"/>
        <v>0</v>
      </c>
      <c r="BA81" s="712"/>
      <c r="BB81" s="605">
        <f t="shared" si="71"/>
        <v>0</v>
      </c>
      <c r="BC81" s="712"/>
      <c r="BD81" s="605">
        <f t="shared" si="72"/>
        <v>0</v>
      </c>
      <c r="BE81" s="712"/>
      <c r="BF81" s="712">
        <f t="shared" si="65"/>
        <v>0</v>
      </c>
      <c r="BG81" s="712"/>
      <c r="BH81" s="712">
        <f t="shared" si="66"/>
        <v>0</v>
      </c>
      <c r="BJ81" s="590">
        <f t="shared" si="62"/>
        <v>439</v>
      </c>
    </row>
    <row r="82" spans="1:62">
      <c r="A82" s="590">
        <f t="shared" si="63"/>
        <v>440</v>
      </c>
      <c r="B82" s="729" t="s">
        <v>1817</v>
      </c>
      <c r="F82" s="715" t="s">
        <v>1753</v>
      </c>
      <c r="H82" s="723"/>
      <c r="J82" s="723"/>
      <c r="K82" s="712"/>
      <c r="L82" s="723"/>
      <c r="M82" s="712"/>
      <c r="N82" s="723"/>
      <c r="O82" s="712"/>
      <c r="R82" s="713" t="s">
        <v>1749</v>
      </c>
      <c r="T82" s="712">
        <v>0</v>
      </c>
      <c r="U82" s="712"/>
      <c r="V82" s="712">
        <f t="shared" si="67"/>
        <v>0</v>
      </c>
      <c r="W82" s="712"/>
      <c r="X82" s="712">
        <v>0</v>
      </c>
      <c r="Y82" s="712"/>
      <c r="Z82" s="712">
        <f t="shared" si="68"/>
        <v>0</v>
      </c>
      <c r="AA82" s="712"/>
      <c r="AB82" s="607" t="s">
        <v>1548</v>
      </c>
      <c r="AC82" s="712"/>
      <c r="AD82" s="712">
        <v>0</v>
      </c>
      <c r="AE82" s="712"/>
      <c r="AF82" s="723"/>
      <c r="AG82" s="712"/>
      <c r="AH82" s="712">
        <v>0</v>
      </c>
      <c r="AI82" s="712"/>
      <c r="AJ82" s="607" t="s">
        <v>1759</v>
      </c>
      <c r="AK82" s="712"/>
      <c r="AL82" s="605">
        <f t="shared" si="69"/>
        <v>0</v>
      </c>
      <c r="AM82" s="712"/>
      <c r="AN82" s="605">
        <f t="shared" si="69"/>
        <v>0</v>
      </c>
      <c r="AO82" s="712"/>
      <c r="AP82" s="605">
        <f t="shared" si="69"/>
        <v>0</v>
      </c>
      <c r="AQ82" s="712"/>
      <c r="AR82" s="712">
        <f t="shared" si="64"/>
        <v>0</v>
      </c>
      <c r="AT82" s="712">
        <v>0</v>
      </c>
      <c r="AU82" s="712"/>
      <c r="AV82" s="723"/>
      <c r="AW82" s="712"/>
      <c r="AX82" s="712">
        <v>0</v>
      </c>
      <c r="AY82" s="712"/>
      <c r="AZ82" s="605">
        <f t="shared" si="70"/>
        <v>0</v>
      </c>
      <c r="BA82" s="712"/>
      <c r="BB82" s="605">
        <f t="shared" si="71"/>
        <v>0</v>
      </c>
      <c r="BC82" s="712"/>
      <c r="BD82" s="605">
        <f t="shared" si="72"/>
        <v>0</v>
      </c>
      <c r="BE82" s="712"/>
      <c r="BF82" s="712">
        <f t="shared" si="65"/>
        <v>0</v>
      </c>
      <c r="BG82" s="712"/>
      <c r="BH82" s="712">
        <f t="shared" si="66"/>
        <v>0</v>
      </c>
      <c r="BJ82" s="590">
        <f t="shared" si="62"/>
        <v>440</v>
      </c>
    </row>
    <row r="83" spans="1:62">
      <c r="A83" s="590">
        <f t="shared" si="63"/>
        <v>441</v>
      </c>
      <c r="B83" s="729" t="s">
        <v>1818</v>
      </c>
      <c r="F83" s="715" t="s">
        <v>1753</v>
      </c>
      <c r="H83" s="723"/>
      <c r="J83" s="723"/>
      <c r="K83" s="712"/>
      <c r="L83" s="723"/>
      <c r="M83" s="712"/>
      <c r="N83" s="723"/>
      <c r="O83" s="712"/>
      <c r="R83" s="713" t="s">
        <v>1749</v>
      </c>
      <c r="T83" s="712">
        <v>0</v>
      </c>
      <c r="U83" s="712"/>
      <c r="V83" s="712">
        <f t="shared" si="67"/>
        <v>0</v>
      </c>
      <c r="W83" s="712"/>
      <c r="X83" s="712">
        <v>0</v>
      </c>
      <c r="Y83" s="712"/>
      <c r="Z83" s="712">
        <f t="shared" si="68"/>
        <v>0</v>
      </c>
      <c r="AA83" s="712"/>
      <c r="AB83" s="607" t="s">
        <v>1548</v>
      </c>
      <c r="AC83" s="712"/>
      <c r="AD83" s="712">
        <v>0</v>
      </c>
      <c r="AE83" s="712"/>
      <c r="AF83" s="723"/>
      <c r="AG83" s="712"/>
      <c r="AH83" s="712">
        <v>0</v>
      </c>
      <c r="AI83" s="712"/>
      <c r="AJ83" s="607" t="s">
        <v>1759</v>
      </c>
      <c r="AK83" s="712"/>
      <c r="AL83" s="605">
        <f t="shared" si="69"/>
        <v>0</v>
      </c>
      <c r="AM83" s="712"/>
      <c r="AN83" s="605">
        <f t="shared" si="69"/>
        <v>0</v>
      </c>
      <c r="AO83" s="712"/>
      <c r="AP83" s="605">
        <f t="shared" si="69"/>
        <v>0</v>
      </c>
      <c r="AQ83" s="712"/>
      <c r="AR83" s="712">
        <f t="shared" si="64"/>
        <v>0</v>
      </c>
      <c r="AT83" s="712">
        <v>0</v>
      </c>
      <c r="AU83" s="712"/>
      <c r="AV83" s="723"/>
      <c r="AW83" s="712"/>
      <c r="AX83" s="712">
        <v>0</v>
      </c>
      <c r="AY83" s="712"/>
      <c r="AZ83" s="605">
        <f t="shared" si="70"/>
        <v>0</v>
      </c>
      <c r="BA83" s="712"/>
      <c r="BB83" s="605">
        <f t="shared" si="71"/>
        <v>0</v>
      </c>
      <c r="BC83" s="712"/>
      <c r="BD83" s="605">
        <f t="shared" si="72"/>
        <v>0</v>
      </c>
      <c r="BE83" s="712"/>
      <c r="BF83" s="712">
        <f t="shared" si="65"/>
        <v>0</v>
      </c>
      <c r="BG83" s="712"/>
      <c r="BH83" s="712">
        <f t="shared" si="66"/>
        <v>0</v>
      </c>
      <c r="BJ83" s="590">
        <f t="shared" si="62"/>
        <v>441</v>
      </c>
    </row>
    <row r="84" spans="1:62">
      <c r="A84" s="590">
        <f t="shared" si="63"/>
        <v>442</v>
      </c>
      <c r="B84" s="729" t="s">
        <v>1819</v>
      </c>
      <c r="F84" s="715" t="s">
        <v>1753</v>
      </c>
      <c r="H84" s="723"/>
      <c r="J84" s="723"/>
      <c r="K84" s="712"/>
      <c r="L84" s="723"/>
      <c r="M84" s="712"/>
      <c r="N84" s="723"/>
      <c r="O84" s="712"/>
      <c r="R84" s="713" t="s">
        <v>1749</v>
      </c>
      <c r="T84" s="712">
        <v>0</v>
      </c>
      <c r="U84" s="712"/>
      <c r="V84" s="712">
        <f t="shared" si="67"/>
        <v>0</v>
      </c>
      <c r="W84" s="712"/>
      <c r="X84" s="712">
        <v>0</v>
      </c>
      <c r="Y84" s="712"/>
      <c r="Z84" s="712">
        <f t="shared" si="68"/>
        <v>0</v>
      </c>
      <c r="AA84" s="712"/>
      <c r="AB84" s="607" t="s">
        <v>1548</v>
      </c>
      <c r="AC84" s="712"/>
      <c r="AD84" s="712">
        <v>0</v>
      </c>
      <c r="AE84" s="712"/>
      <c r="AF84" s="723"/>
      <c r="AG84" s="712"/>
      <c r="AH84" s="712">
        <v>0</v>
      </c>
      <c r="AI84" s="712"/>
      <c r="AJ84" s="607" t="s">
        <v>1759</v>
      </c>
      <c r="AK84" s="712"/>
      <c r="AL84" s="605">
        <f t="shared" si="69"/>
        <v>0</v>
      </c>
      <c r="AM84" s="712"/>
      <c r="AN84" s="605">
        <f t="shared" si="69"/>
        <v>0</v>
      </c>
      <c r="AO84" s="712"/>
      <c r="AP84" s="605">
        <f t="shared" si="69"/>
        <v>0</v>
      </c>
      <c r="AQ84" s="712"/>
      <c r="AR84" s="712">
        <f t="shared" si="64"/>
        <v>0</v>
      </c>
      <c r="AT84" s="712">
        <v>0</v>
      </c>
      <c r="AU84" s="712"/>
      <c r="AV84" s="723"/>
      <c r="AW84" s="712"/>
      <c r="AX84" s="712">
        <v>0</v>
      </c>
      <c r="AY84" s="712"/>
      <c r="AZ84" s="605">
        <f t="shared" si="70"/>
        <v>0</v>
      </c>
      <c r="BA84" s="712"/>
      <c r="BB84" s="605">
        <f t="shared" si="71"/>
        <v>0</v>
      </c>
      <c r="BC84" s="712"/>
      <c r="BD84" s="605">
        <f t="shared" si="72"/>
        <v>0</v>
      </c>
      <c r="BE84" s="712"/>
      <c r="BF84" s="712">
        <f t="shared" si="65"/>
        <v>0</v>
      </c>
      <c r="BG84" s="712"/>
      <c r="BH84" s="712">
        <f t="shared" si="66"/>
        <v>0</v>
      </c>
      <c r="BJ84" s="590">
        <f t="shared" si="62"/>
        <v>442</v>
      </c>
    </row>
    <row r="85" spans="1:62">
      <c r="A85" s="590">
        <f t="shared" si="63"/>
        <v>443</v>
      </c>
      <c r="B85" s="729" t="s">
        <v>1820</v>
      </c>
      <c r="F85" s="715" t="s">
        <v>1753</v>
      </c>
      <c r="H85" s="723"/>
      <c r="J85" s="723"/>
      <c r="K85" s="712"/>
      <c r="L85" s="723"/>
      <c r="M85" s="712"/>
      <c r="N85" s="723"/>
      <c r="O85" s="712"/>
      <c r="R85" s="713" t="s">
        <v>1749</v>
      </c>
      <c r="T85" s="712">
        <v>0</v>
      </c>
      <c r="U85" s="712"/>
      <c r="V85" s="712">
        <f t="shared" si="67"/>
        <v>0</v>
      </c>
      <c r="W85" s="712"/>
      <c r="X85" s="712">
        <v>0</v>
      </c>
      <c r="Y85" s="712"/>
      <c r="Z85" s="712">
        <f t="shared" si="68"/>
        <v>0</v>
      </c>
      <c r="AA85" s="712"/>
      <c r="AB85" s="607" t="s">
        <v>1548</v>
      </c>
      <c r="AC85" s="712"/>
      <c r="AD85" s="712">
        <v>0</v>
      </c>
      <c r="AE85" s="712"/>
      <c r="AF85" s="723"/>
      <c r="AG85" s="712"/>
      <c r="AH85" s="712">
        <v>0</v>
      </c>
      <c r="AI85" s="712"/>
      <c r="AJ85" s="607" t="s">
        <v>1759</v>
      </c>
      <c r="AK85" s="712"/>
      <c r="AL85" s="605">
        <f t="shared" si="69"/>
        <v>0</v>
      </c>
      <c r="AM85" s="712"/>
      <c r="AN85" s="605">
        <f t="shared" si="69"/>
        <v>0</v>
      </c>
      <c r="AO85" s="712"/>
      <c r="AP85" s="605">
        <f t="shared" si="69"/>
        <v>0</v>
      </c>
      <c r="AQ85" s="712"/>
      <c r="AR85" s="712">
        <f t="shared" si="64"/>
        <v>0</v>
      </c>
      <c r="AT85" s="712">
        <v>0</v>
      </c>
      <c r="AU85" s="712"/>
      <c r="AV85" s="723"/>
      <c r="AW85" s="712"/>
      <c r="AX85" s="712">
        <v>0</v>
      </c>
      <c r="AY85" s="712"/>
      <c r="AZ85" s="605">
        <f t="shared" si="70"/>
        <v>0</v>
      </c>
      <c r="BA85" s="712"/>
      <c r="BB85" s="605">
        <f t="shared" si="71"/>
        <v>0</v>
      </c>
      <c r="BC85" s="712"/>
      <c r="BD85" s="605">
        <f t="shared" si="72"/>
        <v>0</v>
      </c>
      <c r="BE85" s="712"/>
      <c r="BF85" s="712">
        <f t="shared" si="65"/>
        <v>0</v>
      </c>
      <c r="BG85" s="712"/>
      <c r="BH85" s="712">
        <f t="shared" si="66"/>
        <v>0</v>
      </c>
      <c r="BJ85" s="590">
        <f t="shared" si="62"/>
        <v>443</v>
      </c>
    </row>
    <row r="86" spans="1:62">
      <c r="A86" s="590">
        <f t="shared" si="63"/>
        <v>444</v>
      </c>
      <c r="B86" s="729" t="s">
        <v>1821</v>
      </c>
      <c r="F86" s="715" t="s">
        <v>1753</v>
      </c>
      <c r="H86" s="723"/>
      <c r="J86" s="723"/>
      <c r="K86" s="712"/>
      <c r="L86" s="723"/>
      <c r="M86" s="712"/>
      <c r="N86" s="723"/>
      <c r="O86" s="712"/>
      <c r="R86" s="713" t="s">
        <v>1749</v>
      </c>
      <c r="T86" s="712">
        <v>0</v>
      </c>
      <c r="U86" s="712"/>
      <c r="V86" s="712">
        <f t="shared" si="67"/>
        <v>0</v>
      </c>
      <c r="W86" s="712"/>
      <c r="X86" s="712">
        <v>0</v>
      </c>
      <c r="Y86" s="712"/>
      <c r="Z86" s="712">
        <f t="shared" si="68"/>
        <v>0</v>
      </c>
      <c r="AA86" s="712"/>
      <c r="AB86" s="607" t="s">
        <v>1548</v>
      </c>
      <c r="AC86" s="712"/>
      <c r="AD86" s="712">
        <v>0</v>
      </c>
      <c r="AE86" s="712"/>
      <c r="AF86" s="723"/>
      <c r="AG86" s="712"/>
      <c r="AH86" s="712">
        <v>0</v>
      </c>
      <c r="AI86" s="712"/>
      <c r="AJ86" s="607" t="s">
        <v>1759</v>
      </c>
      <c r="AK86" s="712"/>
      <c r="AL86" s="605">
        <f t="shared" si="69"/>
        <v>0</v>
      </c>
      <c r="AM86" s="712"/>
      <c r="AN86" s="605">
        <f t="shared" si="69"/>
        <v>0</v>
      </c>
      <c r="AO86" s="712"/>
      <c r="AP86" s="605">
        <f t="shared" si="69"/>
        <v>0</v>
      </c>
      <c r="AQ86" s="712"/>
      <c r="AR86" s="712">
        <f t="shared" si="64"/>
        <v>0</v>
      </c>
      <c r="AT86" s="712">
        <v>0</v>
      </c>
      <c r="AU86" s="712"/>
      <c r="AV86" s="723"/>
      <c r="AW86" s="712"/>
      <c r="AX86" s="712">
        <v>0</v>
      </c>
      <c r="AY86" s="712"/>
      <c r="AZ86" s="605">
        <f t="shared" si="70"/>
        <v>0</v>
      </c>
      <c r="BA86" s="712"/>
      <c r="BB86" s="605">
        <f t="shared" si="71"/>
        <v>0</v>
      </c>
      <c r="BC86" s="712"/>
      <c r="BD86" s="605">
        <f t="shared" si="72"/>
        <v>0</v>
      </c>
      <c r="BE86" s="712"/>
      <c r="BF86" s="712">
        <f t="shared" si="65"/>
        <v>0</v>
      </c>
      <c r="BG86" s="712"/>
      <c r="BH86" s="712">
        <f t="shared" si="66"/>
        <v>0</v>
      </c>
      <c r="BJ86" s="590">
        <f t="shared" si="62"/>
        <v>444</v>
      </c>
    </row>
    <row r="87" spans="1:62">
      <c r="A87" s="590">
        <f t="shared" si="63"/>
        <v>445</v>
      </c>
      <c r="B87" s="729" t="s">
        <v>1822</v>
      </c>
      <c r="F87" s="715" t="s">
        <v>1753</v>
      </c>
      <c r="H87" s="723"/>
      <c r="J87" s="723"/>
      <c r="K87" s="712"/>
      <c r="L87" s="723"/>
      <c r="M87" s="712"/>
      <c r="N87" s="723"/>
      <c r="O87" s="712"/>
      <c r="R87" s="713" t="s">
        <v>1749</v>
      </c>
      <c r="T87" s="712">
        <v>0</v>
      </c>
      <c r="U87" s="712"/>
      <c r="V87" s="712">
        <f t="shared" si="67"/>
        <v>0</v>
      </c>
      <c r="W87" s="712"/>
      <c r="X87" s="712">
        <v>0</v>
      </c>
      <c r="Y87" s="712"/>
      <c r="Z87" s="712">
        <f t="shared" si="68"/>
        <v>0</v>
      </c>
      <c r="AA87" s="712"/>
      <c r="AB87" s="607" t="s">
        <v>1548</v>
      </c>
      <c r="AC87" s="712"/>
      <c r="AD87" s="712">
        <v>0</v>
      </c>
      <c r="AE87" s="712"/>
      <c r="AF87" s="723"/>
      <c r="AG87" s="712"/>
      <c r="AH87" s="712">
        <v>0</v>
      </c>
      <c r="AI87" s="712"/>
      <c r="AJ87" s="607" t="s">
        <v>1759</v>
      </c>
      <c r="AK87" s="712"/>
      <c r="AL87" s="605">
        <f t="shared" si="69"/>
        <v>0</v>
      </c>
      <c r="AM87" s="712"/>
      <c r="AN87" s="605">
        <f t="shared" si="69"/>
        <v>0</v>
      </c>
      <c r="AO87" s="712"/>
      <c r="AP87" s="605">
        <f t="shared" si="69"/>
        <v>0</v>
      </c>
      <c r="AQ87" s="712"/>
      <c r="AR87" s="712">
        <f t="shared" si="64"/>
        <v>0</v>
      </c>
      <c r="AT87" s="712">
        <v>0</v>
      </c>
      <c r="AU87" s="712"/>
      <c r="AV87" s="723"/>
      <c r="AW87" s="712"/>
      <c r="AX87" s="712">
        <v>0</v>
      </c>
      <c r="AY87" s="712"/>
      <c r="AZ87" s="605">
        <f t="shared" si="70"/>
        <v>0</v>
      </c>
      <c r="BA87" s="712"/>
      <c r="BB87" s="605">
        <f t="shared" si="71"/>
        <v>0</v>
      </c>
      <c r="BC87" s="712"/>
      <c r="BD87" s="605">
        <f t="shared" si="72"/>
        <v>0</v>
      </c>
      <c r="BE87" s="712"/>
      <c r="BF87" s="712">
        <f t="shared" si="65"/>
        <v>0</v>
      </c>
      <c r="BG87" s="712"/>
      <c r="BH87" s="712">
        <f t="shared" si="66"/>
        <v>0</v>
      </c>
      <c r="BJ87" s="590">
        <f t="shared" si="62"/>
        <v>445</v>
      </c>
    </row>
    <row r="88" spans="1:62">
      <c r="A88" s="590">
        <f t="shared" si="63"/>
        <v>446</v>
      </c>
      <c r="B88" s="729" t="s">
        <v>1823</v>
      </c>
      <c r="F88" s="715" t="s">
        <v>1753</v>
      </c>
      <c r="H88" s="723"/>
      <c r="J88" s="723"/>
      <c r="K88" s="712"/>
      <c r="L88" s="723"/>
      <c r="M88" s="712"/>
      <c r="N88" s="723"/>
      <c r="O88" s="712"/>
      <c r="R88" s="713" t="s">
        <v>1749</v>
      </c>
      <c r="T88" s="712">
        <v>0</v>
      </c>
      <c r="U88" s="712"/>
      <c r="V88" s="712">
        <f t="shared" si="67"/>
        <v>0</v>
      </c>
      <c r="W88" s="712"/>
      <c r="X88" s="712">
        <v>0</v>
      </c>
      <c r="Y88" s="712"/>
      <c r="Z88" s="712">
        <f t="shared" si="68"/>
        <v>0</v>
      </c>
      <c r="AA88" s="712"/>
      <c r="AB88" s="607" t="s">
        <v>1548</v>
      </c>
      <c r="AC88" s="712"/>
      <c r="AD88" s="712">
        <v>0</v>
      </c>
      <c r="AE88" s="712"/>
      <c r="AF88" s="723"/>
      <c r="AG88" s="712"/>
      <c r="AH88" s="712">
        <v>0</v>
      </c>
      <c r="AI88" s="712"/>
      <c r="AJ88" s="607" t="s">
        <v>1759</v>
      </c>
      <c r="AK88" s="712"/>
      <c r="AL88" s="605">
        <f t="shared" si="69"/>
        <v>0</v>
      </c>
      <c r="AM88" s="712"/>
      <c r="AN88" s="605">
        <f t="shared" si="69"/>
        <v>0</v>
      </c>
      <c r="AO88" s="712"/>
      <c r="AP88" s="605">
        <f t="shared" si="69"/>
        <v>0</v>
      </c>
      <c r="AQ88" s="712"/>
      <c r="AR88" s="712">
        <f t="shared" si="64"/>
        <v>0</v>
      </c>
      <c r="AT88" s="712">
        <v>0</v>
      </c>
      <c r="AU88" s="712"/>
      <c r="AV88" s="723"/>
      <c r="AW88" s="712"/>
      <c r="AX88" s="712">
        <v>0</v>
      </c>
      <c r="AY88" s="712"/>
      <c r="AZ88" s="605">
        <f t="shared" si="70"/>
        <v>0</v>
      </c>
      <c r="BA88" s="712"/>
      <c r="BB88" s="605">
        <f t="shared" si="71"/>
        <v>0</v>
      </c>
      <c r="BC88" s="712"/>
      <c r="BD88" s="605">
        <f t="shared" si="72"/>
        <v>0</v>
      </c>
      <c r="BE88" s="712"/>
      <c r="BF88" s="712">
        <f t="shared" si="65"/>
        <v>0</v>
      </c>
      <c r="BG88" s="712"/>
      <c r="BH88" s="712">
        <f t="shared" si="66"/>
        <v>0</v>
      </c>
      <c r="BJ88" s="590">
        <f t="shared" si="62"/>
        <v>446</v>
      </c>
    </row>
    <row r="89" spans="1:62">
      <c r="A89" s="590">
        <f t="shared" si="63"/>
        <v>447</v>
      </c>
      <c r="B89" s="729" t="s">
        <v>1824</v>
      </c>
      <c r="F89" s="715" t="s">
        <v>1753</v>
      </c>
      <c r="H89" s="723"/>
      <c r="J89" s="723"/>
      <c r="K89" s="712"/>
      <c r="L89" s="723"/>
      <c r="M89" s="712"/>
      <c r="N89" s="723"/>
      <c r="O89" s="712"/>
      <c r="R89" s="713" t="s">
        <v>1749</v>
      </c>
      <c r="T89" s="712">
        <v>0</v>
      </c>
      <c r="U89" s="712"/>
      <c r="V89" s="712">
        <f t="shared" si="67"/>
        <v>0</v>
      </c>
      <c r="W89" s="712"/>
      <c r="X89" s="712">
        <v>0</v>
      </c>
      <c r="Y89" s="712"/>
      <c r="Z89" s="712">
        <f t="shared" si="68"/>
        <v>0</v>
      </c>
      <c r="AA89" s="712"/>
      <c r="AB89" s="607" t="s">
        <v>1548</v>
      </c>
      <c r="AC89" s="712"/>
      <c r="AD89" s="712">
        <v>0</v>
      </c>
      <c r="AE89" s="712"/>
      <c r="AF89" s="723"/>
      <c r="AG89" s="712"/>
      <c r="AH89" s="712">
        <v>0</v>
      </c>
      <c r="AI89" s="712"/>
      <c r="AJ89" s="607" t="s">
        <v>1759</v>
      </c>
      <c r="AK89" s="712"/>
      <c r="AL89" s="605">
        <f t="shared" si="69"/>
        <v>0</v>
      </c>
      <c r="AM89" s="712"/>
      <c r="AN89" s="605">
        <f t="shared" si="69"/>
        <v>0</v>
      </c>
      <c r="AO89" s="712"/>
      <c r="AP89" s="605">
        <f t="shared" si="69"/>
        <v>0</v>
      </c>
      <c r="AQ89" s="712"/>
      <c r="AR89" s="712">
        <f t="shared" si="64"/>
        <v>0</v>
      </c>
      <c r="AT89" s="712">
        <v>0</v>
      </c>
      <c r="AU89" s="712"/>
      <c r="AV89" s="723"/>
      <c r="AW89" s="712"/>
      <c r="AX89" s="712">
        <v>0</v>
      </c>
      <c r="AY89" s="712"/>
      <c r="AZ89" s="605">
        <f t="shared" si="70"/>
        <v>0</v>
      </c>
      <c r="BA89" s="712"/>
      <c r="BB89" s="605">
        <f t="shared" si="71"/>
        <v>0</v>
      </c>
      <c r="BC89" s="712"/>
      <c r="BD89" s="605">
        <f t="shared" si="72"/>
        <v>0</v>
      </c>
      <c r="BE89" s="712"/>
      <c r="BF89" s="712">
        <f t="shared" si="65"/>
        <v>0</v>
      </c>
      <c r="BG89" s="712"/>
      <c r="BH89" s="712">
        <f t="shared" si="66"/>
        <v>0</v>
      </c>
      <c r="BJ89" s="590">
        <f t="shared" si="62"/>
        <v>447</v>
      </c>
    </row>
    <row r="90" spans="1:62">
      <c r="A90" s="590">
        <f t="shared" si="63"/>
        <v>448</v>
      </c>
      <c r="B90" s="729" t="s">
        <v>1825</v>
      </c>
      <c r="F90" s="715" t="s">
        <v>1753</v>
      </c>
      <c r="H90" s="723"/>
      <c r="J90" s="723"/>
      <c r="K90" s="712"/>
      <c r="L90" s="723"/>
      <c r="M90" s="712"/>
      <c r="N90" s="723"/>
      <c r="O90" s="712"/>
      <c r="R90" s="713" t="s">
        <v>1749</v>
      </c>
      <c r="T90" s="712">
        <v>0</v>
      </c>
      <c r="U90" s="712"/>
      <c r="V90" s="712">
        <f t="shared" si="67"/>
        <v>0</v>
      </c>
      <c r="W90" s="712"/>
      <c r="X90" s="712">
        <v>0</v>
      </c>
      <c r="Y90" s="712"/>
      <c r="Z90" s="712">
        <f t="shared" si="68"/>
        <v>0</v>
      </c>
      <c r="AA90" s="712"/>
      <c r="AB90" s="607" t="s">
        <v>1548</v>
      </c>
      <c r="AC90" s="712"/>
      <c r="AD90" s="712">
        <v>0</v>
      </c>
      <c r="AE90" s="712"/>
      <c r="AF90" s="723"/>
      <c r="AG90" s="712"/>
      <c r="AH90" s="712">
        <v>0</v>
      </c>
      <c r="AI90" s="712"/>
      <c r="AJ90" s="607" t="s">
        <v>1759</v>
      </c>
      <c r="AK90" s="712"/>
      <c r="AL90" s="605">
        <f t="shared" si="69"/>
        <v>0</v>
      </c>
      <c r="AM90" s="712"/>
      <c r="AN90" s="605">
        <f t="shared" si="69"/>
        <v>0</v>
      </c>
      <c r="AO90" s="712"/>
      <c r="AP90" s="605">
        <f t="shared" si="69"/>
        <v>0</v>
      </c>
      <c r="AQ90" s="712"/>
      <c r="AR90" s="712">
        <f t="shared" si="64"/>
        <v>0</v>
      </c>
      <c r="AT90" s="712">
        <v>0</v>
      </c>
      <c r="AU90" s="712"/>
      <c r="AV90" s="723"/>
      <c r="AW90" s="712"/>
      <c r="AX90" s="712">
        <v>0</v>
      </c>
      <c r="AY90" s="712"/>
      <c r="AZ90" s="605">
        <f t="shared" si="70"/>
        <v>0</v>
      </c>
      <c r="BA90" s="712"/>
      <c r="BB90" s="605">
        <f t="shared" si="71"/>
        <v>0</v>
      </c>
      <c r="BC90" s="712"/>
      <c r="BD90" s="605">
        <f t="shared" si="72"/>
        <v>0</v>
      </c>
      <c r="BE90" s="712"/>
      <c r="BF90" s="712">
        <f t="shared" si="65"/>
        <v>0</v>
      </c>
      <c r="BG90" s="712"/>
      <c r="BH90" s="712">
        <f t="shared" si="66"/>
        <v>0</v>
      </c>
      <c r="BJ90" s="590">
        <f t="shared" si="62"/>
        <v>448</v>
      </c>
    </row>
    <row r="91" spans="1:62">
      <c r="A91" s="590">
        <f t="shared" si="63"/>
        <v>449</v>
      </c>
      <c r="B91" s="729" t="s">
        <v>1826</v>
      </c>
      <c r="F91" s="715" t="s">
        <v>1753</v>
      </c>
      <c r="H91" s="723"/>
      <c r="J91" s="723"/>
      <c r="K91" s="712"/>
      <c r="L91" s="723"/>
      <c r="M91" s="712"/>
      <c r="N91" s="723"/>
      <c r="O91" s="712"/>
      <c r="R91" s="713" t="s">
        <v>1749</v>
      </c>
      <c r="T91" s="712">
        <v>0</v>
      </c>
      <c r="U91" s="712"/>
      <c r="V91" s="712">
        <f t="shared" si="67"/>
        <v>0</v>
      </c>
      <c r="W91" s="712"/>
      <c r="X91" s="712">
        <v>0</v>
      </c>
      <c r="Y91" s="712"/>
      <c r="Z91" s="712">
        <f t="shared" si="68"/>
        <v>0</v>
      </c>
      <c r="AA91" s="712"/>
      <c r="AB91" s="607" t="s">
        <v>1548</v>
      </c>
      <c r="AC91" s="712"/>
      <c r="AD91" s="712">
        <v>0</v>
      </c>
      <c r="AE91" s="712"/>
      <c r="AF91" s="723"/>
      <c r="AG91" s="712"/>
      <c r="AH91" s="712">
        <v>0</v>
      </c>
      <c r="AI91" s="712"/>
      <c r="AJ91" s="607" t="s">
        <v>1759</v>
      </c>
      <c r="AK91" s="712"/>
      <c r="AL91" s="605">
        <f t="shared" si="69"/>
        <v>0</v>
      </c>
      <c r="AM91" s="712"/>
      <c r="AN91" s="605">
        <f t="shared" si="69"/>
        <v>0</v>
      </c>
      <c r="AO91" s="712"/>
      <c r="AP91" s="605">
        <f t="shared" si="69"/>
        <v>0</v>
      </c>
      <c r="AQ91" s="712"/>
      <c r="AR91" s="712">
        <f t="shared" si="64"/>
        <v>0</v>
      </c>
      <c r="AT91" s="712">
        <v>0</v>
      </c>
      <c r="AU91" s="712"/>
      <c r="AV91" s="723"/>
      <c r="AW91" s="712"/>
      <c r="AX91" s="712">
        <v>0</v>
      </c>
      <c r="AY91" s="712"/>
      <c r="AZ91" s="605">
        <f t="shared" si="70"/>
        <v>0</v>
      </c>
      <c r="BA91" s="712"/>
      <c r="BB91" s="605">
        <f t="shared" si="71"/>
        <v>0</v>
      </c>
      <c r="BC91" s="712"/>
      <c r="BD91" s="605">
        <f t="shared" si="72"/>
        <v>0</v>
      </c>
      <c r="BE91" s="712"/>
      <c r="BF91" s="712">
        <f t="shared" si="65"/>
        <v>0</v>
      </c>
      <c r="BG91" s="712"/>
      <c r="BH91" s="712">
        <f t="shared" si="66"/>
        <v>0</v>
      </c>
      <c r="BJ91" s="590">
        <f t="shared" si="62"/>
        <v>449</v>
      </c>
    </row>
    <row r="92" spans="1:62">
      <c r="A92" s="590">
        <f t="shared" si="63"/>
        <v>450</v>
      </c>
      <c r="B92" s="729" t="s">
        <v>1827</v>
      </c>
      <c r="F92" s="715" t="s">
        <v>1753</v>
      </c>
      <c r="H92" s="723"/>
      <c r="J92" s="723"/>
      <c r="K92" s="712"/>
      <c r="L92" s="723"/>
      <c r="M92" s="712"/>
      <c r="N92" s="723"/>
      <c r="O92" s="712"/>
      <c r="R92" s="713" t="s">
        <v>1749</v>
      </c>
      <c r="T92" s="712">
        <v>0</v>
      </c>
      <c r="U92" s="712"/>
      <c r="V92" s="712">
        <f t="shared" si="67"/>
        <v>0</v>
      </c>
      <c r="W92" s="712"/>
      <c r="X92" s="712">
        <v>0</v>
      </c>
      <c r="Y92" s="712"/>
      <c r="Z92" s="712">
        <f t="shared" si="68"/>
        <v>0</v>
      </c>
      <c r="AA92" s="712"/>
      <c r="AB92" s="607" t="s">
        <v>1548</v>
      </c>
      <c r="AC92" s="712"/>
      <c r="AD92" s="712">
        <v>0</v>
      </c>
      <c r="AE92" s="712"/>
      <c r="AF92" s="723"/>
      <c r="AG92" s="712"/>
      <c r="AH92" s="712">
        <v>0</v>
      </c>
      <c r="AI92" s="712"/>
      <c r="AJ92" s="607" t="s">
        <v>1759</v>
      </c>
      <c r="AK92" s="712"/>
      <c r="AL92" s="605">
        <f t="shared" si="69"/>
        <v>0</v>
      </c>
      <c r="AM92" s="712"/>
      <c r="AN92" s="605">
        <f t="shared" si="69"/>
        <v>0</v>
      </c>
      <c r="AO92" s="712"/>
      <c r="AP92" s="605">
        <f t="shared" si="69"/>
        <v>0</v>
      </c>
      <c r="AQ92" s="712"/>
      <c r="AR92" s="712">
        <f t="shared" si="64"/>
        <v>0</v>
      </c>
      <c r="AT92" s="712">
        <v>0</v>
      </c>
      <c r="AU92" s="712"/>
      <c r="AV92" s="723"/>
      <c r="AW92" s="712"/>
      <c r="AX92" s="712">
        <v>0</v>
      </c>
      <c r="AY92" s="712"/>
      <c r="AZ92" s="605">
        <f t="shared" si="70"/>
        <v>0</v>
      </c>
      <c r="BA92" s="712"/>
      <c r="BB92" s="605">
        <f t="shared" si="71"/>
        <v>0</v>
      </c>
      <c r="BC92" s="712"/>
      <c r="BD92" s="605">
        <f t="shared" si="72"/>
        <v>0</v>
      </c>
      <c r="BE92" s="712"/>
      <c r="BF92" s="712">
        <f t="shared" si="65"/>
        <v>0</v>
      </c>
      <c r="BG92" s="712"/>
      <c r="BH92" s="712">
        <f t="shared" si="66"/>
        <v>0</v>
      </c>
      <c r="BJ92" s="590">
        <f t="shared" si="62"/>
        <v>450</v>
      </c>
    </row>
    <row r="93" spans="1:62">
      <c r="A93" s="590">
        <f t="shared" si="63"/>
        <v>451</v>
      </c>
      <c r="B93" s="729" t="s">
        <v>1828</v>
      </c>
      <c r="F93" s="715" t="s">
        <v>1753</v>
      </c>
      <c r="H93" s="723"/>
      <c r="J93" s="723"/>
      <c r="K93" s="712"/>
      <c r="L93" s="723"/>
      <c r="M93" s="712"/>
      <c r="N93" s="723"/>
      <c r="O93" s="712"/>
      <c r="R93" s="713" t="s">
        <v>1749</v>
      </c>
      <c r="T93" s="712">
        <v>0</v>
      </c>
      <c r="U93" s="712"/>
      <c r="V93" s="712">
        <f t="shared" si="67"/>
        <v>0</v>
      </c>
      <c r="W93" s="712"/>
      <c r="X93" s="712">
        <v>0</v>
      </c>
      <c r="Y93" s="712"/>
      <c r="Z93" s="712">
        <f t="shared" si="68"/>
        <v>0</v>
      </c>
      <c r="AA93" s="712"/>
      <c r="AB93" s="607" t="s">
        <v>1548</v>
      </c>
      <c r="AC93" s="712"/>
      <c r="AD93" s="712">
        <v>0</v>
      </c>
      <c r="AE93" s="712"/>
      <c r="AF93" s="723"/>
      <c r="AG93" s="712"/>
      <c r="AH93" s="712">
        <v>0</v>
      </c>
      <c r="AI93" s="712"/>
      <c r="AJ93" s="607" t="s">
        <v>1759</v>
      </c>
      <c r="AK93" s="712"/>
      <c r="AL93" s="605">
        <f t="shared" si="69"/>
        <v>0</v>
      </c>
      <c r="AM93" s="712"/>
      <c r="AN93" s="605">
        <f t="shared" si="69"/>
        <v>0</v>
      </c>
      <c r="AO93" s="712"/>
      <c r="AP93" s="605">
        <f t="shared" si="69"/>
        <v>0</v>
      </c>
      <c r="AQ93" s="712"/>
      <c r="AR93" s="712">
        <f t="shared" si="64"/>
        <v>0</v>
      </c>
      <c r="AT93" s="712">
        <v>0</v>
      </c>
      <c r="AU93" s="712"/>
      <c r="AV93" s="723"/>
      <c r="AW93" s="712"/>
      <c r="AX93" s="712">
        <v>0</v>
      </c>
      <c r="AY93" s="712"/>
      <c r="AZ93" s="605">
        <f t="shared" si="70"/>
        <v>0</v>
      </c>
      <c r="BA93" s="712"/>
      <c r="BB93" s="605">
        <f t="shared" si="71"/>
        <v>0</v>
      </c>
      <c r="BC93" s="712"/>
      <c r="BD93" s="605">
        <f t="shared" si="72"/>
        <v>0</v>
      </c>
      <c r="BE93" s="712"/>
      <c r="BF93" s="712">
        <f t="shared" si="65"/>
        <v>0</v>
      </c>
      <c r="BG93" s="712"/>
      <c r="BH93" s="712">
        <f t="shared" si="66"/>
        <v>0</v>
      </c>
      <c r="BJ93" s="590">
        <f t="shared" si="62"/>
        <v>451</v>
      </c>
    </row>
    <row r="94" spans="1:62">
      <c r="A94" s="590">
        <f t="shared" si="63"/>
        <v>452</v>
      </c>
      <c r="B94" s="729" t="s">
        <v>1829</v>
      </c>
      <c r="F94" s="715" t="s">
        <v>1753</v>
      </c>
      <c r="H94" s="723"/>
      <c r="J94" s="723"/>
      <c r="K94" s="712"/>
      <c r="L94" s="723"/>
      <c r="M94" s="712"/>
      <c r="N94" s="723"/>
      <c r="O94" s="712"/>
      <c r="R94" s="713" t="s">
        <v>1749</v>
      </c>
      <c r="T94" s="712">
        <v>0</v>
      </c>
      <c r="U94" s="712"/>
      <c r="V94" s="712">
        <f t="shared" si="67"/>
        <v>0</v>
      </c>
      <c r="W94" s="712"/>
      <c r="X94" s="712">
        <v>0</v>
      </c>
      <c r="Y94" s="712"/>
      <c r="Z94" s="712">
        <f t="shared" si="68"/>
        <v>0</v>
      </c>
      <c r="AA94" s="712"/>
      <c r="AB94" s="607" t="s">
        <v>1548</v>
      </c>
      <c r="AC94" s="712"/>
      <c r="AD94" s="712">
        <v>0</v>
      </c>
      <c r="AE94" s="712"/>
      <c r="AF94" s="723"/>
      <c r="AG94" s="712"/>
      <c r="AH94" s="712">
        <v>0</v>
      </c>
      <c r="AI94" s="712"/>
      <c r="AJ94" s="607" t="s">
        <v>1759</v>
      </c>
      <c r="AK94" s="712"/>
      <c r="AL94" s="605">
        <f t="shared" si="69"/>
        <v>0</v>
      </c>
      <c r="AM94" s="712"/>
      <c r="AN94" s="605">
        <f t="shared" si="69"/>
        <v>0</v>
      </c>
      <c r="AO94" s="712"/>
      <c r="AP94" s="605">
        <f t="shared" si="69"/>
        <v>0</v>
      </c>
      <c r="AQ94" s="712"/>
      <c r="AR94" s="712">
        <f t="shared" si="64"/>
        <v>0</v>
      </c>
      <c r="AT94" s="712">
        <v>0</v>
      </c>
      <c r="AU94" s="712"/>
      <c r="AV94" s="723"/>
      <c r="AW94" s="712"/>
      <c r="AX94" s="712">
        <v>0</v>
      </c>
      <c r="AY94" s="712"/>
      <c r="AZ94" s="605">
        <f t="shared" si="70"/>
        <v>0</v>
      </c>
      <c r="BA94" s="712"/>
      <c r="BB94" s="605">
        <f t="shared" si="71"/>
        <v>0</v>
      </c>
      <c r="BC94" s="712"/>
      <c r="BD94" s="605">
        <f t="shared" si="72"/>
        <v>0</v>
      </c>
      <c r="BE94" s="712"/>
      <c r="BF94" s="712">
        <f t="shared" si="65"/>
        <v>0</v>
      </c>
      <c r="BG94" s="712"/>
      <c r="BH94" s="712">
        <f t="shared" si="66"/>
        <v>0</v>
      </c>
      <c r="BJ94" s="590">
        <f t="shared" si="62"/>
        <v>452</v>
      </c>
    </row>
    <row r="95" spans="1:62">
      <c r="A95" s="590">
        <f t="shared" si="63"/>
        <v>453</v>
      </c>
      <c r="B95" s="729" t="s">
        <v>1830</v>
      </c>
      <c r="F95" s="715" t="s">
        <v>1753</v>
      </c>
      <c r="H95" s="723"/>
      <c r="J95" s="723"/>
      <c r="K95" s="712"/>
      <c r="L95" s="723"/>
      <c r="M95" s="712"/>
      <c r="N95" s="723"/>
      <c r="O95" s="712"/>
      <c r="R95" s="713" t="s">
        <v>1749</v>
      </c>
      <c r="T95" s="712">
        <v>0</v>
      </c>
      <c r="U95" s="712"/>
      <c r="V95" s="712">
        <f t="shared" si="67"/>
        <v>0</v>
      </c>
      <c r="W95" s="712"/>
      <c r="X95" s="712">
        <v>0</v>
      </c>
      <c r="Y95" s="712"/>
      <c r="Z95" s="712">
        <f t="shared" si="68"/>
        <v>0</v>
      </c>
      <c r="AA95" s="712"/>
      <c r="AB95" s="607" t="s">
        <v>1548</v>
      </c>
      <c r="AC95" s="712"/>
      <c r="AD95" s="712">
        <v>0</v>
      </c>
      <c r="AE95" s="712"/>
      <c r="AF95" s="723"/>
      <c r="AG95" s="712"/>
      <c r="AH95" s="712">
        <v>0</v>
      </c>
      <c r="AI95" s="712"/>
      <c r="AJ95" s="607" t="s">
        <v>1759</v>
      </c>
      <c r="AK95" s="712"/>
      <c r="AL95" s="605">
        <f t="shared" si="69"/>
        <v>0</v>
      </c>
      <c r="AM95" s="712"/>
      <c r="AN95" s="605">
        <f t="shared" si="69"/>
        <v>0</v>
      </c>
      <c r="AO95" s="712"/>
      <c r="AP95" s="605">
        <f t="shared" si="69"/>
        <v>0</v>
      </c>
      <c r="AQ95" s="712"/>
      <c r="AR95" s="712">
        <f t="shared" si="64"/>
        <v>0</v>
      </c>
      <c r="AT95" s="712">
        <v>0</v>
      </c>
      <c r="AU95" s="712"/>
      <c r="AV95" s="723"/>
      <c r="AW95" s="712"/>
      <c r="AX95" s="712">
        <v>0</v>
      </c>
      <c r="AY95" s="712"/>
      <c r="AZ95" s="605">
        <f t="shared" si="70"/>
        <v>0</v>
      </c>
      <c r="BA95" s="712"/>
      <c r="BB95" s="605">
        <f t="shared" si="71"/>
        <v>0</v>
      </c>
      <c r="BC95" s="712"/>
      <c r="BD95" s="605">
        <f t="shared" si="72"/>
        <v>0</v>
      </c>
      <c r="BE95" s="712"/>
      <c r="BF95" s="712">
        <f t="shared" si="65"/>
        <v>0</v>
      </c>
      <c r="BG95" s="712"/>
      <c r="BH95" s="712">
        <f t="shared" si="66"/>
        <v>0</v>
      </c>
      <c r="BJ95" s="590">
        <f t="shared" si="62"/>
        <v>453</v>
      </c>
    </row>
    <row r="96" spans="1:62">
      <c r="A96" s="590">
        <f t="shared" si="63"/>
        <v>454</v>
      </c>
      <c r="B96" s="729" t="s">
        <v>1831</v>
      </c>
      <c r="F96" s="715" t="s">
        <v>1753</v>
      </c>
      <c r="H96" s="723"/>
      <c r="J96" s="723"/>
      <c r="K96" s="712"/>
      <c r="L96" s="723"/>
      <c r="M96" s="712"/>
      <c r="N96" s="723"/>
      <c r="O96" s="712"/>
      <c r="R96" s="713" t="s">
        <v>1749</v>
      </c>
      <c r="T96" s="712">
        <v>0</v>
      </c>
      <c r="U96" s="712"/>
      <c r="V96" s="712">
        <f t="shared" si="67"/>
        <v>0</v>
      </c>
      <c r="W96" s="712"/>
      <c r="X96" s="712">
        <v>0</v>
      </c>
      <c r="Y96" s="712"/>
      <c r="Z96" s="712">
        <f t="shared" si="68"/>
        <v>0</v>
      </c>
      <c r="AA96" s="712"/>
      <c r="AB96" s="607" t="s">
        <v>1548</v>
      </c>
      <c r="AC96" s="712"/>
      <c r="AD96" s="712">
        <v>0</v>
      </c>
      <c r="AE96" s="712"/>
      <c r="AF96" s="723"/>
      <c r="AG96" s="712"/>
      <c r="AH96" s="712">
        <v>0</v>
      </c>
      <c r="AI96" s="712"/>
      <c r="AJ96" s="607" t="s">
        <v>1759</v>
      </c>
      <c r="AK96" s="712"/>
      <c r="AL96" s="605">
        <f t="shared" si="69"/>
        <v>0</v>
      </c>
      <c r="AM96" s="712"/>
      <c r="AN96" s="605">
        <f t="shared" si="69"/>
        <v>0</v>
      </c>
      <c r="AO96" s="712"/>
      <c r="AP96" s="605">
        <f t="shared" si="69"/>
        <v>0</v>
      </c>
      <c r="AQ96" s="712"/>
      <c r="AR96" s="712">
        <f t="shared" si="64"/>
        <v>0</v>
      </c>
      <c r="AT96" s="712">
        <v>0</v>
      </c>
      <c r="AU96" s="712"/>
      <c r="AV96" s="723"/>
      <c r="AW96" s="712"/>
      <c r="AX96" s="712">
        <v>0</v>
      </c>
      <c r="AY96" s="712"/>
      <c r="AZ96" s="605">
        <f t="shared" si="70"/>
        <v>0</v>
      </c>
      <c r="BA96" s="712"/>
      <c r="BB96" s="605">
        <f t="shared" si="71"/>
        <v>0</v>
      </c>
      <c r="BC96" s="712"/>
      <c r="BD96" s="605">
        <f t="shared" si="72"/>
        <v>0</v>
      </c>
      <c r="BE96" s="712"/>
      <c r="BF96" s="712">
        <f t="shared" si="65"/>
        <v>0</v>
      </c>
      <c r="BG96" s="712"/>
      <c r="BH96" s="712">
        <f t="shared" si="66"/>
        <v>0</v>
      </c>
      <c r="BJ96" s="590">
        <f t="shared" si="62"/>
        <v>454</v>
      </c>
    </row>
    <row r="97" spans="1:62">
      <c r="A97" s="590">
        <f t="shared" si="63"/>
        <v>455</v>
      </c>
      <c r="B97" s="729" t="s">
        <v>1832</v>
      </c>
      <c r="F97" s="715" t="s">
        <v>1753</v>
      </c>
      <c r="H97" s="723"/>
      <c r="J97" s="723"/>
      <c r="K97" s="712"/>
      <c r="L97" s="723"/>
      <c r="M97" s="712"/>
      <c r="N97" s="723"/>
      <c r="O97" s="712"/>
      <c r="R97" s="713" t="s">
        <v>1749</v>
      </c>
      <c r="T97" s="712">
        <v>0</v>
      </c>
      <c r="U97" s="712"/>
      <c r="V97" s="712">
        <f t="shared" si="67"/>
        <v>0</v>
      </c>
      <c r="W97" s="712"/>
      <c r="X97" s="712">
        <v>0</v>
      </c>
      <c r="Y97" s="712"/>
      <c r="Z97" s="712">
        <f t="shared" si="68"/>
        <v>0</v>
      </c>
      <c r="AA97" s="712"/>
      <c r="AB97" s="607" t="s">
        <v>1548</v>
      </c>
      <c r="AC97" s="712"/>
      <c r="AD97" s="712">
        <v>0</v>
      </c>
      <c r="AE97" s="712"/>
      <c r="AF97" s="723"/>
      <c r="AG97" s="712"/>
      <c r="AH97" s="712">
        <v>0</v>
      </c>
      <c r="AI97" s="712"/>
      <c r="AJ97" s="607" t="s">
        <v>1759</v>
      </c>
      <c r="AK97" s="712"/>
      <c r="AL97" s="605">
        <f t="shared" si="69"/>
        <v>0</v>
      </c>
      <c r="AM97" s="712"/>
      <c r="AN97" s="605">
        <f t="shared" si="69"/>
        <v>0</v>
      </c>
      <c r="AO97" s="712"/>
      <c r="AP97" s="605">
        <f t="shared" si="69"/>
        <v>0</v>
      </c>
      <c r="AQ97" s="712"/>
      <c r="AR97" s="712">
        <f t="shared" si="64"/>
        <v>0</v>
      </c>
      <c r="AT97" s="712">
        <v>0</v>
      </c>
      <c r="AU97" s="712"/>
      <c r="AV97" s="723"/>
      <c r="AW97" s="712"/>
      <c r="AX97" s="712">
        <v>0</v>
      </c>
      <c r="AY97" s="712"/>
      <c r="AZ97" s="605">
        <f t="shared" si="70"/>
        <v>0</v>
      </c>
      <c r="BA97" s="712"/>
      <c r="BB97" s="605">
        <f t="shared" si="71"/>
        <v>0</v>
      </c>
      <c r="BC97" s="712"/>
      <c r="BD97" s="605">
        <f t="shared" si="72"/>
        <v>0</v>
      </c>
      <c r="BE97" s="712"/>
      <c r="BF97" s="712">
        <f t="shared" si="65"/>
        <v>0</v>
      </c>
      <c r="BG97" s="712"/>
      <c r="BH97" s="712">
        <f t="shared" si="66"/>
        <v>0</v>
      </c>
      <c r="BJ97" s="590">
        <f t="shared" si="62"/>
        <v>455</v>
      </c>
    </row>
    <row r="98" spans="1:62">
      <c r="A98" s="590">
        <f t="shared" si="63"/>
        <v>456</v>
      </c>
      <c r="B98" s="730" t="s">
        <v>632</v>
      </c>
      <c r="H98" s="723"/>
      <c r="J98" s="723"/>
      <c r="K98" s="712"/>
      <c r="L98" s="723"/>
      <c r="M98" s="712"/>
      <c r="N98" s="723"/>
      <c r="O98" s="712"/>
      <c r="R98" s="714"/>
      <c r="T98" s="712">
        <v>0</v>
      </c>
      <c r="U98" s="712"/>
      <c r="V98" s="712">
        <f t="shared" si="67"/>
        <v>0</v>
      </c>
      <c r="W98" s="712"/>
      <c r="X98" s="712">
        <v>0</v>
      </c>
      <c r="Y98" s="712"/>
      <c r="Z98" s="712">
        <f t="shared" si="68"/>
        <v>0</v>
      </c>
      <c r="AA98" s="712"/>
      <c r="AB98" s="607"/>
      <c r="AC98" s="712"/>
      <c r="AD98" s="712">
        <v>0</v>
      </c>
      <c r="AE98" s="712"/>
      <c r="AF98" s="723"/>
      <c r="AG98" s="712"/>
      <c r="AH98" s="712">
        <v>0</v>
      </c>
      <c r="AI98" s="712"/>
      <c r="AJ98" s="712"/>
      <c r="AK98" s="712"/>
      <c r="AL98" s="605">
        <f t="shared" si="69"/>
        <v>0</v>
      </c>
      <c r="AM98" s="712"/>
      <c r="AN98" s="605">
        <f t="shared" si="69"/>
        <v>0</v>
      </c>
      <c r="AO98" s="712"/>
      <c r="AP98" s="605">
        <f t="shared" si="69"/>
        <v>0</v>
      </c>
      <c r="AQ98" s="712"/>
      <c r="AR98" s="712">
        <f t="shared" si="64"/>
        <v>0</v>
      </c>
      <c r="AT98" s="712">
        <v>0</v>
      </c>
      <c r="AU98" s="712"/>
      <c r="AV98" s="723"/>
      <c r="AW98" s="712"/>
      <c r="AX98" s="712">
        <v>0</v>
      </c>
      <c r="AY98" s="712"/>
      <c r="AZ98" s="605">
        <f t="shared" si="70"/>
        <v>0</v>
      </c>
      <c r="BA98" s="712"/>
      <c r="BB98" s="605">
        <f t="shared" si="71"/>
        <v>0</v>
      </c>
      <c r="BC98" s="712"/>
      <c r="BD98" s="605">
        <f t="shared" si="72"/>
        <v>0</v>
      </c>
      <c r="BE98" s="712"/>
      <c r="BF98" s="712">
        <f t="shared" si="65"/>
        <v>0</v>
      </c>
      <c r="BG98" s="712"/>
      <c r="BH98" s="712">
        <f t="shared" si="66"/>
        <v>0</v>
      </c>
      <c r="BJ98" s="590">
        <f t="shared" si="62"/>
        <v>456</v>
      </c>
    </row>
    <row r="99" spans="1:62">
      <c r="A99" s="590">
        <f t="shared" si="63"/>
        <v>457</v>
      </c>
      <c r="B99" s="730" t="s">
        <v>632</v>
      </c>
      <c r="H99" s="723"/>
      <c r="J99" s="723"/>
      <c r="K99" s="712"/>
      <c r="L99" s="723"/>
      <c r="M99" s="712"/>
      <c r="N99" s="723"/>
      <c r="O99" s="712"/>
      <c r="R99" s="714"/>
      <c r="T99" s="712">
        <v>0</v>
      </c>
      <c r="U99" s="712"/>
      <c r="V99" s="712">
        <f t="shared" si="67"/>
        <v>0</v>
      </c>
      <c r="W99" s="712"/>
      <c r="X99" s="712">
        <v>0</v>
      </c>
      <c r="Y99" s="712"/>
      <c r="Z99" s="712">
        <f t="shared" si="68"/>
        <v>0</v>
      </c>
      <c r="AA99" s="712"/>
      <c r="AB99" s="607"/>
      <c r="AC99" s="712"/>
      <c r="AD99" s="712">
        <v>0</v>
      </c>
      <c r="AE99" s="712"/>
      <c r="AF99" s="723"/>
      <c r="AG99" s="712"/>
      <c r="AH99" s="712">
        <v>0</v>
      </c>
      <c r="AI99" s="712"/>
      <c r="AJ99" s="712"/>
      <c r="AK99" s="712"/>
      <c r="AL99" s="605">
        <f t="shared" si="69"/>
        <v>0</v>
      </c>
      <c r="AM99" s="712"/>
      <c r="AN99" s="605">
        <f t="shared" si="69"/>
        <v>0</v>
      </c>
      <c r="AO99" s="712"/>
      <c r="AP99" s="605">
        <f t="shared" si="69"/>
        <v>0</v>
      </c>
      <c r="AQ99" s="712"/>
      <c r="AR99" s="712">
        <f t="shared" si="64"/>
        <v>0</v>
      </c>
      <c r="AT99" s="712">
        <v>0</v>
      </c>
      <c r="AU99" s="712"/>
      <c r="AV99" s="723"/>
      <c r="AW99" s="712"/>
      <c r="AX99" s="712">
        <v>0</v>
      </c>
      <c r="AY99" s="712"/>
      <c r="AZ99" s="605">
        <f t="shared" si="70"/>
        <v>0</v>
      </c>
      <c r="BA99" s="712"/>
      <c r="BB99" s="605">
        <f t="shared" si="71"/>
        <v>0</v>
      </c>
      <c r="BC99" s="712"/>
      <c r="BD99" s="605">
        <f t="shared" si="72"/>
        <v>0</v>
      </c>
      <c r="BE99" s="712"/>
      <c r="BF99" s="712">
        <f t="shared" si="65"/>
        <v>0</v>
      </c>
      <c r="BG99" s="712"/>
      <c r="BH99" s="712">
        <f t="shared" si="66"/>
        <v>0</v>
      </c>
      <c r="BJ99" s="590">
        <f t="shared" si="62"/>
        <v>457</v>
      </c>
    </row>
    <row r="100" spans="1:62">
      <c r="A100" s="590"/>
      <c r="B100" s="706"/>
      <c r="H100" s="712"/>
      <c r="J100" s="712"/>
      <c r="K100" s="712"/>
      <c r="L100" s="712"/>
      <c r="M100" s="712"/>
      <c r="N100" s="712"/>
      <c r="O100" s="712"/>
      <c r="R100" s="714"/>
      <c r="T100" s="712"/>
      <c r="U100" s="712"/>
      <c r="V100" s="712"/>
      <c r="W100" s="712"/>
      <c r="X100" s="712"/>
      <c r="Y100" s="712"/>
      <c r="Z100" s="712"/>
      <c r="AA100" s="712"/>
      <c r="AB100" s="607"/>
      <c r="AC100" s="712"/>
      <c r="AD100" s="712"/>
      <c r="AE100" s="712"/>
      <c r="AF100" s="712"/>
      <c r="AG100" s="712"/>
      <c r="AH100" s="712"/>
      <c r="AI100" s="712"/>
      <c r="AJ100" s="712"/>
      <c r="AK100" s="712"/>
      <c r="AL100" s="712"/>
      <c r="AM100" s="712"/>
      <c r="AN100" s="712"/>
      <c r="AO100" s="712"/>
      <c r="AP100" s="712"/>
      <c r="AQ100" s="712"/>
      <c r="AR100" s="712"/>
      <c r="AT100" s="712"/>
      <c r="AU100" s="712"/>
      <c r="AV100" s="712"/>
      <c r="AW100" s="712"/>
      <c r="AX100" s="712"/>
      <c r="AY100" s="712"/>
      <c r="AZ100" s="712"/>
      <c r="BA100" s="712"/>
      <c r="BB100" s="712"/>
      <c r="BC100" s="712"/>
      <c r="BD100" s="712"/>
      <c r="BE100" s="712"/>
      <c r="BF100" s="712"/>
      <c r="BG100" s="712"/>
      <c r="BH100" s="712"/>
      <c r="BJ100" s="590"/>
    </row>
    <row r="101" spans="1:62">
      <c r="A101" s="323" t="s">
        <v>122</v>
      </c>
      <c r="R101" s="714"/>
      <c r="Z101" s="712"/>
      <c r="AB101" s="715"/>
      <c r="BJ101" s="726" t="s">
        <v>122</v>
      </c>
    </row>
    <row r="102" spans="1:62">
      <c r="A102" s="590">
        <v>500</v>
      </c>
      <c r="B102" s="702" t="s">
        <v>1558</v>
      </c>
      <c r="H102" s="721">
        <f>ROUND(SUM(H103:H112),0)</f>
        <v>0</v>
      </c>
      <c r="J102" s="721">
        <f>ROUND(SUM(J103:J112),0)</f>
        <v>0</v>
      </c>
      <c r="K102" s="712"/>
      <c r="L102" s="721">
        <f>ROUND(SUM(L103:L112),0)</f>
        <v>0</v>
      </c>
      <c r="M102" s="712"/>
      <c r="N102" s="721">
        <f>ROUND(SUM(N103:N112),0)</f>
        <v>0</v>
      </c>
      <c r="O102" s="712"/>
      <c r="Q102" s="590"/>
      <c r="R102" s="714"/>
      <c r="S102" s="590"/>
      <c r="T102" s="721">
        <f>ROUND(SUM(T103:T112),0)</f>
        <v>0</v>
      </c>
      <c r="U102" s="712"/>
      <c r="V102" s="721">
        <f>ROUND(SUM(V103:V112),0)</f>
        <v>0</v>
      </c>
      <c r="W102" s="712"/>
      <c r="X102" s="721">
        <f>ROUND(SUM(X103:X112),0)</f>
        <v>0</v>
      </c>
      <c r="Y102" s="712"/>
      <c r="Z102" s="721">
        <f>ROUND(SUM(Z103:Z112),0)</f>
        <v>0</v>
      </c>
      <c r="AA102" s="712"/>
      <c r="AB102" s="607"/>
      <c r="AC102" s="712"/>
      <c r="AD102" s="721">
        <f>SUM(AD103:AD112)</f>
        <v>0</v>
      </c>
      <c r="AE102" s="712"/>
      <c r="AF102" s="721">
        <f>SUM(AF103:AF112)</f>
        <v>0</v>
      </c>
      <c r="AG102" s="712"/>
      <c r="AH102" s="721">
        <f>SUM(AH103:AH112)</f>
        <v>0</v>
      </c>
      <c r="AI102" s="712"/>
      <c r="AJ102" s="712"/>
      <c r="AK102" s="712"/>
      <c r="AL102" s="721">
        <f>SUM(AL103:AL112)</f>
        <v>0</v>
      </c>
      <c r="AM102" s="712"/>
      <c r="AN102" s="721">
        <f>SUM(AN103:AN112)</f>
        <v>0</v>
      </c>
      <c r="AO102" s="712"/>
      <c r="AP102" s="721">
        <f>SUM(AP103:AP112)</f>
        <v>0</v>
      </c>
      <c r="AQ102" s="712"/>
      <c r="AR102" s="721">
        <f>SUM(AR103:AR112)</f>
        <v>0</v>
      </c>
      <c r="AT102" s="721">
        <f>SUM(AT103:AT112)</f>
        <v>0</v>
      </c>
      <c r="AU102" s="712"/>
      <c r="AV102" s="721">
        <f>SUM(AV103:AV112)</f>
        <v>0</v>
      </c>
      <c r="AW102" s="712"/>
      <c r="AX102" s="721">
        <f>SUM(AX103:AX112)</f>
        <v>0</v>
      </c>
      <c r="AY102" s="712"/>
      <c r="AZ102" s="721">
        <f>SUM(AZ103:AZ112)</f>
        <v>0</v>
      </c>
      <c r="BA102" s="712"/>
      <c r="BB102" s="721">
        <f>SUM(BB103:BB112)</f>
        <v>0</v>
      </c>
      <c r="BC102" s="712"/>
      <c r="BD102" s="721">
        <f>SUM(BD103:BD112)</f>
        <v>0</v>
      </c>
      <c r="BE102" s="712"/>
      <c r="BF102" s="721">
        <f>SUM(BF103:BF112)</f>
        <v>0</v>
      </c>
      <c r="BG102" s="712"/>
      <c r="BH102" s="721">
        <f>ROUND(SUM(BH103:BH112),0)</f>
        <v>0</v>
      </c>
      <c r="BJ102" s="590">
        <f t="shared" ref="BJ102:BJ112" si="73">A102</f>
        <v>500</v>
      </c>
    </row>
    <row r="103" spans="1:62">
      <c r="A103" s="590">
        <f t="shared" ref="A103:A106" si="74">A102+1</f>
        <v>501</v>
      </c>
      <c r="B103" s="634" t="s">
        <v>1833</v>
      </c>
      <c r="F103" s="706" t="s">
        <v>1755</v>
      </c>
      <c r="H103" s="723"/>
      <c r="J103" s="723"/>
      <c r="K103" s="712"/>
      <c r="L103" s="723"/>
      <c r="M103" s="712"/>
      <c r="N103" s="723"/>
      <c r="O103" s="712"/>
      <c r="R103" s="713" t="s">
        <v>1750</v>
      </c>
      <c r="T103" s="712">
        <v>0</v>
      </c>
      <c r="U103" s="712"/>
      <c r="V103" s="712">
        <v>0</v>
      </c>
      <c r="W103" s="712"/>
      <c r="X103" s="712">
        <f>+N103</f>
        <v>0</v>
      </c>
      <c r="Y103" s="712"/>
      <c r="Z103" s="712">
        <f t="shared" si="68"/>
        <v>0</v>
      </c>
      <c r="AA103" s="712"/>
      <c r="AB103" s="607" t="s">
        <v>1758</v>
      </c>
      <c r="AC103" s="712"/>
      <c r="AD103" s="712">
        <v>0</v>
      </c>
      <c r="AE103" s="712"/>
      <c r="AF103" s="712">
        <v>0</v>
      </c>
      <c r="AG103" s="712"/>
      <c r="AH103" s="723"/>
      <c r="AI103" s="712"/>
      <c r="AJ103" s="607" t="s">
        <v>1760</v>
      </c>
      <c r="AK103" s="712"/>
      <c r="AL103" s="605">
        <f>+T103-AD103</f>
        <v>0</v>
      </c>
      <c r="AM103" s="712"/>
      <c r="AN103" s="605">
        <f>+V103-AF103</f>
        <v>0</v>
      </c>
      <c r="AO103" s="712"/>
      <c r="AP103" s="605">
        <f>+X103-AH103</f>
        <v>0</v>
      </c>
      <c r="AQ103" s="712"/>
      <c r="AR103" s="712">
        <f t="shared" ref="AR103:AR112" si="75">SUM(AL103:AP103)</f>
        <v>0</v>
      </c>
      <c r="AT103" s="712">
        <v>0</v>
      </c>
      <c r="AU103" s="712"/>
      <c r="AV103" s="712">
        <v>0</v>
      </c>
      <c r="AW103" s="712"/>
      <c r="AX103" s="723"/>
      <c r="AY103" s="712"/>
      <c r="AZ103" s="605">
        <f>+AL103-AT103</f>
        <v>0</v>
      </c>
      <c r="BA103" s="712"/>
      <c r="BB103" s="605">
        <f>+AN103-AV103</f>
        <v>0</v>
      </c>
      <c r="BC103" s="712"/>
      <c r="BD103" s="605">
        <f>+AP103-AX103</f>
        <v>0</v>
      </c>
      <c r="BE103" s="712"/>
      <c r="BF103" s="712">
        <f>SUM(AZ103:BD103)</f>
        <v>0</v>
      </c>
      <c r="BG103" s="712"/>
      <c r="BH103" s="712">
        <f t="shared" ref="BH103:BH110" si="76">+BF103*$BH$9</f>
        <v>0</v>
      </c>
      <c r="BJ103" s="590">
        <f t="shared" si="73"/>
        <v>501</v>
      </c>
    </row>
    <row r="104" spans="1:62">
      <c r="A104" s="590">
        <f t="shared" si="74"/>
        <v>502</v>
      </c>
      <c r="B104" s="634" t="s">
        <v>1834</v>
      </c>
      <c r="F104" s="706" t="s">
        <v>1755</v>
      </c>
      <c r="H104" s="723"/>
      <c r="J104" s="723"/>
      <c r="K104" s="712"/>
      <c r="L104" s="723"/>
      <c r="M104" s="712"/>
      <c r="N104" s="723"/>
      <c r="O104" s="712"/>
      <c r="R104" s="713" t="s">
        <v>1750</v>
      </c>
      <c r="T104" s="712">
        <v>0</v>
      </c>
      <c r="U104" s="712"/>
      <c r="V104" s="712">
        <v>0</v>
      </c>
      <c r="W104" s="712"/>
      <c r="X104" s="712">
        <f>+N104</f>
        <v>0</v>
      </c>
      <c r="Y104" s="712"/>
      <c r="Z104" s="712">
        <f t="shared" si="68"/>
        <v>0</v>
      </c>
      <c r="AA104" s="712"/>
      <c r="AB104" s="607" t="s">
        <v>1758</v>
      </c>
      <c r="AC104" s="712"/>
      <c r="AD104" s="712">
        <v>0</v>
      </c>
      <c r="AE104" s="712"/>
      <c r="AF104" s="712">
        <v>0</v>
      </c>
      <c r="AG104" s="712"/>
      <c r="AH104" s="723"/>
      <c r="AI104" s="712"/>
      <c r="AJ104" s="607" t="s">
        <v>1760</v>
      </c>
      <c r="AK104" s="712"/>
      <c r="AL104" s="605">
        <f t="shared" ref="AL104:AP112" si="77">+T104-AD104</f>
        <v>0</v>
      </c>
      <c r="AM104" s="712"/>
      <c r="AN104" s="605">
        <f t="shared" si="77"/>
        <v>0</v>
      </c>
      <c r="AO104" s="712"/>
      <c r="AP104" s="605">
        <f t="shared" si="77"/>
        <v>0</v>
      </c>
      <c r="AQ104" s="712"/>
      <c r="AR104" s="712">
        <f t="shared" si="75"/>
        <v>0</v>
      </c>
      <c r="AT104" s="712">
        <v>0</v>
      </c>
      <c r="AU104" s="712"/>
      <c r="AV104" s="712">
        <v>0</v>
      </c>
      <c r="AW104" s="712"/>
      <c r="AX104" s="723"/>
      <c r="AY104" s="712"/>
      <c r="AZ104" s="605">
        <f t="shared" ref="AZ104:BD112" si="78">+AL104-AT104</f>
        <v>0</v>
      </c>
      <c r="BA104" s="712"/>
      <c r="BB104" s="605">
        <f t="shared" si="78"/>
        <v>0</v>
      </c>
      <c r="BC104" s="712"/>
      <c r="BD104" s="605">
        <f t="shared" si="78"/>
        <v>0</v>
      </c>
      <c r="BE104" s="712"/>
      <c r="BF104" s="712">
        <f t="shared" ref="BF104:BF112" si="79">SUM(AZ104:BD104)</f>
        <v>0</v>
      </c>
      <c r="BG104" s="712"/>
      <c r="BH104" s="712">
        <f t="shared" si="76"/>
        <v>0</v>
      </c>
      <c r="BJ104" s="590">
        <f t="shared" si="73"/>
        <v>502</v>
      </c>
    </row>
    <row r="105" spans="1:62">
      <c r="A105" s="590">
        <f t="shared" si="74"/>
        <v>503</v>
      </c>
      <c r="B105" s="729" t="s">
        <v>1835</v>
      </c>
      <c r="F105" s="706" t="s">
        <v>1753</v>
      </c>
      <c r="H105" s="723"/>
      <c r="J105" s="723"/>
      <c r="K105" s="712"/>
      <c r="L105" s="723"/>
      <c r="M105" s="712"/>
      <c r="N105" s="723"/>
      <c r="O105" s="712"/>
      <c r="R105" s="713" t="s">
        <v>1749</v>
      </c>
      <c r="T105" s="712">
        <v>0</v>
      </c>
      <c r="U105" s="712"/>
      <c r="V105" s="712">
        <v>0</v>
      </c>
      <c r="W105" s="712"/>
      <c r="X105" s="712">
        <f>N105</f>
        <v>0</v>
      </c>
      <c r="Y105" s="712"/>
      <c r="Z105" s="712">
        <f>SUM(T105:X105)</f>
        <v>0</v>
      </c>
      <c r="AA105" s="712"/>
      <c r="AB105" s="607" t="s">
        <v>1758</v>
      </c>
      <c r="AC105" s="712"/>
      <c r="AD105" s="712">
        <v>0</v>
      </c>
      <c r="AE105" s="712"/>
      <c r="AF105" s="712">
        <v>0</v>
      </c>
      <c r="AG105" s="712"/>
      <c r="AH105" s="723"/>
      <c r="AI105" s="712"/>
      <c r="AJ105" s="607" t="s">
        <v>1759</v>
      </c>
      <c r="AK105" s="712"/>
      <c r="AL105" s="605">
        <f t="shared" si="77"/>
        <v>0</v>
      </c>
      <c r="AM105" s="712"/>
      <c r="AN105" s="605">
        <f t="shared" si="77"/>
        <v>0</v>
      </c>
      <c r="AO105" s="712"/>
      <c r="AP105" s="605">
        <f t="shared" si="77"/>
        <v>0</v>
      </c>
      <c r="AQ105" s="712"/>
      <c r="AR105" s="712">
        <f t="shared" si="75"/>
        <v>0</v>
      </c>
      <c r="AT105" s="712">
        <v>0</v>
      </c>
      <c r="AU105" s="712"/>
      <c r="AV105" s="712">
        <v>0</v>
      </c>
      <c r="AW105" s="712"/>
      <c r="AX105" s="723"/>
      <c r="AY105" s="712"/>
      <c r="AZ105" s="605">
        <f t="shared" si="78"/>
        <v>0</v>
      </c>
      <c r="BA105" s="712"/>
      <c r="BB105" s="605">
        <f t="shared" si="78"/>
        <v>0</v>
      </c>
      <c r="BC105" s="712"/>
      <c r="BD105" s="605">
        <f t="shared" si="78"/>
        <v>0</v>
      </c>
      <c r="BE105" s="712"/>
      <c r="BF105" s="712">
        <f t="shared" si="79"/>
        <v>0</v>
      </c>
      <c r="BG105" s="712"/>
      <c r="BH105" s="712">
        <f t="shared" si="76"/>
        <v>0</v>
      </c>
      <c r="BJ105" s="590">
        <f t="shared" si="73"/>
        <v>503</v>
      </c>
    </row>
    <row r="106" spans="1:62">
      <c r="A106" s="590">
        <f t="shared" si="74"/>
        <v>504</v>
      </c>
      <c r="B106" s="729" t="s">
        <v>1836</v>
      </c>
      <c r="F106" s="715" t="s">
        <v>1753</v>
      </c>
      <c r="H106" s="723"/>
      <c r="J106" s="723"/>
      <c r="K106" s="712"/>
      <c r="L106" s="723"/>
      <c r="M106" s="712"/>
      <c r="N106" s="723"/>
      <c r="O106" s="712"/>
      <c r="R106" s="713" t="s">
        <v>1749</v>
      </c>
      <c r="T106" s="712">
        <v>0</v>
      </c>
      <c r="U106" s="712"/>
      <c r="V106" s="712">
        <v>0</v>
      </c>
      <c r="W106" s="712"/>
      <c r="X106" s="712">
        <f>N106</f>
        <v>0</v>
      </c>
      <c r="Y106" s="712"/>
      <c r="Z106" s="712">
        <f>SUM(T106:X106)</f>
        <v>0</v>
      </c>
      <c r="AA106" s="712"/>
      <c r="AB106" s="607" t="s">
        <v>1758</v>
      </c>
      <c r="AC106" s="712"/>
      <c r="AD106" s="712">
        <v>0</v>
      </c>
      <c r="AE106" s="712"/>
      <c r="AF106" s="712">
        <v>0</v>
      </c>
      <c r="AG106" s="712"/>
      <c r="AH106" s="723"/>
      <c r="AI106" s="712"/>
      <c r="AJ106" s="607" t="s">
        <v>1759</v>
      </c>
      <c r="AK106" s="712"/>
      <c r="AL106" s="605">
        <f t="shared" si="77"/>
        <v>0</v>
      </c>
      <c r="AM106" s="712"/>
      <c r="AN106" s="605">
        <f t="shared" si="77"/>
        <v>0</v>
      </c>
      <c r="AO106" s="712"/>
      <c r="AP106" s="605">
        <f t="shared" si="77"/>
        <v>0</v>
      </c>
      <c r="AQ106" s="712"/>
      <c r="AR106" s="712">
        <f t="shared" si="75"/>
        <v>0</v>
      </c>
      <c r="AT106" s="712">
        <v>0</v>
      </c>
      <c r="AU106" s="712"/>
      <c r="AV106" s="712">
        <v>0</v>
      </c>
      <c r="AW106" s="712"/>
      <c r="AX106" s="723"/>
      <c r="AY106" s="712"/>
      <c r="AZ106" s="605">
        <f t="shared" si="78"/>
        <v>0</v>
      </c>
      <c r="BA106" s="712"/>
      <c r="BB106" s="605">
        <f t="shared" si="78"/>
        <v>0</v>
      </c>
      <c r="BC106" s="712"/>
      <c r="BD106" s="605">
        <f t="shared" si="78"/>
        <v>0</v>
      </c>
      <c r="BE106" s="712"/>
      <c r="BF106" s="712">
        <f t="shared" si="79"/>
        <v>0</v>
      </c>
      <c r="BG106" s="712"/>
      <c r="BH106" s="712">
        <f t="shared" si="76"/>
        <v>0</v>
      </c>
      <c r="BJ106" s="590">
        <f t="shared" si="73"/>
        <v>504</v>
      </c>
    </row>
    <row r="107" spans="1:62">
      <c r="A107" s="590">
        <f>+A106+1</f>
        <v>505</v>
      </c>
      <c r="B107" s="729" t="s">
        <v>1837</v>
      </c>
      <c r="F107" s="715" t="s">
        <v>1753</v>
      </c>
      <c r="H107" s="723"/>
      <c r="J107" s="723"/>
      <c r="K107" s="712"/>
      <c r="L107" s="723"/>
      <c r="M107" s="712"/>
      <c r="N107" s="723"/>
      <c r="O107" s="712"/>
      <c r="R107" s="713" t="s">
        <v>1749</v>
      </c>
      <c r="T107" s="712">
        <v>0</v>
      </c>
      <c r="U107" s="712"/>
      <c r="V107" s="712">
        <v>0</v>
      </c>
      <c r="W107" s="712"/>
      <c r="X107" s="712">
        <f>N107</f>
        <v>0</v>
      </c>
      <c r="Y107" s="712"/>
      <c r="Z107" s="712">
        <f>SUM(T107:X107)</f>
        <v>0</v>
      </c>
      <c r="AA107" s="712"/>
      <c r="AB107" s="607" t="s">
        <v>1758</v>
      </c>
      <c r="AC107" s="712"/>
      <c r="AD107" s="712">
        <v>0</v>
      </c>
      <c r="AE107" s="712"/>
      <c r="AF107" s="712">
        <v>0</v>
      </c>
      <c r="AG107" s="712"/>
      <c r="AH107" s="723"/>
      <c r="AI107" s="712"/>
      <c r="AJ107" s="607" t="s">
        <v>1759</v>
      </c>
      <c r="AK107" s="712"/>
      <c r="AL107" s="605">
        <f t="shared" si="77"/>
        <v>0</v>
      </c>
      <c r="AM107" s="712"/>
      <c r="AN107" s="605">
        <f t="shared" si="77"/>
        <v>0</v>
      </c>
      <c r="AO107" s="712"/>
      <c r="AP107" s="605">
        <f t="shared" si="77"/>
        <v>0</v>
      </c>
      <c r="AQ107" s="712"/>
      <c r="AR107" s="712">
        <f t="shared" si="75"/>
        <v>0</v>
      </c>
      <c r="AT107" s="712">
        <v>0</v>
      </c>
      <c r="AU107" s="712"/>
      <c r="AV107" s="712">
        <v>0</v>
      </c>
      <c r="AW107" s="712"/>
      <c r="AX107" s="723"/>
      <c r="AY107" s="712"/>
      <c r="AZ107" s="605">
        <f t="shared" si="78"/>
        <v>0</v>
      </c>
      <c r="BA107" s="712"/>
      <c r="BB107" s="605">
        <f t="shared" si="78"/>
        <v>0</v>
      </c>
      <c r="BC107" s="712"/>
      <c r="BD107" s="605">
        <f t="shared" si="78"/>
        <v>0</v>
      </c>
      <c r="BE107" s="712"/>
      <c r="BF107" s="712">
        <f t="shared" si="79"/>
        <v>0</v>
      </c>
      <c r="BG107" s="712"/>
      <c r="BH107" s="712">
        <f t="shared" si="76"/>
        <v>0</v>
      </c>
      <c r="BJ107" s="590">
        <f t="shared" si="73"/>
        <v>505</v>
      </c>
    </row>
    <row r="108" spans="1:62">
      <c r="A108" s="590">
        <f>+A107+1</f>
        <v>506</v>
      </c>
      <c r="B108" s="729" t="s">
        <v>1838</v>
      </c>
      <c r="F108" s="715" t="s">
        <v>1753</v>
      </c>
      <c r="H108" s="723"/>
      <c r="J108" s="723"/>
      <c r="K108" s="712"/>
      <c r="L108" s="723"/>
      <c r="M108" s="712"/>
      <c r="N108" s="723"/>
      <c r="O108" s="712"/>
      <c r="R108" s="713" t="s">
        <v>1749</v>
      </c>
      <c r="T108" s="712">
        <v>0</v>
      </c>
      <c r="U108" s="712"/>
      <c r="V108" s="712">
        <v>0</v>
      </c>
      <c r="W108" s="712"/>
      <c r="X108" s="712">
        <f>N108</f>
        <v>0</v>
      </c>
      <c r="Y108" s="712"/>
      <c r="Z108" s="712">
        <f>SUM(T108:X108)</f>
        <v>0</v>
      </c>
      <c r="AA108" s="712"/>
      <c r="AB108" s="607" t="s">
        <v>1758</v>
      </c>
      <c r="AC108" s="712"/>
      <c r="AD108" s="712">
        <v>0</v>
      </c>
      <c r="AE108" s="712"/>
      <c r="AF108" s="712">
        <v>0</v>
      </c>
      <c r="AG108" s="712"/>
      <c r="AH108" s="723"/>
      <c r="AI108" s="712"/>
      <c r="AJ108" s="607" t="s">
        <v>1759</v>
      </c>
      <c r="AK108" s="712"/>
      <c r="AL108" s="605">
        <f t="shared" si="77"/>
        <v>0</v>
      </c>
      <c r="AM108" s="712"/>
      <c r="AN108" s="605">
        <f t="shared" si="77"/>
        <v>0</v>
      </c>
      <c r="AO108" s="712"/>
      <c r="AP108" s="605">
        <f t="shared" si="77"/>
        <v>0</v>
      </c>
      <c r="AQ108" s="712"/>
      <c r="AR108" s="712">
        <f t="shared" si="75"/>
        <v>0</v>
      </c>
      <c r="AT108" s="712">
        <v>0</v>
      </c>
      <c r="AU108" s="712"/>
      <c r="AV108" s="712">
        <v>0</v>
      </c>
      <c r="AW108" s="712"/>
      <c r="AX108" s="723"/>
      <c r="AY108" s="712"/>
      <c r="AZ108" s="605">
        <f t="shared" si="78"/>
        <v>0</v>
      </c>
      <c r="BA108" s="712"/>
      <c r="BB108" s="605">
        <f t="shared" si="78"/>
        <v>0</v>
      </c>
      <c r="BC108" s="712"/>
      <c r="BD108" s="605">
        <f t="shared" si="78"/>
        <v>0</v>
      </c>
      <c r="BE108" s="712"/>
      <c r="BF108" s="712">
        <f t="shared" si="79"/>
        <v>0</v>
      </c>
      <c r="BG108" s="712"/>
      <c r="BH108" s="712">
        <f t="shared" si="76"/>
        <v>0</v>
      </c>
      <c r="BJ108" s="590">
        <f t="shared" si="73"/>
        <v>506</v>
      </c>
    </row>
    <row r="109" spans="1:62">
      <c r="A109" s="590">
        <f t="shared" ref="A109:A111" si="80">+A108+1</f>
        <v>507</v>
      </c>
      <c r="B109" s="729" t="s">
        <v>1839</v>
      </c>
      <c r="F109" s="715" t="s">
        <v>1753</v>
      </c>
      <c r="H109" s="723"/>
      <c r="J109" s="723"/>
      <c r="K109" s="712"/>
      <c r="L109" s="723"/>
      <c r="M109" s="712"/>
      <c r="N109" s="723"/>
      <c r="O109" s="712"/>
      <c r="R109" s="713" t="s">
        <v>1749</v>
      </c>
      <c r="T109" s="712">
        <v>0</v>
      </c>
      <c r="U109" s="712"/>
      <c r="V109" s="712">
        <v>0</v>
      </c>
      <c r="W109" s="712"/>
      <c r="X109" s="712">
        <f t="shared" ref="X109:X112" si="81">N109</f>
        <v>0</v>
      </c>
      <c r="Y109" s="712"/>
      <c r="Z109" s="712">
        <f t="shared" ref="Z109:Z112" si="82">SUM(T109:X109)</f>
        <v>0</v>
      </c>
      <c r="AA109" s="712"/>
      <c r="AB109" s="607" t="s">
        <v>1758</v>
      </c>
      <c r="AC109" s="712"/>
      <c r="AD109" s="712">
        <v>0</v>
      </c>
      <c r="AE109" s="712"/>
      <c r="AF109" s="712">
        <v>0</v>
      </c>
      <c r="AG109" s="712"/>
      <c r="AH109" s="723"/>
      <c r="AI109" s="712"/>
      <c r="AJ109" s="607" t="s">
        <v>1759</v>
      </c>
      <c r="AK109" s="712"/>
      <c r="AL109" s="605">
        <f t="shared" si="77"/>
        <v>0</v>
      </c>
      <c r="AM109" s="712"/>
      <c r="AN109" s="605">
        <f t="shared" si="77"/>
        <v>0</v>
      </c>
      <c r="AO109" s="712"/>
      <c r="AP109" s="605">
        <f t="shared" si="77"/>
        <v>0</v>
      </c>
      <c r="AQ109" s="712"/>
      <c r="AR109" s="712">
        <f t="shared" si="75"/>
        <v>0</v>
      </c>
      <c r="AT109" s="712">
        <v>0</v>
      </c>
      <c r="AU109" s="712"/>
      <c r="AV109" s="712">
        <v>0</v>
      </c>
      <c r="AW109" s="712"/>
      <c r="AX109" s="723"/>
      <c r="AY109" s="712"/>
      <c r="AZ109" s="605">
        <f t="shared" si="78"/>
        <v>0</v>
      </c>
      <c r="BA109" s="712"/>
      <c r="BB109" s="605">
        <f t="shared" si="78"/>
        <v>0</v>
      </c>
      <c r="BC109" s="712"/>
      <c r="BD109" s="605">
        <f t="shared" si="78"/>
        <v>0</v>
      </c>
      <c r="BE109" s="712"/>
      <c r="BF109" s="712">
        <f t="shared" si="79"/>
        <v>0</v>
      </c>
      <c r="BG109" s="712"/>
      <c r="BH109" s="712">
        <f t="shared" si="76"/>
        <v>0</v>
      </c>
      <c r="BJ109" s="590">
        <f t="shared" si="73"/>
        <v>507</v>
      </c>
    </row>
    <row r="110" spans="1:62">
      <c r="A110" s="590">
        <f t="shared" si="80"/>
        <v>508</v>
      </c>
      <c r="B110" s="729" t="s">
        <v>1840</v>
      </c>
      <c r="F110" s="715" t="s">
        <v>1753</v>
      </c>
      <c r="H110" s="723"/>
      <c r="J110" s="723"/>
      <c r="K110" s="712"/>
      <c r="L110" s="723"/>
      <c r="M110" s="712"/>
      <c r="N110" s="723"/>
      <c r="O110" s="712"/>
      <c r="R110" s="713" t="s">
        <v>1749</v>
      </c>
      <c r="T110" s="712">
        <v>0</v>
      </c>
      <c r="U110" s="712"/>
      <c r="V110" s="712">
        <v>0</v>
      </c>
      <c r="W110" s="712"/>
      <c r="X110" s="712">
        <f t="shared" si="81"/>
        <v>0</v>
      </c>
      <c r="Y110" s="712"/>
      <c r="Z110" s="712">
        <f t="shared" si="82"/>
        <v>0</v>
      </c>
      <c r="AA110" s="712"/>
      <c r="AB110" s="607" t="s">
        <v>1758</v>
      </c>
      <c r="AC110" s="712"/>
      <c r="AD110" s="712">
        <v>0</v>
      </c>
      <c r="AE110" s="712"/>
      <c r="AF110" s="712">
        <v>0</v>
      </c>
      <c r="AG110" s="712"/>
      <c r="AH110" s="723"/>
      <c r="AI110" s="712"/>
      <c r="AJ110" s="607" t="s">
        <v>1759</v>
      </c>
      <c r="AK110" s="712"/>
      <c r="AL110" s="605">
        <f t="shared" si="77"/>
        <v>0</v>
      </c>
      <c r="AM110" s="712"/>
      <c r="AN110" s="605">
        <f t="shared" si="77"/>
        <v>0</v>
      </c>
      <c r="AO110" s="712"/>
      <c r="AP110" s="605">
        <f t="shared" si="77"/>
        <v>0</v>
      </c>
      <c r="AQ110" s="712"/>
      <c r="AR110" s="712">
        <f t="shared" si="75"/>
        <v>0</v>
      </c>
      <c r="AT110" s="712">
        <v>0</v>
      </c>
      <c r="AU110" s="712"/>
      <c r="AV110" s="712">
        <v>0</v>
      </c>
      <c r="AW110" s="712"/>
      <c r="AX110" s="723"/>
      <c r="AY110" s="712"/>
      <c r="AZ110" s="605">
        <f t="shared" si="78"/>
        <v>0</v>
      </c>
      <c r="BA110" s="712"/>
      <c r="BB110" s="605">
        <f t="shared" si="78"/>
        <v>0</v>
      </c>
      <c r="BC110" s="712"/>
      <c r="BD110" s="605">
        <f t="shared" si="78"/>
        <v>0</v>
      </c>
      <c r="BE110" s="712"/>
      <c r="BF110" s="712">
        <f t="shared" si="79"/>
        <v>0</v>
      </c>
      <c r="BG110" s="712"/>
      <c r="BH110" s="712">
        <f t="shared" si="76"/>
        <v>0</v>
      </c>
      <c r="BJ110" s="590">
        <f t="shared" si="73"/>
        <v>508</v>
      </c>
    </row>
    <row r="111" spans="1:62">
      <c r="A111" s="590">
        <f t="shared" si="80"/>
        <v>509</v>
      </c>
      <c r="B111" s="729"/>
      <c r="H111" s="723"/>
      <c r="J111" s="723"/>
      <c r="K111" s="712"/>
      <c r="L111" s="723"/>
      <c r="M111" s="712"/>
      <c r="N111" s="723"/>
      <c r="O111" s="712"/>
      <c r="T111" s="712">
        <v>0</v>
      </c>
      <c r="U111" s="712"/>
      <c r="V111" s="712">
        <v>0</v>
      </c>
      <c r="W111" s="712"/>
      <c r="X111" s="712">
        <f t="shared" si="81"/>
        <v>0</v>
      </c>
      <c r="Y111" s="712"/>
      <c r="Z111" s="712">
        <f t="shared" si="82"/>
        <v>0</v>
      </c>
      <c r="AA111" s="712"/>
      <c r="AB111" s="712"/>
      <c r="AC111" s="712"/>
      <c r="AD111" s="712">
        <v>0</v>
      </c>
      <c r="AE111" s="712"/>
      <c r="AF111" s="712">
        <v>0</v>
      </c>
      <c r="AG111" s="712"/>
      <c r="AH111" s="723"/>
      <c r="AI111" s="712"/>
      <c r="AJ111" s="712"/>
      <c r="AK111" s="712"/>
      <c r="AL111" s="605">
        <f t="shared" si="77"/>
        <v>0</v>
      </c>
      <c r="AM111" s="712"/>
      <c r="AN111" s="605">
        <f t="shared" si="77"/>
        <v>0</v>
      </c>
      <c r="AO111" s="712"/>
      <c r="AP111" s="605">
        <f t="shared" si="77"/>
        <v>0</v>
      </c>
      <c r="AQ111" s="712"/>
      <c r="AR111" s="712">
        <f t="shared" si="75"/>
        <v>0</v>
      </c>
      <c r="AT111" s="712">
        <v>0</v>
      </c>
      <c r="AU111" s="712"/>
      <c r="AV111" s="712">
        <v>0</v>
      </c>
      <c r="AW111" s="712"/>
      <c r="AX111" s="723"/>
      <c r="AY111" s="712"/>
      <c r="AZ111" s="605">
        <f t="shared" si="78"/>
        <v>0</v>
      </c>
      <c r="BA111" s="712"/>
      <c r="BB111" s="605">
        <f t="shared" si="78"/>
        <v>0</v>
      </c>
      <c r="BC111" s="712"/>
      <c r="BD111" s="605">
        <f t="shared" si="78"/>
        <v>0</v>
      </c>
      <c r="BE111" s="712"/>
      <c r="BF111" s="712">
        <f t="shared" si="79"/>
        <v>0</v>
      </c>
      <c r="BG111" s="712"/>
      <c r="BH111" s="712"/>
      <c r="BJ111" s="590">
        <f t="shared" si="73"/>
        <v>509</v>
      </c>
    </row>
    <row r="112" spans="1:62">
      <c r="A112" s="590">
        <f>+A109+1</f>
        <v>508</v>
      </c>
      <c r="B112" s="729"/>
      <c r="H112" s="723"/>
      <c r="J112" s="723"/>
      <c r="K112" s="712"/>
      <c r="L112" s="723"/>
      <c r="M112" s="712"/>
      <c r="N112" s="723"/>
      <c r="O112" s="712"/>
      <c r="T112" s="712">
        <v>0</v>
      </c>
      <c r="U112" s="712"/>
      <c r="V112" s="712">
        <v>0</v>
      </c>
      <c r="W112" s="712"/>
      <c r="X112" s="712">
        <f t="shared" si="81"/>
        <v>0</v>
      </c>
      <c r="Y112" s="712"/>
      <c r="Z112" s="712">
        <f t="shared" si="82"/>
        <v>0</v>
      </c>
      <c r="AA112" s="712"/>
      <c r="AB112" s="712"/>
      <c r="AC112" s="712"/>
      <c r="AD112" s="712">
        <v>0</v>
      </c>
      <c r="AE112" s="712"/>
      <c r="AF112" s="712">
        <v>0</v>
      </c>
      <c r="AG112" s="712"/>
      <c r="AH112" s="723"/>
      <c r="AI112" s="712"/>
      <c r="AJ112" s="712"/>
      <c r="AK112" s="712"/>
      <c r="AL112" s="605">
        <f t="shared" si="77"/>
        <v>0</v>
      </c>
      <c r="AM112" s="712"/>
      <c r="AN112" s="605">
        <f t="shared" si="77"/>
        <v>0</v>
      </c>
      <c r="AO112" s="712"/>
      <c r="AP112" s="605">
        <f t="shared" si="77"/>
        <v>0</v>
      </c>
      <c r="AQ112" s="712"/>
      <c r="AR112" s="712">
        <f t="shared" si="75"/>
        <v>0</v>
      </c>
      <c r="AT112" s="712">
        <v>0</v>
      </c>
      <c r="AU112" s="712"/>
      <c r="AV112" s="712">
        <v>0</v>
      </c>
      <c r="AW112" s="712"/>
      <c r="AX112" s="723"/>
      <c r="AY112" s="712"/>
      <c r="AZ112" s="605">
        <f t="shared" si="78"/>
        <v>0</v>
      </c>
      <c r="BA112" s="712"/>
      <c r="BB112" s="605">
        <f t="shared" si="78"/>
        <v>0</v>
      </c>
      <c r="BC112" s="712"/>
      <c r="BD112" s="605">
        <f t="shared" si="78"/>
        <v>0</v>
      </c>
      <c r="BE112" s="712"/>
      <c r="BF112" s="712">
        <f t="shared" si="79"/>
        <v>0</v>
      </c>
      <c r="BG112" s="712"/>
      <c r="BH112" s="712"/>
      <c r="BJ112" s="590">
        <f t="shared" si="73"/>
        <v>508</v>
      </c>
    </row>
    <row r="113" spans="1:62">
      <c r="A113" s="590"/>
      <c r="B113" s="706"/>
      <c r="H113" s="712"/>
      <c r="J113" s="712"/>
      <c r="K113" s="712"/>
      <c r="L113" s="712"/>
      <c r="M113" s="712"/>
      <c r="N113" s="712"/>
      <c r="O113" s="712"/>
      <c r="T113" s="712"/>
      <c r="U113" s="712"/>
      <c r="V113" s="712"/>
      <c r="W113" s="712"/>
      <c r="X113" s="712"/>
      <c r="Y113" s="712"/>
      <c r="Z113" s="712"/>
      <c r="AA113" s="712"/>
      <c r="AB113" s="712"/>
      <c r="AC113" s="712"/>
      <c r="AD113" s="712"/>
      <c r="AE113" s="712"/>
      <c r="AF113" s="712"/>
      <c r="AG113" s="712"/>
      <c r="AH113" s="712"/>
      <c r="AI113" s="712"/>
      <c r="AJ113" s="712"/>
      <c r="AK113" s="712"/>
      <c r="AL113" s="712"/>
      <c r="AM113" s="712"/>
      <c r="AN113" s="712"/>
      <c r="AO113" s="712"/>
      <c r="AP113" s="712"/>
      <c r="AQ113" s="712"/>
      <c r="AR113" s="712"/>
      <c r="AT113" s="712"/>
      <c r="AU113" s="712"/>
      <c r="AV113" s="712"/>
      <c r="AW113" s="712"/>
      <c r="AX113" s="712"/>
      <c r="AY113" s="712"/>
      <c r="AZ113" s="712"/>
      <c r="BA113" s="712"/>
      <c r="BB113" s="712"/>
      <c r="BC113" s="712"/>
      <c r="BD113" s="712"/>
      <c r="BE113" s="712"/>
      <c r="BF113" s="712"/>
      <c r="BG113" s="712"/>
      <c r="BH113" s="712"/>
      <c r="BJ113" s="590"/>
    </row>
    <row r="114" spans="1:62">
      <c r="A114" s="323" t="s">
        <v>122</v>
      </c>
      <c r="BJ114" s="726" t="s">
        <v>122</v>
      </c>
    </row>
    <row r="115" spans="1:62">
      <c r="A115" s="590">
        <v>600</v>
      </c>
      <c r="B115" s="702" t="s">
        <v>1559</v>
      </c>
      <c r="H115" s="721">
        <f>ROUND(SUM(H116:H120),0)</f>
        <v>0</v>
      </c>
      <c r="J115" s="721">
        <f>ROUND(SUM(J116:J120),0)</f>
        <v>0</v>
      </c>
      <c r="K115" s="712"/>
      <c r="L115" s="721">
        <f>ROUND(SUM(L116:L120),0)</f>
        <v>0</v>
      </c>
      <c r="M115" s="712"/>
      <c r="N115" s="721">
        <f>ROUND(SUM(N116:N120),0)</f>
        <v>0</v>
      </c>
      <c r="O115" s="712"/>
      <c r="Q115" s="590"/>
      <c r="R115" s="590"/>
      <c r="S115" s="590"/>
      <c r="T115" s="721">
        <f>ROUND(SUM(T116:T120),0)</f>
        <v>0</v>
      </c>
      <c r="U115" s="712"/>
      <c r="V115" s="721">
        <f>ROUND(SUM(V116:V120),0)</f>
        <v>0</v>
      </c>
      <c r="W115" s="712"/>
      <c r="X115" s="721">
        <f>ROUND(SUM(X116:X120),0)</f>
        <v>0</v>
      </c>
      <c r="Y115" s="712"/>
      <c r="Z115" s="721">
        <f>ROUND(SUM(Z116:Z120),0)</f>
        <v>0</v>
      </c>
      <c r="AA115" s="712"/>
      <c r="AB115" s="712"/>
      <c r="AC115" s="712"/>
      <c r="AD115" s="721">
        <f>SUM(AD116:AD120)</f>
        <v>0</v>
      </c>
      <c r="AE115" s="712"/>
      <c r="AF115" s="721">
        <f>SUM(AF116:AF120)</f>
        <v>0</v>
      </c>
      <c r="AG115" s="712"/>
      <c r="AH115" s="721">
        <f>SUM(AH116:AH120)</f>
        <v>0</v>
      </c>
      <c r="AI115" s="712"/>
      <c r="AJ115" s="712"/>
      <c r="AK115" s="712"/>
      <c r="AL115" s="721">
        <f>SUM(AL116:AL120)</f>
        <v>0</v>
      </c>
      <c r="AM115" s="712"/>
      <c r="AN115" s="721">
        <f>SUM(AN116:AN120)</f>
        <v>0</v>
      </c>
      <c r="AO115" s="712"/>
      <c r="AP115" s="721">
        <f>SUM(AP116:AP120)</f>
        <v>0</v>
      </c>
      <c r="AQ115" s="712"/>
      <c r="AR115" s="721">
        <f>SUM(AR116:AR120)</f>
        <v>0</v>
      </c>
      <c r="AT115" s="721">
        <f>SUM(AT116:AT120)</f>
        <v>0</v>
      </c>
      <c r="AU115" s="712"/>
      <c r="AV115" s="721">
        <f>SUM(AV116:AV120)</f>
        <v>0</v>
      </c>
      <c r="AW115" s="712"/>
      <c r="AX115" s="721">
        <f>SUM(AX116:AX120)</f>
        <v>0</v>
      </c>
      <c r="AY115" s="712"/>
      <c r="AZ115" s="721">
        <f>SUM(AZ116:AZ120)</f>
        <v>0</v>
      </c>
      <c r="BA115" s="712"/>
      <c r="BB115" s="721">
        <f>SUM(BB116:BB120)</f>
        <v>0</v>
      </c>
      <c r="BC115" s="712"/>
      <c r="BD115" s="721">
        <f>SUM(BD116:BD120)</f>
        <v>0</v>
      </c>
      <c r="BE115" s="712"/>
      <c r="BF115" s="721">
        <f>SUM(BF116:BF120)</f>
        <v>0</v>
      </c>
      <c r="BG115" s="712"/>
      <c r="BH115" s="721">
        <f>ROUND(SUM(BH116:BH120),0)</f>
        <v>0</v>
      </c>
      <c r="BJ115" s="590">
        <f t="shared" ref="BJ115:BJ120" si="83">A115</f>
        <v>600</v>
      </c>
    </row>
    <row r="116" spans="1:62">
      <c r="A116" s="590">
        <f t="shared" ref="A116:A119" si="84">A115+1</f>
        <v>601</v>
      </c>
      <c r="B116" s="634" t="s">
        <v>1841</v>
      </c>
      <c r="F116" s="715" t="s">
        <v>1755</v>
      </c>
      <c r="H116" s="723"/>
      <c r="J116" s="723"/>
      <c r="K116" s="712"/>
      <c r="L116" s="723"/>
      <c r="M116" s="712"/>
      <c r="N116" s="723"/>
      <c r="O116" s="712"/>
      <c r="R116" s="713" t="s">
        <v>1750</v>
      </c>
      <c r="T116" s="712">
        <f>+N116</f>
        <v>0</v>
      </c>
      <c r="U116" s="712"/>
      <c r="V116" s="712">
        <v>0</v>
      </c>
      <c r="W116" s="712"/>
      <c r="X116" s="712">
        <v>0</v>
      </c>
      <c r="Y116" s="712"/>
      <c r="Z116" s="712">
        <f>SUM(T116:X116)</f>
        <v>0</v>
      </c>
      <c r="AA116" s="712"/>
      <c r="AB116" s="607" t="s">
        <v>1548</v>
      </c>
      <c r="AC116" s="712"/>
      <c r="AD116" s="723"/>
      <c r="AE116" s="712"/>
      <c r="AF116" s="712">
        <v>0</v>
      </c>
      <c r="AG116" s="712"/>
      <c r="AH116" s="712">
        <v>0</v>
      </c>
      <c r="AI116" s="712"/>
      <c r="AJ116" s="607" t="s">
        <v>1760</v>
      </c>
      <c r="AK116" s="712"/>
      <c r="AL116" s="605">
        <f>+T116-AD116</f>
        <v>0</v>
      </c>
      <c r="AM116" s="712"/>
      <c r="AN116" s="605">
        <f>+V116-AF116</f>
        <v>0</v>
      </c>
      <c r="AO116" s="712"/>
      <c r="AP116" s="605">
        <f>+X116-AH116</f>
        <v>0</v>
      </c>
      <c r="AQ116" s="712"/>
      <c r="AR116" s="712">
        <f t="shared" ref="AR116:AR121" si="85">SUM(AL116:AP116)</f>
        <v>0</v>
      </c>
      <c r="AT116" s="723"/>
      <c r="AU116" s="712"/>
      <c r="AV116" s="712">
        <v>0</v>
      </c>
      <c r="AW116" s="712"/>
      <c r="AX116" s="712">
        <v>0</v>
      </c>
      <c r="AY116" s="712"/>
      <c r="AZ116" s="605">
        <f>+AL116-AT116</f>
        <v>0</v>
      </c>
      <c r="BA116" s="712"/>
      <c r="BB116" s="605">
        <f>+AN116-AV116</f>
        <v>0</v>
      </c>
      <c r="BC116" s="712"/>
      <c r="BD116" s="605">
        <f>+AP116-AX116</f>
        <v>0</v>
      </c>
      <c r="BE116" s="712"/>
      <c r="BF116" s="712">
        <f>SUM(AZ116:BD116)</f>
        <v>0</v>
      </c>
      <c r="BG116" s="712"/>
      <c r="BH116" s="712">
        <f>+BF116*$BH$9</f>
        <v>0</v>
      </c>
      <c r="BJ116" s="590">
        <f t="shared" si="83"/>
        <v>601</v>
      </c>
    </row>
    <row r="117" spans="1:62">
      <c r="A117" s="590">
        <f t="shared" si="84"/>
        <v>602</v>
      </c>
      <c r="B117" s="634" t="s">
        <v>1842</v>
      </c>
      <c r="F117" s="715" t="s">
        <v>1755</v>
      </c>
      <c r="H117" s="723"/>
      <c r="J117" s="723"/>
      <c r="K117" s="712"/>
      <c r="L117" s="723"/>
      <c r="M117" s="712"/>
      <c r="N117" s="723"/>
      <c r="O117" s="712"/>
      <c r="R117" s="713" t="s">
        <v>1750</v>
      </c>
      <c r="T117" s="712">
        <f t="shared" ref="T117:T120" si="86">+N117</f>
        <v>0</v>
      </c>
      <c r="U117" s="712"/>
      <c r="V117" s="712">
        <v>0</v>
      </c>
      <c r="W117" s="712"/>
      <c r="X117" s="712">
        <v>0</v>
      </c>
      <c r="Y117" s="712"/>
      <c r="Z117" s="712">
        <f t="shared" ref="Z117:Z120" si="87">SUM(T117:X117)</f>
        <v>0</v>
      </c>
      <c r="AA117" s="712"/>
      <c r="AB117" s="607" t="s">
        <v>1548</v>
      </c>
      <c r="AC117" s="712"/>
      <c r="AD117" s="723"/>
      <c r="AE117" s="712"/>
      <c r="AF117" s="712">
        <v>0</v>
      </c>
      <c r="AG117" s="712"/>
      <c r="AH117" s="712">
        <v>0</v>
      </c>
      <c r="AI117" s="712"/>
      <c r="AJ117" s="607" t="s">
        <v>1760</v>
      </c>
      <c r="AK117" s="712"/>
      <c r="AL117" s="605">
        <f t="shared" ref="AL117:AP121" si="88">+T117-AD117</f>
        <v>0</v>
      </c>
      <c r="AM117" s="712"/>
      <c r="AN117" s="605">
        <f t="shared" si="88"/>
        <v>0</v>
      </c>
      <c r="AO117" s="712"/>
      <c r="AP117" s="605">
        <f t="shared" si="88"/>
        <v>0</v>
      </c>
      <c r="AQ117" s="712"/>
      <c r="AR117" s="712">
        <f t="shared" si="85"/>
        <v>0</v>
      </c>
      <c r="AT117" s="723"/>
      <c r="AU117" s="712"/>
      <c r="AV117" s="712">
        <v>0</v>
      </c>
      <c r="AW117" s="712"/>
      <c r="AX117" s="712">
        <v>0</v>
      </c>
      <c r="AY117" s="712"/>
      <c r="AZ117" s="605">
        <f t="shared" ref="AZ117:BD121" si="89">+AL117-AT117</f>
        <v>0</v>
      </c>
      <c r="BA117" s="712"/>
      <c r="BB117" s="605">
        <f t="shared" si="89"/>
        <v>0</v>
      </c>
      <c r="BC117" s="712"/>
      <c r="BD117" s="605">
        <f t="shared" si="89"/>
        <v>0</v>
      </c>
      <c r="BE117" s="712"/>
      <c r="BF117" s="712">
        <f t="shared" ref="BF117:BF120" si="90">SUM(AZ117:BD117)</f>
        <v>0</v>
      </c>
      <c r="BG117" s="712"/>
      <c r="BH117" s="712">
        <f>+BF117*$BH$9</f>
        <v>0</v>
      </c>
      <c r="BJ117" s="590">
        <f t="shared" si="83"/>
        <v>602</v>
      </c>
    </row>
    <row r="118" spans="1:62">
      <c r="A118" s="590">
        <f t="shared" si="84"/>
        <v>603</v>
      </c>
      <c r="B118" s="730"/>
      <c r="H118" s="723"/>
      <c r="J118" s="723"/>
      <c r="K118" s="712"/>
      <c r="L118" s="723"/>
      <c r="M118" s="712"/>
      <c r="N118" s="723"/>
      <c r="O118" s="712"/>
      <c r="T118" s="712">
        <f t="shared" si="86"/>
        <v>0</v>
      </c>
      <c r="U118" s="712"/>
      <c r="V118" s="712">
        <v>0</v>
      </c>
      <c r="W118" s="712"/>
      <c r="X118" s="712">
        <v>0</v>
      </c>
      <c r="Y118" s="712"/>
      <c r="Z118" s="712">
        <f t="shared" si="87"/>
        <v>0</v>
      </c>
      <c r="AA118" s="712"/>
      <c r="AB118" s="712"/>
      <c r="AC118" s="712"/>
      <c r="AD118" s="723"/>
      <c r="AE118" s="712"/>
      <c r="AF118" s="712">
        <v>0</v>
      </c>
      <c r="AG118" s="712"/>
      <c r="AH118" s="712">
        <v>0</v>
      </c>
      <c r="AI118" s="712"/>
      <c r="AJ118" s="712"/>
      <c r="AK118" s="712"/>
      <c r="AL118" s="605">
        <f t="shared" si="88"/>
        <v>0</v>
      </c>
      <c r="AM118" s="712"/>
      <c r="AN118" s="605">
        <f t="shared" si="88"/>
        <v>0</v>
      </c>
      <c r="AO118" s="712"/>
      <c r="AP118" s="605">
        <f t="shared" si="88"/>
        <v>0</v>
      </c>
      <c r="AQ118" s="712"/>
      <c r="AR118" s="712">
        <f t="shared" si="85"/>
        <v>0</v>
      </c>
      <c r="AT118" s="723"/>
      <c r="AU118" s="712"/>
      <c r="AV118" s="712">
        <v>0</v>
      </c>
      <c r="AW118" s="712"/>
      <c r="AX118" s="712">
        <v>0</v>
      </c>
      <c r="AY118" s="712"/>
      <c r="AZ118" s="605">
        <f t="shared" si="89"/>
        <v>0</v>
      </c>
      <c r="BA118" s="712"/>
      <c r="BB118" s="605">
        <f t="shared" si="89"/>
        <v>0</v>
      </c>
      <c r="BC118" s="712"/>
      <c r="BD118" s="605">
        <f t="shared" si="89"/>
        <v>0</v>
      </c>
      <c r="BE118" s="712"/>
      <c r="BF118" s="712">
        <f t="shared" si="90"/>
        <v>0</v>
      </c>
      <c r="BG118" s="712"/>
      <c r="BH118" s="712">
        <f>+BF118*$BH$9</f>
        <v>0</v>
      </c>
      <c r="BJ118" s="590">
        <f t="shared" si="83"/>
        <v>603</v>
      </c>
    </row>
    <row r="119" spans="1:62">
      <c r="A119" s="590">
        <f t="shared" si="84"/>
        <v>604</v>
      </c>
      <c r="B119" s="730" t="s">
        <v>632</v>
      </c>
      <c r="H119" s="723"/>
      <c r="J119" s="723"/>
      <c r="K119" s="712"/>
      <c r="L119" s="723"/>
      <c r="M119" s="712"/>
      <c r="N119" s="723"/>
      <c r="O119" s="712"/>
      <c r="T119" s="712">
        <f t="shared" si="86"/>
        <v>0</v>
      </c>
      <c r="U119" s="712"/>
      <c r="V119" s="712">
        <v>0</v>
      </c>
      <c r="W119" s="712"/>
      <c r="X119" s="712">
        <v>0</v>
      </c>
      <c r="Y119" s="712"/>
      <c r="Z119" s="712">
        <f t="shared" si="87"/>
        <v>0</v>
      </c>
      <c r="AA119" s="712"/>
      <c r="AB119" s="712"/>
      <c r="AC119" s="712"/>
      <c r="AD119" s="723"/>
      <c r="AE119" s="712"/>
      <c r="AF119" s="712">
        <v>0</v>
      </c>
      <c r="AG119" s="712"/>
      <c r="AH119" s="712">
        <v>0</v>
      </c>
      <c r="AI119" s="712"/>
      <c r="AJ119" s="712"/>
      <c r="AK119" s="712"/>
      <c r="AL119" s="605">
        <f t="shared" si="88"/>
        <v>0</v>
      </c>
      <c r="AM119" s="712"/>
      <c r="AN119" s="605">
        <f t="shared" si="88"/>
        <v>0</v>
      </c>
      <c r="AO119" s="712"/>
      <c r="AP119" s="605">
        <f t="shared" si="88"/>
        <v>0</v>
      </c>
      <c r="AQ119" s="712"/>
      <c r="AR119" s="712">
        <f t="shared" si="85"/>
        <v>0</v>
      </c>
      <c r="AT119" s="723"/>
      <c r="AU119" s="712"/>
      <c r="AV119" s="712">
        <v>0</v>
      </c>
      <c r="AW119" s="712"/>
      <c r="AX119" s="712">
        <v>0</v>
      </c>
      <c r="AY119" s="712"/>
      <c r="AZ119" s="605">
        <f t="shared" si="89"/>
        <v>0</v>
      </c>
      <c r="BA119" s="712"/>
      <c r="BB119" s="605">
        <f t="shared" si="89"/>
        <v>0</v>
      </c>
      <c r="BC119" s="712"/>
      <c r="BD119" s="605">
        <f t="shared" si="89"/>
        <v>0</v>
      </c>
      <c r="BE119" s="712"/>
      <c r="BF119" s="712">
        <f t="shared" si="90"/>
        <v>0</v>
      </c>
      <c r="BG119" s="712"/>
      <c r="BH119" s="712">
        <f>+BF119*$BH$9</f>
        <v>0</v>
      </c>
      <c r="BJ119" s="590">
        <f t="shared" si="83"/>
        <v>604</v>
      </c>
    </row>
    <row r="120" spans="1:62">
      <c r="A120" s="590">
        <f>+A119+1</f>
        <v>605</v>
      </c>
      <c r="B120" s="730" t="s">
        <v>632</v>
      </c>
      <c r="H120" s="723"/>
      <c r="J120" s="723"/>
      <c r="K120" s="712"/>
      <c r="L120" s="723"/>
      <c r="M120" s="712"/>
      <c r="N120" s="723"/>
      <c r="O120" s="712"/>
      <c r="T120" s="712">
        <f t="shared" si="86"/>
        <v>0</v>
      </c>
      <c r="U120" s="712"/>
      <c r="V120" s="712">
        <v>0</v>
      </c>
      <c r="W120" s="712"/>
      <c r="X120" s="712">
        <v>0</v>
      </c>
      <c r="Y120" s="712"/>
      <c r="Z120" s="712">
        <f t="shared" si="87"/>
        <v>0</v>
      </c>
      <c r="AA120" s="712"/>
      <c r="AB120" s="712"/>
      <c r="AC120" s="712"/>
      <c r="AD120" s="723"/>
      <c r="AE120" s="712"/>
      <c r="AF120" s="712">
        <v>0</v>
      </c>
      <c r="AG120" s="712"/>
      <c r="AH120" s="712">
        <v>0</v>
      </c>
      <c r="AI120" s="712"/>
      <c r="AJ120" s="712"/>
      <c r="AK120" s="712"/>
      <c r="AL120" s="605">
        <f t="shared" si="88"/>
        <v>0</v>
      </c>
      <c r="AM120" s="712"/>
      <c r="AN120" s="605">
        <f t="shared" si="88"/>
        <v>0</v>
      </c>
      <c r="AO120" s="712"/>
      <c r="AP120" s="605">
        <f t="shared" si="88"/>
        <v>0</v>
      </c>
      <c r="AQ120" s="712"/>
      <c r="AR120" s="712">
        <f t="shared" si="85"/>
        <v>0</v>
      </c>
      <c r="AT120" s="723"/>
      <c r="AU120" s="712"/>
      <c r="AV120" s="712">
        <v>0</v>
      </c>
      <c r="AW120" s="712"/>
      <c r="AX120" s="712">
        <v>0</v>
      </c>
      <c r="AY120" s="712"/>
      <c r="AZ120" s="605">
        <f t="shared" si="89"/>
        <v>0</v>
      </c>
      <c r="BA120" s="712"/>
      <c r="BB120" s="605">
        <f t="shared" si="89"/>
        <v>0</v>
      </c>
      <c r="BC120" s="712"/>
      <c r="BD120" s="605">
        <f t="shared" si="89"/>
        <v>0</v>
      </c>
      <c r="BE120" s="712"/>
      <c r="BF120" s="712">
        <f t="shared" si="90"/>
        <v>0</v>
      </c>
      <c r="BG120" s="712"/>
      <c r="BH120" s="712">
        <f>+BF120*$BH$9</f>
        <v>0</v>
      </c>
      <c r="BJ120" s="590">
        <f t="shared" si="83"/>
        <v>605</v>
      </c>
    </row>
    <row r="121" spans="1:62">
      <c r="A121" s="590"/>
      <c r="B121" s="706"/>
      <c r="H121" s="712"/>
      <c r="J121" s="712"/>
      <c r="K121" s="712"/>
      <c r="L121" s="712"/>
      <c r="M121" s="712"/>
      <c r="N121" s="712"/>
      <c r="O121" s="712"/>
      <c r="T121" s="712"/>
      <c r="U121" s="712"/>
      <c r="V121" s="712"/>
      <c r="W121" s="712"/>
      <c r="X121" s="712"/>
      <c r="Y121" s="712"/>
      <c r="Z121" s="712"/>
      <c r="AA121" s="712"/>
      <c r="AB121" s="712"/>
      <c r="AC121" s="712"/>
      <c r="AD121" s="712"/>
      <c r="AE121" s="712"/>
      <c r="AF121" s="712"/>
      <c r="AG121" s="712"/>
      <c r="AH121" s="712"/>
      <c r="AI121" s="712"/>
      <c r="AJ121" s="712"/>
      <c r="AK121" s="712"/>
      <c r="AL121" s="605">
        <f t="shared" si="88"/>
        <v>0</v>
      </c>
      <c r="AM121" s="712"/>
      <c r="AN121" s="605">
        <f t="shared" si="88"/>
        <v>0</v>
      </c>
      <c r="AO121" s="712"/>
      <c r="AP121" s="605">
        <f t="shared" si="88"/>
        <v>0</v>
      </c>
      <c r="AQ121" s="712"/>
      <c r="AR121" s="712">
        <f t="shared" si="85"/>
        <v>0</v>
      </c>
      <c r="AT121" s="712"/>
      <c r="AU121" s="712"/>
      <c r="AV121" s="712"/>
      <c r="AW121" s="712"/>
      <c r="AX121" s="712"/>
      <c r="AY121" s="712"/>
      <c r="AZ121" s="605">
        <f t="shared" si="89"/>
        <v>0</v>
      </c>
      <c r="BA121" s="712"/>
      <c r="BB121" s="605">
        <f t="shared" si="89"/>
        <v>0</v>
      </c>
      <c r="BC121" s="712"/>
      <c r="BD121" s="605">
        <f t="shared" si="89"/>
        <v>0</v>
      </c>
      <c r="BE121" s="712"/>
      <c r="BF121" s="712"/>
      <c r="BG121" s="712"/>
      <c r="BH121" s="712"/>
      <c r="BJ121" s="590"/>
    </row>
    <row r="122" spans="1:62">
      <c r="A122" s="323" t="s">
        <v>122</v>
      </c>
      <c r="BJ122" s="726" t="s">
        <v>122</v>
      </c>
    </row>
    <row r="123" spans="1:62">
      <c r="A123" s="590">
        <v>700</v>
      </c>
      <c r="B123" s="728" t="s">
        <v>1553</v>
      </c>
      <c r="H123" s="721">
        <f>SUM(H124:H128)</f>
        <v>0</v>
      </c>
      <c r="J123" s="721">
        <f>SUM(J124:J128)</f>
        <v>0</v>
      </c>
      <c r="K123" s="712"/>
      <c r="L123" s="721">
        <f>SUM(L124:L128)</f>
        <v>0</v>
      </c>
      <c r="M123" s="712"/>
      <c r="N123" s="721">
        <f>SUM(N124:N128)</f>
        <v>0</v>
      </c>
      <c r="O123" s="712"/>
      <c r="Q123" s="590"/>
      <c r="R123" s="590"/>
      <c r="S123" s="590"/>
      <c r="T123" s="721">
        <f>SUM(T124:T128)</f>
        <v>0</v>
      </c>
      <c r="U123" s="712"/>
      <c r="V123" s="721">
        <f>SUM(V124:V128)</f>
        <v>0</v>
      </c>
      <c r="W123" s="712"/>
      <c r="X123" s="721">
        <f>SUM(X124:X128)</f>
        <v>0</v>
      </c>
      <c r="Y123" s="712"/>
      <c r="Z123" s="721">
        <f>SUM(Z124:Z128)</f>
        <v>0</v>
      </c>
      <c r="AA123" s="712"/>
      <c r="AB123" s="712"/>
      <c r="AC123" s="712"/>
      <c r="AD123" s="721">
        <f>SUM(AD124:AD128)</f>
        <v>0</v>
      </c>
      <c r="AE123" s="712"/>
      <c r="AF123" s="721">
        <f>SUM(AF124:AF128)</f>
        <v>0</v>
      </c>
      <c r="AG123" s="712"/>
      <c r="AH123" s="721">
        <f>SUM(AH124:AH128)</f>
        <v>0</v>
      </c>
      <c r="AI123" s="712"/>
      <c r="AJ123" s="712"/>
      <c r="AK123" s="712"/>
      <c r="AL123" s="721">
        <f>SUM(AL124:AL128)</f>
        <v>0</v>
      </c>
      <c r="AM123" s="712"/>
      <c r="AN123" s="721">
        <f>SUM(AN124:AN128)</f>
        <v>0</v>
      </c>
      <c r="AO123" s="712"/>
      <c r="AP123" s="721">
        <f>SUM(AP124:AP128)</f>
        <v>0</v>
      </c>
      <c r="AQ123" s="712"/>
      <c r="AR123" s="721">
        <f>SUM(AR124:AR128)</f>
        <v>0</v>
      </c>
      <c r="AT123" s="721">
        <f>SUM(AT124:AT128)</f>
        <v>0</v>
      </c>
      <c r="AU123" s="712"/>
      <c r="AV123" s="721">
        <f>SUM(AV124:AV128)</f>
        <v>0</v>
      </c>
      <c r="AW123" s="712"/>
      <c r="AX123" s="721">
        <f>SUM(AX124:AX128)</f>
        <v>0</v>
      </c>
      <c r="AY123" s="712"/>
      <c r="AZ123" s="721">
        <f>SUM(AZ124:AZ128)</f>
        <v>0</v>
      </c>
      <c r="BA123" s="712"/>
      <c r="BB123" s="721">
        <f>SUM(BB124:BB128)</f>
        <v>0</v>
      </c>
      <c r="BC123" s="712"/>
      <c r="BD123" s="721">
        <f>SUM(BD124:BD128)</f>
        <v>0</v>
      </c>
      <c r="BE123" s="712"/>
      <c r="BF123" s="721">
        <f>SUM(BF124:BF128)</f>
        <v>0</v>
      </c>
      <c r="BG123" s="712"/>
      <c r="BH123" s="721">
        <f>SUM(BH124:BH128)</f>
        <v>0</v>
      </c>
      <c r="BJ123" s="590">
        <f t="shared" ref="BJ123:BJ128" si="91">A123</f>
        <v>700</v>
      </c>
    </row>
    <row r="124" spans="1:62">
      <c r="A124" s="590">
        <f t="shared" ref="A124:A127" si="92">A123+1</f>
        <v>701</v>
      </c>
      <c r="B124" s="730" t="s">
        <v>1773</v>
      </c>
      <c r="H124" s="723"/>
      <c r="J124" s="723"/>
      <c r="K124" s="712"/>
      <c r="L124" s="723"/>
      <c r="M124" s="712"/>
      <c r="N124" s="723"/>
      <c r="O124" s="712"/>
      <c r="T124" s="712">
        <v>0</v>
      </c>
      <c r="U124" s="712"/>
      <c r="V124" s="712">
        <v>0</v>
      </c>
      <c r="W124" s="712"/>
      <c r="X124" s="712">
        <v>0</v>
      </c>
      <c r="Y124" s="712"/>
      <c r="Z124" s="712">
        <f>SUM(T124:X124)</f>
        <v>0</v>
      </c>
      <c r="AA124" s="712"/>
      <c r="AB124" s="712"/>
      <c r="AC124" s="712"/>
      <c r="AD124" s="723"/>
      <c r="AE124" s="712"/>
      <c r="AF124" s="723"/>
      <c r="AG124" s="712"/>
      <c r="AH124" s="723"/>
      <c r="AI124" s="712"/>
      <c r="AJ124" s="712"/>
      <c r="AK124" s="712"/>
      <c r="AL124" s="605">
        <f>+T124-AD124</f>
        <v>0</v>
      </c>
      <c r="AM124" s="712"/>
      <c r="AN124" s="605">
        <f>+V124-AF124</f>
        <v>0</v>
      </c>
      <c r="AO124" s="712"/>
      <c r="AP124" s="605">
        <f>+X124-AH124</f>
        <v>0</v>
      </c>
      <c r="AQ124" s="712"/>
      <c r="AR124" s="712">
        <f t="shared" ref="AR124:AR128" si="93">SUM(AL124:AP124)</f>
        <v>0</v>
      </c>
      <c r="AT124" s="723"/>
      <c r="AU124" s="712"/>
      <c r="AV124" s="723"/>
      <c r="AW124" s="712"/>
      <c r="AX124" s="723"/>
      <c r="AY124" s="712"/>
      <c r="AZ124" s="605">
        <f>+AL124-AT124</f>
        <v>0</v>
      </c>
      <c r="BA124" s="712"/>
      <c r="BB124" s="605">
        <f>+AN124-AV124</f>
        <v>0</v>
      </c>
      <c r="BC124" s="712"/>
      <c r="BD124" s="605">
        <f>+AP124-AX124</f>
        <v>0</v>
      </c>
      <c r="BE124" s="712"/>
      <c r="BF124" s="712">
        <f>SUM(AZ124:BD124)</f>
        <v>0</v>
      </c>
      <c r="BG124" s="712"/>
      <c r="BH124" s="712">
        <f>+BF124*$BH$9</f>
        <v>0</v>
      </c>
      <c r="BJ124" s="590">
        <f t="shared" si="91"/>
        <v>701</v>
      </c>
    </row>
    <row r="125" spans="1:62">
      <c r="A125" s="590">
        <f t="shared" si="92"/>
        <v>702</v>
      </c>
      <c r="B125" s="730" t="s">
        <v>632</v>
      </c>
      <c r="H125" s="723"/>
      <c r="J125" s="723"/>
      <c r="K125" s="712"/>
      <c r="L125" s="723"/>
      <c r="M125" s="712"/>
      <c r="N125" s="723"/>
      <c r="O125" s="712"/>
      <c r="T125" s="712">
        <v>0</v>
      </c>
      <c r="U125" s="712"/>
      <c r="V125" s="712">
        <v>0</v>
      </c>
      <c r="W125" s="712"/>
      <c r="X125" s="712">
        <v>0</v>
      </c>
      <c r="Y125" s="712"/>
      <c r="Z125" s="712">
        <f t="shared" ref="Z125:Z128" si="94">SUM(T125:X125)</f>
        <v>0</v>
      </c>
      <c r="AA125" s="712"/>
      <c r="AB125" s="712"/>
      <c r="AC125" s="712"/>
      <c r="AD125" s="723"/>
      <c r="AE125" s="712"/>
      <c r="AF125" s="723"/>
      <c r="AG125" s="712"/>
      <c r="AH125" s="723"/>
      <c r="AI125" s="712"/>
      <c r="AJ125" s="712"/>
      <c r="AK125" s="712"/>
      <c r="AL125" s="605">
        <f t="shared" ref="AL125:AP128" si="95">+T125-AD125</f>
        <v>0</v>
      </c>
      <c r="AM125" s="712"/>
      <c r="AN125" s="605">
        <f t="shared" si="95"/>
        <v>0</v>
      </c>
      <c r="AO125" s="712"/>
      <c r="AP125" s="605">
        <f t="shared" si="95"/>
        <v>0</v>
      </c>
      <c r="AQ125" s="712"/>
      <c r="AR125" s="712">
        <f t="shared" si="93"/>
        <v>0</v>
      </c>
      <c r="AT125" s="723"/>
      <c r="AU125" s="712"/>
      <c r="AV125" s="723"/>
      <c r="AW125" s="712"/>
      <c r="AX125" s="723"/>
      <c r="AY125" s="712"/>
      <c r="AZ125" s="605">
        <f t="shared" ref="AZ125:BD128" si="96">+AL125-AT125</f>
        <v>0</v>
      </c>
      <c r="BA125" s="712"/>
      <c r="BB125" s="605">
        <f t="shared" si="96"/>
        <v>0</v>
      </c>
      <c r="BC125" s="712"/>
      <c r="BD125" s="605">
        <f t="shared" si="96"/>
        <v>0</v>
      </c>
      <c r="BE125" s="712"/>
      <c r="BF125" s="712">
        <f t="shared" ref="BF125:BF128" si="97">SUM(AZ125:BD125)</f>
        <v>0</v>
      </c>
      <c r="BG125" s="712"/>
      <c r="BH125" s="712">
        <f>+BF125*$BH$9</f>
        <v>0</v>
      </c>
      <c r="BJ125" s="590">
        <f t="shared" si="91"/>
        <v>702</v>
      </c>
    </row>
    <row r="126" spans="1:62">
      <c r="A126" s="590">
        <f t="shared" si="92"/>
        <v>703</v>
      </c>
      <c r="B126" s="730" t="s">
        <v>632</v>
      </c>
      <c r="H126" s="723"/>
      <c r="J126" s="723"/>
      <c r="K126" s="712"/>
      <c r="L126" s="723"/>
      <c r="M126" s="712"/>
      <c r="N126" s="723"/>
      <c r="O126" s="712"/>
      <c r="T126" s="712">
        <v>0</v>
      </c>
      <c r="U126" s="712"/>
      <c r="V126" s="712">
        <v>0</v>
      </c>
      <c r="W126" s="712"/>
      <c r="X126" s="712">
        <v>0</v>
      </c>
      <c r="Y126" s="712"/>
      <c r="Z126" s="712">
        <f t="shared" si="94"/>
        <v>0</v>
      </c>
      <c r="AA126" s="712"/>
      <c r="AB126" s="712"/>
      <c r="AC126" s="712"/>
      <c r="AD126" s="723"/>
      <c r="AE126" s="712"/>
      <c r="AF126" s="723"/>
      <c r="AG126" s="712"/>
      <c r="AH126" s="723"/>
      <c r="AI126" s="712"/>
      <c r="AJ126" s="712"/>
      <c r="AK126" s="712"/>
      <c r="AL126" s="605">
        <f t="shared" si="95"/>
        <v>0</v>
      </c>
      <c r="AM126" s="712"/>
      <c r="AN126" s="605">
        <f t="shared" si="95"/>
        <v>0</v>
      </c>
      <c r="AO126" s="712"/>
      <c r="AP126" s="605">
        <f t="shared" si="95"/>
        <v>0</v>
      </c>
      <c r="AQ126" s="712"/>
      <c r="AR126" s="712">
        <f t="shared" si="93"/>
        <v>0</v>
      </c>
      <c r="AT126" s="723"/>
      <c r="AU126" s="712"/>
      <c r="AV126" s="723"/>
      <c r="AW126" s="712"/>
      <c r="AX126" s="723"/>
      <c r="AY126" s="712"/>
      <c r="AZ126" s="605">
        <f t="shared" si="96"/>
        <v>0</v>
      </c>
      <c r="BA126" s="712"/>
      <c r="BB126" s="605">
        <f t="shared" si="96"/>
        <v>0</v>
      </c>
      <c r="BC126" s="712"/>
      <c r="BD126" s="605">
        <f t="shared" si="96"/>
        <v>0</v>
      </c>
      <c r="BE126" s="712"/>
      <c r="BF126" s="712">
        <f t="shared" si="97"/>
        <v>0</v>
      </c>
      <c r="BG126" s="712"/>
      <c r="BH126" s="712">
        <f>+BF126*$BH$9</f>
        <v>0</v>
      </c>
      <c r="BJ126" s="590">
        <f t="shared" si="91"/>
        <v>703</v>
      </c>
    </row>
    <row r="127" spans="1:62">
      <c r="A127" s="590">
        <f t="shared" si="92"/>
        <v>704</v>
      </c>
      <c r="B127" s="730" t="s">
        <v>632</v>
      </c>
      <c r="H127" s="723"/>
      <c r="J127" s="723"/>
      <c r="K127" s="712"/>
      <c r="L127" s="723"/>
      <c r="M127" s="712"/>
      <c r="N127" s="723"/>
      <c r="O127" s="712"/>
      <c r="T127" s="712">
        <v>0</v>
      </c>
      <c r="U127" s="712"/>
      <c r="V127" s="712">
        <v>0</v>
      </c>
      <c r="W127" s="712"/>
      <c r="X127" s="712">
        <v>0</v>
      </c>
      <c r="Y127" s="712"/>
      <c r="Z127" s="712">
        <f t="shared" si="94"/>
        <v>0</v>
      </c>
      <c r="AA127" s="712"/>
      <c r="AB127" s="712"/>
      <c r="AC127" s="712"/>
      <c r="AD127" s="723"/>
      <c r="AE127" s="712"/>
      <c r="AF127" s="723"/>
      <c r="AG127" s="712"/>
      <c r="AH127" s="723"/>
      <c r="AI127" s="712"/>
      <c r="AJ127" s="712"/>
      <c r="AK127" s="712"/>
      <c r="AL127" s="605">
        <f t="shared" si="95"/>
        <v>0</v>
      </c>
      <c r="AM127" s="712"/>
      <c r="AN127" s="605">
        <f t="shared" si="95"/>
        <v>0</v>
      </c>
      <c r="AO127" s="712"/>
      <c r="AP127" s="605">
        <f t="shared" si="95"/>
        <v>0</v>
      </c>
      <c r="AQ127" s="712"/>
      <c r="AR127" s="712">
        <f t="shared" si="93"/>
        <v>0</v>
      </c>
      <c r="AT127" s="723"/>
      <c r="AU127" s="712"/>
      <c r="AV127" s="723"/>
      <c r="AW127" s="712"/>
      <c r="AX127" s="723"/>
      <c r="AY127" s="712"/>
      <c r="AZ127" s="605">
        <f t="shared" si="96"/>
        <v>0</v>
      </c>
      <c r="BA127" s="712"/>
      <c r="BB127" s="605">
        <f t="shared" si="96"/>
        <v>0</v>
      </c>
      <c r="BC127" s="712"/>
      <c r="BD127" s="605">
        <f t="shared" si="96"/>
        <v>0</v>
      </c>
      <c r="BE127" s="712"/>
      <c r="BF127" s="712">
        <f t="shared" si="97"/>
        <v>0</v>
      </c>
      <c r="BG127" s="712"/>
      <c r="BH127" s="712">
        <f>+BF127*$BH$9</f>
        <v>0</v>
      </c>
      <c r="BJ127" s="590">
        <f t="shared" si="91"/>
        <v>704</v>
      </c>
    </row>
    <row r="128" spans="1:62">
      <c r="A128" s="590">
        <f>+A127+1</f>
        <v>705</v>
      </c>
      <c r="B128" s="730" t="s">
        <v>632</v>
      </c>
      <c r="H128" s="723"/>
      <c r="J128" s="723"/>
      <c r="K128" s="712"/>
      <c r="L128" s="723"/>
      <c r="M128" s="712"/>
      <c r="N128" s="723"/>
      <c r="O128" s="712"/>
      <c r="T128" s="712">
        <v>0</v>
      </c>
      <c r="U128" s="712"/>
      <c r="V128" s="712">
        <v>0</v>
      </c>
      <c r="W128" s="712"/>
      <c r="X128" s="712">
        <v>0</v>
      </c>
      <c r="Y128" s="712"/>
      <c r="Z128" s="712">
        <f t="shared" si="94"/>
        <v>0</v>
      </c>
      <c r="AA128" s="712"/>
      <c r="AB128" s="712"/>
      <c r="AC128" s="712"/>
      <c r="AD128" s="723"/>
      <c r="AE128" s="712"/>
      <c r="AF128" s="723"/>
      <c r="AG128" s="712"/>
      <c r="AH128" s="723"/>
      <c r="AI128" s="712"/>
      <c r="AJ128" s="712"/>
      <c r="AK128" s="712"/>
      <c r="AL128" s="605">
        <f t="shared" si="95"/>
        <v>0</v>
      </c>
      <c r="AM128" s="712"/>
      <c r="AN128" s="605">
        <f t="shared" si="95"/>
        <v>0</v>
      </c>
      <c r="AO128" s="712"/>
      <c r="AP128" s="605">
        <f t="shared" si="95"/>
        <v>0</v>
      </c>
      <c r="AQ128" s="712"/>
      <c r="AR128" s="712">
        <f t="shared" si="93"/>
        <v>0</v>
      </c>
      <c r="AT128" s="723"/>
      <c r="AU128" s="712"/>
      <c r="AV128" s="723"/>
      <c r="AW128" s="712"/>
      <c r="AX128" s="723"/>
      <c r="AY128" s="712"/>
      <c r="AZ128" s="605">
        <f t="shared" si="96"/>
        <v>0</v>
      </c>
      <c r="BA128" s="712"/>
      <c r="BB128" s="605">
        <f t="shared" si="96"/>
        <v>0</v>
      </c>
      <c r="BC128" s="712"/>
      <c r="BD128" s="605">
        <f t="shared" si="96"/>
        <v>0</v>
      </c>
      <c r="BE128" s="712"/>
      <c r="BF128" s="712">
        <f t="shared" si="97"/>
        <v>0</v>
      </c>
      <c r="BG128" s="712"/>
      <c r="BH128" s="712">
        <f>+BF128*$BH$9</f>
        <v>0</v>
      </c>
      <c r="BJ128" s="590">
        <f t="shared" si="91"/>
        <v>705</v>
      </c>
    </row>
    <row r="132" spans="1:6">
      <c r="A132" s="705" t="s">
        <v>123</v>
      </c>
      <c r="B132" s="840" t="s">
        <v>1843</v>
      </c>
      <c r="C132" s="840"/>
      <c r="D132" s="840"/>
    </row>
    <row r="133" spans="1:6" ht="24" customHeight="1">
      <c r="A133" s="704" t="s">
        <v>1723</v>
      </c>
      <c r="B133" s="833" t="s">
        <v>1844</v>
      </c>
      <c r="C133" s="833"/>
      <c r="D133" s="833"/>
    </row>
    <row r="134" spans="1:6">
      <c r="A134" s="704" t="s">
        <v>1724</v>
      </c>
      <c r="B134" s="833" t="s">
        <v>1845</v>
      </c>
      <c r="C134" s="833"/>
      <c r="D134" s="833"/>
    </row>
    <row r="135" spans="1:6">
      <c r="A135" s="704" t="s">
        <v>1725</v>
      </c>
      <c r="B135" s="833" t="s">
        <v>1731</v>
      </c>
      <c r="C135" s="833"/>
      <c r="D135" s="833"/>
    </row>
    <row r="136" spans="1:6">
      <c r="A136" s="704" t="s">
        <v>1726</v>
      </c>
      <c r="B136" s="833"/>
      <c r="C136" s="833"/>
      <c r="D136" s="833"/>
    </row>
    <row r="137" spans="1:6">
      <c r="A137" s="704" t="s">
        <v>1727</v>
      </c>
      <c r="B137" s="833" t="s">
        <v>1733</v>
      </c>
      <c r="C137" s="833"/>
      <c r="D137" s="833"/>
    </row>
    <row r="138" spans="1:6" ht="12.75" customHeight="1">
      <c r="A138" s="704" t="s">
        <v>1734</v>
      </c>
      <c r="B138" s="833" t="s">
        <v>1735</v>
      </c>
      <c r="C138" s="833"/>
      <c r="D138" s="833"/>
      <c r="E138" s="732"/>
      <c r="F138" s="732"/>
    </row>
    <row r="139" spans="1:6">
      <c r="A139" s="704" t="s">
        <v>1736</v>
      </c>
      <c r="B139" s="833" t="s">
        <v>1737</v>
      </c>
      <c r="C139" s="833"/>
      <c r="D139" s="833"/>
    </row>
  </sheetData>
  <mergeCells count="17">
    <mergeCell ref="B134:D134"/>
    <mergeCell ref="J4:N4"/>
    <mergeCell ref="T4:X4"/>
    <mergeCell ref="AL4:AP4"/>
    <mergeCell ref="AZ4:BD4"/>
    <mergeCell ref="AD6:AH6"/>
    <mergeCell ref="AT6:AX6"/>
    <mergeCell ref="T7:Z7"/>
    <mergeCell ref="AL7:AR7"/>
    <mergeCell ref="AZ7:BF7"/>
    <mergeCell ref="B132:D132"/>
    <mergeCell ref="B133:D133"/>
    <mergeCell ref="B135:D135"/>
    <mergeCell ref="B136:D136"/>
    <mergeCell ref="B137:D137"/>
    <mergeCell ref="B138:D138"/>
    <mergeCell ref="B139:D139"/>
  </mergeCells>
  <printOptions horizontalCentered="1"/>
  <pageMargins left="1" right="1" top="1" bottom="1" header="0.5" footer="0.5"/>
  <pageSetup scale="15" fitToHeight="0" orientation="landscape" r:id="rId1"/>
  <headerFooter>
    <oddHeader xml:space="preserve">&amp;C&amp;"-,Bold"Pacific Gas and Electric Company
Formula Rate Model
Schedule &amp;A&amp;R&amp;8Docket No. ER19-13-000, et al- Annual Update RY2024
&amp;F
</oddHeader>
  </headerFooter>
  <colBreaks count="3" manualBreakCount="3">
    <brk id="17" max="1048575" man="1"/>
    <brk id="37" max="1048575" man="1"/>
    <brk id="51" max="1048575" man="1"/>
  </colBreaks>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46"/>
  <sheetViews>
    <sheetView tabSelected="1" view="pageBreakPreview" topLeftCell="A24" zoomScale="55" zoomScaleSheetLayoutView="55" zoomScalePageLayoutView="55" workbookViewId="0">
      <selection activeCell="C59" activeCellId="1" sqref="L63 C59"/>
    </sheetView>
  </sheetViews>
  <sheetFormatPr defaultColWidth="9.1796875" defaultRowHeight="14.5"/>
  <cols>
    <col min="1" max="1" width="7.1796875" bestFit="1" customWidth="1"/>
    <col min="2" max="2" width="8.81640625" customWidth="1"/>
    <col min="3" max="3" width="37.1796875" customWidth="1"/>
    <col min="4" max="5" width="17.81640625" bestFit="1" customWidth="1"/>
    <col min="6" max="6" width="18.26953125" bestFit="1" customWidth="1"/>
    <col min="7" max="7" width="16.7265625" bestFit="1" customWidth="1"/>
    <col min="8" max="9" width="17.7265625" bestFit="1" customWidth="1"/>
    <col min="10" max="10" width="16.453125" bestFit="1" customWidth="1"/>
    <col min="11" max="12" width="18.26953125" bestFit="1" customWidth="1"/>
    <col min="13" max="13" width="17.81640625" customWidth="1"/>
    <col min="14" max="14" width="17.26953125" bestFit="1" customWidth="1"/>
    <col min="15" max="15" width="17.453125" bestFit="1" customWidth="1"/>
    <col min="16" max="16" width="21.7265625" bestFit="1" customWidth="1"/>
    <col min="17" max="17" width="9.1796875" customWidth="1"/>
  </cols>
  <sheetData>
    <row r="1" spans="1:17">
      <c r="B1" s="12" t="s">
        <v>746</v>
      </c>
      <c r="L1" s="15"/>
      <c r="P1" s="15" t="str">
        <f>CONCATENATE("Prior Year: ",'1-BaseTRR'!$F$2)</f>
        <v>Prior Year: 2022</v>
      </c>
    </row>
    <row r="2" spans="1:17">
      <c r="B2" s="117" t="s">
        <v>193</v>
      </c>
      <c r="C2" s="49"/>
      <c r="L2" s="15"/>
      <c r="M2" s="15"/>
    </row>
    <row r="4" spans="1:17" ht="15" customHeight="1">
      <c r="B4" s="142" t="s">
        <v>1076</v>
      </c>
      <c r="C4" s="12"/>
      <c r="D4" s="12"/>
      <c r="F4" s="424">
        <f>P10</f>
        <v>632960218.36720455</v>
      </c>
    </row>
    <row r="5" spans="1:17">
      <c r="A5" s="13"/>
      <c r="I5" s="337"/>
      <c r="N5" s="13"/>
    </row>
    <row r="6" spans="1:17">
      <c r="B6" s="13" t="s">
        <v>98</v>
      </c>
      <c r="C6" s="13" t="s">
        <v>99</v>
      </c>
      <c r="D6" s="13" t="s">
        <v>100</v>
      </c>
      <c r="E6" s="13" t="s">
        <v>101</v>
      </c>
      <c r="F6" s="13" t="s">
        <v>102</v>
      </c>
      <c r="G6" s="13" t="s">
        <v>103</v>
      </c>
      <c r="H6" s="13" t="s">
        <v>104</v>
      </c>
      <c r="I6" s="13" t="s">
        <v>105</v>
      </c>
      <c r="J6" s="13" t="s">
        <v>106</v>
      </c>
      <c r="K6" s="13" t="s">
        <v>266</v>
      </c>
      <c r="L6" s="13" t="s">
        <v>267</v>
      </c>
      <c r="M6" s="13" t="s">
        <v>268</v>
      </c>
      <c r="N6" s="13" t="s">
        <v>269</v>
      </c>
      <c r="O6" s="13" t="s">
        <v>270</v>
      </c>
      <c r="P6" s="13" t="s">
        <v>745</v>
      </c>
      <c r="Q6" s="13"/>
    </row>
    <row r="7" spans="1:17">
      <c r="A7" s="16" t="s">
        <v>54</v>
      </c>
      <c r="B7" s="30"/>
      <c r="C7" s="30"/>
      <c r="D7" s="30" t="s">
        <v>123</v>
      </c>
      <c r="E7" s="30" t="s">
        <v>123</v>
      </c>
      <c r="F7" s="154" t="s">
        <v>744</v>
      </c>
      <c r="G7" s="30" t="s">
        <v>1316</v>
      </c>
      <c r="H7" s="30" t="s">
        <v>1316</v>
      </c>
      <c r="I7" s="30" t="s">
        <v>743</v>
      </c>
      <c r="J7" s="30" t="s">
        <v>742</v>
      </c>
      <c r="K7" s="30" t="s">
        <v>741</v>
      </c>
      <c r="L7" s="30" t="s">
        <v>740</v>
      </c>
      <c r="M7" s="30" t="s">
        <v>166</v>
      </c>
      <c r="N7" s="30" t="s">
        <v>739</v>
      </c>
      <c r="O7" s="30" t="s">
        <v>738</v>
      </c>
      <c r="P7" s="30" t="s">
        <v>737</v>
      </c>
    </row>
    <row r="8" spans="1:17" ht="28.5" customHeight="1">
      <c r="B8" s="848" t="s">
        <v>323</v>
      </c>
      <c r="C8" s="850" t="s">
        <v>736</v>
      </c>
      <c r="D8" s="851" t="s">
        <v>2034</v>
      </c>
      <c r="E8" s="852"/>
      <c r="F8" s="852"/>
      <c r="G8" s="841" t="s">
        <v>326</v>
      </c>
      <c r="H8" s="842"/>
      <c r="I8" s="843"/>
      <c r="J8" s="844" t="s">
        <v>735</v>
      </c>
      <c r="K8" s="844"/>
      <c r="L8" s="844"/>
      <c r="M8" s="848" t="s">
        <v>734</v>
      </c>
      <c r="N8" s="844" t="s">
        <v>733</v>
      </c>
      <c r="O8" s="844"/>
      <c r="P8" s="844"/>
    </row>
    <row r="9" spans="1:17">
      <c r="A9" s="13" t="s">
        <v>122</v>
      </c>
      <c r="B9" s="849"/>
      <c r="C9" s="850"/>
      <c r="D9" s="336" t="s">
        <v>617</v>
      </c>
      <c r="E9" s="336" t="s">
        <v>732</v>
      </c>
      <c r="F9" s="336" t="s">
        <v>354</v>
      </c>
      <c r="G9" s="336" t="s">
        <v>617</v>
      </c>
      <c r="H9" s="336" t="s">
        <v>732</v>
      </c>
      <c r="I9" s="336" t="s">
        <v>354</v>
      </c>
      <c r="J9" s="336" t="s">
        <v>617</v>
      </c>
      <c r="K9" s="336" t="s">
        <v>732</v>
      </c>
      <c r="L9" s="336" t="s">
        <v>354</v>
      </c>
      <c r="M9" s="849"/>
      <c r="N9" s="336" t="s">
        <v>617</v>
      </c>
      <c r="O9" s="336" t="s">
        <v>732</v>
      </c>
      <c r="P9" s="336" t="s">
        <v>354</v>
      </c>
      <c r="Q9" s="13" t="s">
        <v>122</v>
      </c>
    </row>
    <row r="10" spans="1:17" ht="15" thickBot="1">
      <c r="A10" s="8">
        <v>100</v>
      </c>
      <c r="B10" s="847" t="s">
        <v>731</v>
      </c>
      <c r="C10" s="847"/>
      <c r="D10" s="532">
        <f t="shared" ref="D10:L10" si="0">SUM(D11:D37)</f>
        <v>187668387.97000003</v>
      </c>
      <c r="E10" s="532">
        <f t="shared" si="0"/>
        <v>551832295.92999983</v>
      </c>
      <c r="F10" s="532">
        <f t="shared" si="0"/>
        <v>739500683.89999974</v>
      </c>
      <c r="G10" s="532">
        <f t="shared" si="0"/>
        <v>-6787772.8133999994</v>
      </c>
      <c r="H10" s="532">
        <f t="shared" si="0"/>
        <v>-67654825.84420003</v>
      </c>
      <c r="I10" s="532">
        <f t="shared" si="0"/>
        <v>-74442598.65760003</v>
      </c>
      <c r="J10" s="532">
        <f t="shared" si="0"/>
        <v>180880615.1566</v>
      </c>
      <c r="K10" s="532">
        <f t="shared" si="0"/>
        <v>484177470.08579975</v>
      </c>
      <c r="L10" s="532">
        <f t="shared" si="0"/>
        <v>665058085.24239969</v>
      </c>
      <c r="M10" s="532"/>
      <c r="N10" s="532">
        <f>SUM(N11:N37)</f>
        <v>172133955.29521492</v>
      </c>
      <c r="O10" s="532">
        <f>SUM(O11:O37)</f>
        <v>460826263.07198972</v>
      </c>
      <c r="P10" s="532">
        <f>SUM(P11:P37)</f>
        <v>632960218.36720455</v>
      </c>
      <c r="Q10" s="8">
        <f>A10</f>
        <v>100</v>
      </c>
    </row>
    <row r="11" spans="1:17" ht="15" thickTop="1">
      <c r="A11" s="8">
        <f>A10+1</f>
        <v>101</v>
      </c>
      <c r="B11" s="162">
        <v>560</v>
      </c>
      <c r="C11" s="44" t="s">
        <v>730</v>
      </c>
      <c r="D11" s="497">
        <v>2672130.9200000004</v>
      </c>
      <c r="E11" s="497">
        <v>608495.79999999981</v>
      </c>
      <c r="F11" s="442">
        <f t="shared" ref="F11:F37" si="1">D11+E11</f>
        <v>3280626.72</v>
      </c>
      <c r="G11" s="497">
        <v>0</v>
      </c>
      <c r="H11" s="497">
        <v>0</v>
      </c>
      <c r="I11" s="442">
        <f>G11+H11</f>
        <v>0</v>
      </c>
      <c r="J11" s="442">
        <f t="shared" ref="J11:J37" si="2">D11+G11</f>
        <v>2672130.9200000004</v>
      </c>
      <c r="K11" s="442">
        <f t="shared" ref="K11:K37" si="3">E11+H11</f>
        <v>608495.79999999981</v>
      </c>
      <c r="L11" s="442">
        <f t="shared" ref="L11:L37" si="4">J11+K11</f>
        <v>3280626.72</v>
      </c>
      <c r="M11" s="335">
        <f>'24-Allocators'!$C$37</f>
        <v>0.95164401749843386</v>
      </c>
      <c r="N11" s="446">
        <f t="shared" ref="N11:N37" si="5">J11*M11</f>
        <v>2542917.4039905868</v>
      </c>
      <c r="O11" s="446">
        <f t="shared" ref="O11:O37" si="6">K11*M11</f>
        <v>579071.38774292334</v>
      </c>
      <c r="P11" s="446">
        <f t="shared" ref="P11:P37" si="7">N11+O11</f>
        <v>3121988.7917335099</v>
      </c>
      <c r="Q11" s="8">
        <f t="shared" ref="Q11:Q37" si="8">A11</f>
        <v>101</v>
      </c>
    </row>
    <row r="12" spans="1:17">
      <c r="A12" s="8">
        <f t="shared" ref="A12:A37" si="9">A11+1</f>
        <v>102</v>
      </c>
      <c r="B12" s="162">
        <v>561.1</v>
      </c>
      <c r="C12" s="44" t="s">
        <v>729</v>
      </c>
      <c r="D12" s="497">
        <v>0</v>
      </c>
      <c r="E12" s="497">
        <v>0</v>
      </c>
      <c r="F12" s="442">
        <f t="shared" si="1"/>
        <v>0</v>
      </c>
      <c r="G12" s="497">
        <v>0</v>
      </c>
      <c r="H12" s="497">
        <v>0</v>
      </c>
      <c r="I12" s="442">
        <f t="shared" ref="I12:I37" si="10">G12+H12</f>
        <v>0</v>
      </c>
      <c r="J12" s="442">
        <f t="shared" si="2"/>
        <v>0</v>
      </c>
      <c r="K12" s="442">
        <f t="shared" si="3"/>
        <v>0</v>
      </c>
      <c r="L12" s="442">
        <f t="shared" si="4"/>
        <v>0</v>
      </c>
      <c r="M12" s="335">
        <f>'24-Allocators'!$C$37</f>
        <v>0.95164401749843386</v>
      </c>
      <c r="N12" s="446">
        <f t="shared" si="5"/>
        <v>0</v>
      </c>
      <c r="O12" s="446">
        <f t="shared" si="6"/>
        <v>0</v>
      </c>
      <c r="P12" s="446">
        <f t="shared" si="7"/>
        <v>0</v>
      </c>
      <c r="Q12" s="8">
        <f t="shared" si="8"/>
        <v>102</v>
      </c>
    </row>
    <row r="13" spans="1:17" ht="29">
      <c r="A13" s="8">
        <f t="shared" si="9"/>
        <v>103</v>
      </c>
      <c r="B13" s="162">
        <v>561.20000000000005</v>
      </c>
      <c r="C13" s="306" t="s">
        <v>1112</v>
      </c>
      <c r="D13" s="497">
        <v>37617810.289999999</v>
      </c>
      <c r="E13" s="497">
        <v>5795663.9100000001</v>
      </c>
      <c r="F13" s="442">
        <f t="shared" si="1"/>
        <v>43413474.200000003</v>
      </c>
      <c r="G13" s="497">
        <v>0</v>
      </c>
      <c r="H13" s="497">
        <v>0</v>
      </c>
      <c r="I13" s="442">
        <f t="shared" si="10"/>
        <v>0</v>
      </c>
      <c r="J13" s="442">
        <f t="shared" si="2"/>
        <v>37617810.289999999</v>
      </c>
      <c r="K13" s="442">
        <f t="shared" si="3"/>
        <v>5795663.9100000001</v>
      </c>
      <c r="L13" s="442">
        <f t="shared" si="4"/>
        <v>43413474.200000003</v>
      </c>
      <c r="M13" s="335">
        <f>'24-Allocators'!$C$37</f>
        <v>0.95164401749843386</v>
      </c>
      <c r="N13" s="446">
        <f t="shared" si="5"/>
        <v>35798764.113869525</v>
      </c>
      <c r="O13" s="446">
        <f t="shared" si="6"/>
        <v>5515408.887383082</v>
      </c>
      <c r="P13" s="446">
        <f t="shared" si="7"/>
        <v>41314173.001252607</v>
      </c>
      <c r="Q13" s="8">
        <f t="shared" si="8"/>
        <v>103</v>
      </c>
    </row>
    <row r="14" spans="1:17" ht="29">
      <c r="A14" s="8">
        <f t="shared" si="9"/>
        <v>104</v>
      </c>
      <c r="B14" s="162">
        <v>561.30000000000007</v>
      </c>
      <c r="C14" s="44" t="s">
        <v>1113</v>
      </c>
      <c r="D14" s="497">
        <v>0</v>
      </c>
      <c r="E14" s="497">
        <v>0</v>
      </c>
      <c r="F14" s="442">
        <f t="shared" si="1"/>
        <v>0</v>
      </c>
      <c r="G14" s="497">
        <v>0</v>
      </c>
      <c r="H14" s="497">
        <v>0</v>
      </c>
      <c r="I14" s="442">
        <f t="shared" si="10"/>
        <v>0</v>
      </c>
      <c r="J14" s="442">
        <f t="shared" si="2"/>
        <v>0</v>
      </c>
      <c r="K14" s="442">
        <f t="shared" si="3"/>
        <v>0</v>
      </c>
      <c r="L14" s="442">
        <f t="shared" si="4"/>
        <v>0</v>
      </c>
      <c r="M14" s="335">
        <f>'24-Allocators'!$C$37</f>
        <v>0.95164401749843386</v>
      </c>
      <c r="N14" s="446">
        <f t="shared" si="5"/>
        <v>0</v>
      </c>
      <c r="O14" s="446">
        <f t="shared" si="6"/>
        <v>0</v>
      </c>
      <c r="P14" s="446">
        <f t="shared" si="7"/>
        <v>0</v>
      </c>
      <c r="Q14" s="8">
        <f t="shared" si="8"/>
        <v>104</v>
      </c>
    </row>
    <row r="15" spans="1:17" ht="29">
      <c r="A15" s="8">
        <f t="shared" si="9"/>
        <v>105</v>
      </c>
      <c r="B15" s="162">
        <v>561.40000000000009</v>
      </c>
      <c r="C15" s="306" t="s">
        <v>1255</v>
      </c>
      <c r="D15" s="497">
        <v>0</v>
      </c>
      <c r="E15" s="497">
        <v>15402504.569999998</v>
      </c>
      <c r="F15" s="442">
        <f t="shared" si="1"/>
        <v>15402504.569999998</v>
      </c>
      <c r="G15" s="497">
        <v>0</v>
      </c>
      <c r="H15" s="497">
        <v>-15402504.569999998</v>
      </c>
      <c r="I15" s="442">
        <f t="shared" si="10"/>
        <v>-15402504.569999998</v>
      </c>
      <c r="J15" s="442">
        <f t="shared" si="2"/>
        <v>0</v>
      </c>
      <c r="K15" s="442">
        <f t="shared" si="3"/>
        <v>0</v>
      </c>
      <c r="L15" s="442">
        <f t="shared" si="4"/>
        <v>0</v>
      </c>
      <c r="M15" s="335">
        <f>'24-Allocators'!$C$37</f>
        <v>0.95164401749843386</v>
      </c>
      <c r="N15" s="446">
        <f t="shared" si="5"/>
        <v>0</v>
      </c>
      <c r="O15" s="446">
        <f t="shared" si="6"/>
        <v>0</v>
      </c>
      <c r="P15" s="446">
        <f t="shared" si="7"/>
        <v>0</v>
      </c>
      <c r="Q15" s="8">
        <f t="shared" si="8"/>
        <v>105</v>
      </c>
    </row>
    <row r="16" spans="1:17" ht="29">
      <c r="A16" s="8">
        <f t="shared" si="9"/>
        <v>106</v>
      </c>
      <c r="B16" s="162">
        <v>561.50000000000011</v>
      </c>
      <c r="C16" s="44" t="s">
        <v>1114</v>
      </c>
      <c r="D16" s="497">
        <v>0</v>
      </c>
      <c r="E16" s="497">
        <v>0</v>
      </c>
      <c r="F16" s="442">
        <f t="shared" si="1"/>
        <v>0</v>
      </c>
      <c r="G16" s="497">
        <v>0</v>
      </c>
      <c r="H16" s="497">
        <v>0</v>
      </c>
      <c r="I16" s="442">
        <f t="shared" si="10"/>
        <v>0</v>
      </c>
      <c r="J16" s="442">
        <f t="shared" si="2"/>
        <v>0</v>
      </c>
      <c r="K16" s="442">
        <f t="shared" si="3"/>
        <v>0</v>
      </c>
      <c r="L16" s="442">
        <f t="shared" si="4"/>
        <v>0</v>
      </c>
      <c r="M16" s="335">
        <f>'24-Allocators'!$C$37</f>
        <v>0.95164401749843386</v>
      </c>
      <c r="N16" s="446">
        <f t="shared" si="5"/>
        <v>0</v>
      </c>
      <c r="O16" s="446">
        <f t="shared" si="6"/>
        <v>0</v>
      </c>
      <c r="P16" s="446">
        <f t="shared" si="7"/>
        <v>0</v>
      </c>
      <c r="Q16" s="8">
        <f t="shared" si="8"/>
        <v>106</v>
      </c>
    </row>
    <row r="17" spans="1:17">
      <c r="A17" s="8">
        <f t="shared" si="9"/>
        <v>107</v>
      </c>
      <c r="B17" s="162">
        <v>561.60000000000014</v>
      </c>
      <c r="C17" s="44" t="s">
        <v>1115</v>
      </c>
      <c r="D17" s="497">
        <v>0</v>
      </c>
      <c r="E17" s="497">
        <v>0</v>
      </c>
      <c r="F17" s="442">
        <f t="shared" si="1"/>
        <v>0</v>
      </c>
      <c r="G17" s="497">
        <v>0</v>
      </c>
      <c r="H17" s="497">
        <v>0</v>
      </c>
      <c r="I17" s="442">
        <f t="shared" si="10"/>
        <v>0</v>
      </c>
      <c r="J17" s="442">
        <f t="shared" si="2"/>
        <v>0</v>
      </c>
      <c r="K17" s="442">
        <f t="shared" si="3"/>
        <v>0</v>
      </c>
      <c r="L17" s="442">
        <f t="shared" si="4"/>
        <v>0</v>
      </c>
      <c r="M17" s="335">
        <f>'24-Allocators'!$C$37</f>
        <v>0.95164401749843386</v>
      </c>
      <c r="N17" s="446">
        <f t="shared" si="5"/>
        <v>0</v>
      </c>
      <c r="O17" s="446">
        <f t="shared" si="6"/>
        <v>0</v>
      </c>
      <c r="P17" s="446">
        <f t="shared" si="7"/>
        <v>0</v>
      </c>
      <c r="Q17" s="8">
        <f t="shared" si="8"/>
        <v>107</v>
      </c>
    </row>
    <row r="18" spans="1:17">
      <c r="A18" s="8">
        <f t="shared" si="9"/>
        <v>108</v>
      </c>
      <c r="B18" s="162">
        <v>561.70000000000016</v>
      </c>
      <c r="C18" s="44" t="s">
        <v>1116</v>
      </c>
      <c r="D18" s="497">
        <v>0</v>
      </c>
      <c r="E18" s="497">
        <v>0</v>
      </c>
      <c r="F18" s="442">
        <f t="shared" si="1"/>
        <v>0</v>
      </c>
      <c r="G18" s="497">
        <v>0</v>
      </c>
      <c r="H18" s="497">
        <v>0</v>
      </c>
      <c r="I18" s="442">
        <f t="shared" si="10"/>
        <v>0</v>
      </c>
      <c r="J18" s="442">
        <f t="shared" si="2"/>
        <v>0</v>
      </c>
      <c r="K18" s="442">
        <f t="shared" si="3"/>
        <v>0</v>
      </c>
      <c r="L18" s="442">
        <f t="shared" si="4"/>
        <v>0</v>
      </c>
      <c r="M18" s="335">
        <f>'24-Allocators'!$C$37</f>
        <v>0.95164401749843386</v>
      </c>
      <c r="N18" s="446">
        <f t="shared" si="5"/>
        <v>0</v>
      </c>
      <c r="O18" s="446">
        <f t="shared" si="6"/>
        <v>0</v>
      </c>
      <c r="P18" s="446">
        <f t="shared" si="7"/>
        <v>0</v>
      </c>
      <c r="Q18" s="8">
        <f t="shared" si="8"/>
        <v>108</v>
      </c>
    </row>
    <row r="19" spans="1:17" ht="29">
      <c r="A19" s="8">
        <f t="shared" si="9"/>
        <v>109</v>
      </c>
      <c r="B19" s="162">
        <v>561.80000000000018</v>
      </c>
      <c r="C19" s="306" t="s">
        <v>1254</v>
      </c>
      <c r="D19" s="497">
        <v>0</v>
      </c>
      <c r="E19" s="497">
        <v>6888929.8999999994</v>
      </c>
      <c r="F19" s="442">
        <f t="shared" si="1"/>
        <v>6888929.8999999994</v>
      </c>
      <c r="G19" s="497">
        <v>0</v>
      </c>
      <c r="H19" s="497">
        <v>-6888929.8999999994</v>
      </c>
      <c r="I19" s="442">
        <f t="shared" si="10"/>
        <v>-6888929.8999999994</v>
      </c>
      <c r="J19" s="442">
        <f t="shared" si="2"/>
        <v>0</v>
      </c>
      <c r="K19" s="442">
        <f t="shared" si="3"/>
        <v>0</v>
      </c>
      <c r="L19" s="442">
        <f t="shared" si="4"/>
        <v>0</v>
      </c>
      <c r="M19" s="335">
        <f>'24-Allocators'!$C$37</f>
        <v>0.95164401749843386</v>
      </c>
      <c r="N19" s="446">
        <f t="shared" si="5"/>
        <v>0</v>
      </c>
      <c r="O19" s="446">
        <f t="shared" si="6"/>
        <v>0</v>
      </c>
      <c r="P19" s="446">
        <f t="shared" si="7"/>
        <v>0</v>
      </c>
      <c r="Q19" s="8">
        <f t="shared" si="8"/>
        <v>109</v>
      </c>
    </row>
    <row r="20" spans="1:17">
      <c r="A20" s="8">
        <f t="shared" si="9"/>
        <v>110</v>
      </c>
      <c r="B20" s="162">
        <v>562</v>
      </c>
      <c r="C20" s="44" t="s">
        <v>728</v>
      </c>
      <c r="D20" s="497">
        <v>8281343</v>
      </c>
      <c r="E20" s="497">
        <v>5706785.7899999991</v>
      </c>
      <c r="F20" s="442">
        <f t="shared" si="1"/>
        <v>13988128.789999999</v>
      </c>
      <c r="G20" s="497">
        <v>-1214897.08</v>
      </c>
      <c r="H20" s="497">
        <v>-145273.5</v>
      </c>
      <c r="I20" s="442">
        <f t="shared" si="10"/>
        <v>-1360170.58</v>
      </c>
      <c r="J20" s="442">
        <f t="shared" si="2"/>
        <v>7066445.9199999999</v>
      </c>
      <c r="K20" s="442">
        <f t="shared" si="3"/>
        <v>5561512.2899999991</v>
      </c>
      <c r="L20" s="442">
        <f t="shared" si="4"/>
        <v>12627958.209999999</v>
      </c>
      <c r="M20" s="335">
        <f>'24-Allocators'!$C$37</f>
        <v>0.95164401749843386</v>
      </c>
      <c r="N20" s="446">
        <f t="shared" si="5"/>
        <v>6724740.9847442163</v>
      </c>
      <c r="O20" s="446">
        <f t="shared" si="6"/>
        <v>5292579.899022514</v>
      </c>
      <c r="P20" s="446">
        <f t="shared" si="7"/>
        <v>12017320.883766729</v>
      </c>
      <c r="Q20" s="8">
        <f t="shared" si="8"/>
        <v>110</v>
      </c>
    </row>
    <row r="21" spans="1:17">
      <c r="A21" s="8">
        <f t="shared" si="9"/>
        <v>111</v>
      </c>
      <c r="B21" s="162">
        <v>562.1</v>
      </c>
      <c r="C21" s="44" t="s">
        <v>727</v>
      </c>
      <c r="D21" s="497">
        <v>0</v>
      </c>
      <c r="E21" s="497">
        <v>0</v>
      </c>
      <c r="F21" s="442">
        <f t="shared" si="1"/>
        <v>0</v>
      </c>
      <c r="G21" s="497">
        <v>0</v>
      </c>
      <c r="H21" s="497">
        <v>0</v>
      </c>
      <c r="I21" s="442">
        <f t="shared" si="10"/>
        <v>0</v>
      </c>
      <c r="J21" s="442">
        <f t="shared" si="2"/>
        <v>0</v>
      </c>
      <c r="K21" s="442">
        <f t="shared" si="3"/>
        <v>0</v>
      </c>
      <c r="L21" s="442">
        <f t="shared" si="4"/>
        <v>0</v>
      </c>
      <c r="M21" s="335">
        <f>'24-Allocators'!$C$37</f>
        <v>0.95164401749843386</v>
      </c>
      <c r="N21" s="446">
        <f t="shared" si="5"/>
        <v>0</v>
      </c>
      <c r="O21" s="446">
        <f t="shared" si="6"/>
        <v>0</v>
      </c>
      <c r="P21" s="446">
        <f t="shared" si="7"/>
        <v>0</v>
      </c>
      <c r="Q21" s="8">
        <f t="shared" si="8"/>
        <v>111</v>
      </c>
    </row>
    <row r="22" spans="1:17">
      <c r="A22" s="8">
        <f t="shared" si="9"/>
        <v>112</v>
      </c>
      <c r="B22" s="162"/>
      <c r="C22" s="44" t="s">
        <v>726</v>
      </c>
      <c r="D22" s="497">
        <v>15119525</v>
      </c>
      <c r="E22" s="497">
        <v>71799668.189999998</v>
      </c>
      <c r="F22" s="442">
        <f t="shared" si="1"/>
        <v>86919193.189999998</v>
      </c>
      <c r="G22" s="497">
        <v>836864.2</v>
      </c>
      <c r="H22" s="497">
        <v>3905569.91</v>
      </c>
      <c r="I22" s="442">
        <f t="shared" si="10"/>
        <v>4742434.1100000003</v>
      </c>
      <c r="J22" s="442">
        <f t="shared" si="2"/>
        <v>15956389.199999999</v>
      </c>
      <c r="K22" s="442">
        <f t="shared" si="3"/>
        <v>75705238.099999994</v>
      </c>
      <c r="L22" s="442">
        <f t="shared" si="4"/>
        <v>91661627.299999997</v>
      </c>
      <c r="M22" s="335">
        <f>'24-Allocators'!$C$37</f>
        <v>0.95164401749843386</v>
      </c>
      <c r="N22" s="446">
        <f t="shared" si="5"/>
        <v>15184802.32305662</v>
      </c>
      <c r="O22" s="446">
        <f t="shared" si="6"/>
        <v>72044436.931159496</v>
      </c>
      <c r="P22" s="446">
        <f t="shared" si="7"/>
        <v>87229239.25421612</v>
      </c>
      <c r="Q22" s="8">
        <f t="shared" si="8"/>
        <v>112</v>
      </c>
    </row>
    <row r="23" spans="1:17">
      <c r="A23" s="8">
        <f t="shared" si="9"/>
        <v>113</v>
      </c>
      <c r="B23" s="162">
        <v>564</v>
      </c>
      <c r="C23" s="44" t="s">
        <v>725</v>
      </c>
      <c r="D23" s="497">
        <v>301888.43</v>
      </c>
      <c r="E23" s="497">
        <v>32483.759999999995</v>
      </c>
      <c r="F23" s="442">
        <f t="shared" si="1"/>
        <v>334372.19</v>
      </c>
      <c r="G23" s="497">
        <v>-75635.97</v>
      </c>
      <c r="H23" s="497">
        <v>-1243.0099999999948</v>
      </c>
      <c r="I23" s="442">
        <f t="shared" si="10"/>
        <v>-76878.98</v>
      </c>
      <c r="J23" s="442">
        <f t="shared" si="2"/>
        <v>226252.46</v>
      </c>
      <c r="K23" s="442">
        <f t="shared" si="3"/>
        <v>31240.75</v>
      </c>
      <c r="L23" s="442">
        <f t="shared" si="4"/>
        <v>257493.21</v>
      </c>
      <c r="M23" s="335">
        <f>'24-Allocators'!$C$37</f>
        <v>0.95164401749843386</v>
      </c>
      <c r="N23" s="446">
        <f t="shared" si="5"/>
        <v>215311.80000330371</v>
      </c>
      <c r="O23" s="446">
        <f t="shared" si="6"/>
        <v>29730.072839664197</v>
      </c>
      <c r="P23" s="446">
        <f t="shared" si="7"/>
        <v>245041.87284296792</v>
      </c>
      <c r="Q23" s="8">
        <f t="shared" si="8"/>
        <v>113</v>
      </c>
    </row>
    <row r="24" spans="1:17">
      <c r="A24" s="8">
        <f t="shared" si="9"/>
        <v>114</v>
      </c>
      <c r="B24" s="162">
        <v>565</v>
      </c>
      <c r="C24" s="44" t="s">
        <v>724</v>
      </c>
      <c r="D24" s="497">
        <v>0</v>
      </c>
      <c r="E24" s="497">
        <v>1275338.73</v>
      </c>
      <c r="F24" s="442">
        <f t="shared" si="1"/>
        <v>1275338.73</v>
      </c>
      <c r="G24" s="497">
        <v>0</v>
      </c>
      <c r="H24" s="497">
        <v>0</v>
      </c>
      <c r="I24" s="442">
        <f t="shared" si="10"/>
        <v>0</v>
      </c>
      <c r="J24" s="442">
        <f t="shared" si="2"/>
        <v>0</v>
      </c>
      <c r="K24" s="442">
        <f t="shared" si="3"/>
        <v>1275338.73</v>
      </c>
      <c r="L24" s="442">
        <f t="shared" si="4"/>
        <v>1275338.73</v>
      </c>
      <c r="M24" s="447">
        <v>1</v>
      </c>
      <c r="N24" s="446">
        <f t="shared" si="5"/>
        <v>0</v>
      </c>
      <c r="O24" s="446">
        <f t="shared" si="6"/>
        <v>1275338.73</v>
      </c>
      <c r="P24" s="446">
        <f t="shared" si="7"/>
        <v>1275338.73</v>
      </c>
      <c r="Q24" s="8">
        <f t="shared" si="8"/>
        <v>114</v>
      </c>
    </row>
    <row r="25" spans="1:17">
      <c r="A25" s="8">
        <f t="shared" si="9"/>
        <v>115</v>
      </c>
      <c r="B25" s="162">
        <v>566</v>
      </c>
      <c r="C25" s="44" t="s">
        <v>723</v>
      </c>
      <c r="D25" s="497">
        <v>68592751.680000022</v>
      </c>
      <c r="E25" s="497">
        <v>171078897.77999994</v>
      </c>
      <c r="F25" s="442">
        <f t="shared" si="1"/>
        <v>239671649.45999998</v>
      </c>
      <c r="G25" s="497">
        <v>-6025450.663399999</v>
      </c>
      <c r="H25" s="619">
        <v>-48718130.014200032</v>
      </c>
      <c r="I25" s="442">
        <f t="shared" si="10"/>
        <v>-54743580.677600034</v>
      </c>
      <c r="J25" s="442">
        <f t="shared" si="2"/>
        <v>62567301.01660002</v>
      </c>
      <c r="K25" s="442">
        <f t="shared" si="3"/>
        <v>122360767.76579991</v>
      </c>
      <c r="L25" s="442">
        <f t="shared" si="4"/>
        <v>184928068.78239992</v>
      </c>
      <c r="M25" s="335">
        <f>'24-Allocators'!$C$37</f>
        <v>0.95164401749843386</v>
      </c>
      <c r="N25" s="446">
        <f t="shared" si="5"/>
        <v>59541797.703471087</v>
      </c>
      <c r="O25" s="446">
        <f t="shared" si="6"/>
        <v>116443892.62083869</v>
      </c>
      <c r="P25" s="446">
        <f t="shared" si="7"/>
        <v>175985690.32430977</v>
      </c>
      <c r="Q25" s="8">
        <f t="shared" si="8"/>
        <v>115</v>
      </c>
    </row>
    <row r="26" spans="1:17">
      <c r="A26" s="8">
        <f t="shared" si="9"/>
        <v>116</v>
      </c>
      <c r="B26" s="162">
        <v>567</v>
      </c>
      <c r="C26" s="44" t="s">
        <v>722</v>
      </c>
      <c r="D26" s="497">
        <v>0</v>
      </c>
      <c r="E26" s="497">
        <v>0</v>
      </c>
      <c r="F26" s="442">
        <f t="shared" si="1"/>
        <v>0</v>
      </c>
      <c r="G26" s="497">
        <v>0</v>
      </c>
      <c r="H26" s="497">
        <v>0</v>
      </c>
      <c r="I26" s="442">
        <f t="shared" si="10"/>
        <v>0</v>
      </c>
      <c r="J26" s="442">
        <f t="shared" si="2"/>
        <v>0</v>
      </c>
      <c r="K26" s="442">
        <f t="shared" si="3"/>
        <v>0</v>
      </c>
      <c r="L26" s="442">
        <f t="shared" si="4"/>
        <v>0</v>
      </c>
      <c r="M26" s="335">
        <f>'24-Allocators'!$C$37</f>
        <v>0.95164401749843386</v>
      </c>
      <c r="N26" s="446">
        <f t="shared" si="5"/>
        <v>0</v>
      </c>
      <c r="O26" s="446">
        <f t="shared" si="6"/>
        <v>0</v>
      </c>
      <c r="P26" s="446">
        <f t="shared" si="7"/>
        <v>0</v>
      </c>
      <c r="Q26" s="8">
        <f t="shared" si="8"/>
        <v>116</v>
      </c>
    </row>
    <row r="27" spans="1:17">
      <c r="A27" s="8">
        <f t="shared" si="9"/>
        <v>117</v>
      </c>
      <c r="B27" s="162">
        <v>568</v>
      </c>
      <c r="C27" s="44" t="s">
        <v>721</v>
      </c>
      <c r="D27" s="497">
        <v>988795.00000000023</v>
      </c>
      <c r="E27" s="497">
        <v>255020.65000000017</v>
      </c>
      <c r="F27" s="442">
        <f t="shared" si="1"/>
        <v>1243815.6500000004</v>
      </c>
      <c r="G27" s="497">
        <v>0</v>
      </c>
      <c r="H27" s="497">
        <v>0</v>
      </c>
      <c r="I27" s="442">
        <f t="shared" si="10"/>
        <v>0</v>
      </c>
      <c r="J27" s="442">
        <f t="shared" si="2"/>
        <v>988795.00000000023</v>
      </c>
      <c r="K27" s="442">
        <f t="shared" si="3"/>
        <v>255020.65000000017</v>
      </c>
      <c r="L27" s="442">
        <f t="shared" si="4"/>
        <v>1243815.6500000004</v>
      </c>
      <c r="M27" s="335">
        <f>'24-Allocators'!$C$37</f>
        <v>0.95164401749843386</v>
      </c>
      <c r="N27" s="446">
        <f t="shared" si="5"/>
        <v>940980.8462823641</v>
      </c>
      <c r="O27" s="446">
        <f t="shared" si="6"/>
        <v>242688.87591106215</v>
      </c>
      <c r="P27" s="446">
        <f t="shared" si="7"/>
        <v>1183669.7221934262</v>
      </c>
      <c r="Q27" s="8">
        <f t="shared" si="8"/>
        <v>117</v>
      </c>
    </row>
    <row r="28" spans="1:17">
      <c r="A28" s="8">
        <f t="shared" si="9"/>
        <v>118</v>
      </c>
      <c r="B28" s="162">
        <v>569</v>
      </c>
      <c r="C28" s="44" t="s">
        <v>1117</v>
      </c>
      <c r="D28" s="497">
        <v>182362.67</v>
      </c>
      <c r="E28" s="497">
        <v>2020811.28</v>
      </c>
      <c r="F28" s="442">
        <f t="shared" si="1"/>
        <v>2203173.9500000002</v>
      </c>
      <c r="G28" s="497">
        <v>0</v>
      </c>
      <c r="H28" s="497">
        <v>0</v>
      </c>
      <c r="I28" s="442">
        <f t="shared" si="10"/>
        <v>0</v>
      </c>
      <c r="J28" s="442">
        <f t="shared" si="2"/>
        <v>182362.67</v>
      </c>
      <c r="K28" s="442">
        <f t="shared" si="3"/>
        <v>2020811.28</v>
      </c>
      <c r="L28" s="442">
        <f t="shared" si="4"/>
        <v>2203173.9500000002</v>
      </c>
      <c r="M28" s="335">
        <f>'24-Allocators'!$C$37</f>
        <v>0.95164401749843386</v>
      </c>
      <c r="N28" s="446">
        <f t="shared" si="5"/>
        <v>173544.34392054114</v>
      </c>
      <c r="O28" s="446">
        <f t="shared" si="6"/>
        <v>1923092.9651053525</v>
      </c>
      <c r="P28" s="446">
        <f t="shared" si="7"/>
        <v>2096637.3090258937</v>
      </c>
      <c r="Q28" s="8">
        <f t="shared" si="8"/>
        <v>118</v>
      </c>
    </row>
    <row r="29" spans="1:17">
      <c r="A29" s="8">
        <f t="shared" si="9"/>
        <v>119</v>
      </c>
      <c r="B29" s="162"/>
      <c r="C29" s="44" t="s">
        <v>1118</v>
      </c>
      <c r="D29" s="497">
        <v>0</v>
      </c>
      <c r="E29" s="497">
        <v>0</v>
      </c>
      <c r="F29" s="442">
        <f t="shared" si="1"/>
        <v>0</v>
      </c>
      <c r="G29" s="497">
        <v>0</v>
      </c>
      <c r="H29" s="497">
        <v>0</v>
      </c>
      <c r="I29" s="442">
        <f t="shared" si="10"/>
        <v>0</v>
      </c>
      <c r="J29" s="442">
        <f t="shared" si="2"/>
        <v>0</v>
      </c>
      <c r="K29" s="442">
        <f t="shared" si="3"/>
        <v>0</v>
      </c>
      <c r="L29" s="442">
        <f t="shared" si="4"/>
        <v>0</v>
      </c>
      <c r="M29" s="335">
        <f>'24-Allocators'!$C$37</f>
        <v>0.95164401749843386</v>
      </c>
      <c r="N29" s="446">
        <f t="shared" si="5"/>
        <v>0</v>
      </c>
      <c r="O29" s="446">
        <f t="shared" si="6"/>
        <v>0</v>
      </c>
      <c r="P29" s="446">
        <f t="shared" si="7"/>
        <v>0</v>
      </c>
      <c r="Q29" s="8">
        <f t="shared" si="8"/>
        <v>119</v>
      </c>
    </row>
    <row r="30" spans="1:17">
      <c r="A30" s="8">
        <f t="shared" si="9"/>
        <v>120</v>
      </c>
      <c r="B30" s="162">
        <f>B29+0.1</f>
        <v>0.1</v>
      </c>
      <c r="C30" s="44" t="s">
        <v>1119</v>
      </c>
      <c r="D30" s="497">
        <v>0</v>
      </c>
      <c r="E30" s="497">
        <v>0</v>
      </c>
      <c r="F30" s="442">
        <f t="shared" si="1"/>
        <v>0</v>
      </c>
      <c r="G30" s="497">
        <v>0</v>
      </c>
      <c r="H30" s="497">
        <v>0</v>
      </c>
      <c r="I30" s="442">
        <f t="shared" si="10"/>
        <v>0</v>
      </c>
      <c r="J30" s="442">
        <f t="shared" si="2"/>
        <v>0</v>
      </c>
      <c r="K30" s="442">
        <f t="shared" si="3"/>
        <v>0</v>
      </c>
      <c r="L30" s="442">
        <f t="shared" si="4"/>
        <v>0</v>
      </c>
      <c r="M30" s="335">
        <f>'24-Allocators'!$C$37</f>
        <v>0.95164401749843386</v>
      </c>
      <c r="N30" s="446">
        <f t="shared" si="5"/>
        <v>0</v>
      </c>
      <c r="O30" s="446">
        <f t="shared" si="6"/>
        <v>0</v>
      </c>
      <c r="P30" s="446">
        <f t="shared" si="7"/>
        <v>0</v>
      </c>
      <c r="Q30" s="8">
        <f t="shared" si="8"/>
        <v>120</v>
      </c>
    </row>
    <row r="31" spans="1:17" ht="29">
      <c r="A31" s="8">
        <f t="shared" si="9"/>
        <v>121</v>
      </c>
      <c r="B31" s="162">
        <f>B30+0.1</f>
        <v>0.2</v>
      </c>
      <c r="C31" s="44" t="s">
        <v>1120</v>
      </c>
      <c r="D31" s="497">
        <v>0</v>
      </c>
      <c r="E31" s="497">
        <v>0</v>
      </c>
      <c r="F31" s="442">
        <f t="shared" si="1"/>
        <v>0</v>
      </c>
      <c r="G31" s="497">
        <v>0</v>
      </c>
      <c r="H31" s="497">
        <v>0</v>
      </c>
      <c r="I31" s="442">
        <f t="shared" si="10"/>
        <v>0</v>
      </c>
      <c r="J31" s="442">
        <f t="shared" si="2"/>
        <v>0</v>
      </c>
      <c r="K31" s="442">
        <f t="shared" si="3"/>
        <v>0</v>
      </c>
      <c r="L31" s="442">
        <f t="shared" si="4"/>
        <v>0</v>
      </c>
      <c r="M31" s="335">
        <f>'24-Allocators'!$C$37</f>
        <v>0.95164401749843386</v>
      </c>
      <c r="N31" s="446">
        <f t="shared" si="5"/>
        <v>0</v>
      </c>
      <c r="O31" s="446">
        <f t="shared" si="6"/>
        <v>0</v>
      </c>
      <c r="P31" s="446">
        <f t="shared" si="7"/>
        <v>0</v>
      </c>
      <c r="Q31" s="8">
        <f t="shared" si="8"/>
        <v>121</v>
      </c>
    </row>
    <row r="32" spans="1:17" ht="29">
      <c r="A32" s="8">
        <f t="shared" si="9"/>
        <v>122</v>
      </c>
      <c r="B32" s="162">
        <f>B31+0.1</f>
        <v>0.30000000000000004</v>
      </c>
      <c r="C32" s="44" t="s">
        <v>1121</v>
      </c>
      <c r="D32" s="497">
        <v>0</v>
      </c>
      <c r="E32" s="497">
        <v>0</v>
      </c>
      <c r="F32" s="442">
        <f t="shared" si="1"/>
        <v>0</v>
      </c>
      <c r="G32" s="497">
        <v>0</v>
      </c>
      <c r="H32" s="497">
        <v>0</v>
      </c>
      <c r="I32" s="442">
        <f t="shared" si="10"/>
        <v>0</v>
      </c>
      <c r="J32" s="442">
        <f t="shared" si="2"/>
        <v>0</v>
      </c>
      <c r="K32" s="442">
        <f t="shared" si="3"/>
        <v>0</v>
      </c>
      <c r="L32" s="442">
        <f t="shared" si="4"/>
        <v>0</v>
      </c>
      <c r="M32" s="335">
        <f>'24-Allocators'!$C$37</f>
        <v>0.95164401749843386</v>
      </c>
      <c r="N32" s="446">
        <f t="shared" si="5"/>
        <v>0</v>
      </c>
      <c r="O32" s="446">
        <f t="shared" si="6"/>
        <v>0</v>
      </c>
      <c r="P32" s="446">
        <f t="shared" si="7"/>
        <v>0</v>
      </c>
      <c r="Q32" s="8">
        <f t="shared" si="8"/>
        <v>122</v>
      </c>
    </row>
    <row r="33" spans="1:17">
      <c r="A33" s="8">
        <f t="shared" si="9"/>
        <v>123</v>
      </c>
      <c r="B33" s="162">
        <v>570</v>
      </c>
      <c r="C33" s="44" t="s">
        <v>1122</v>
      </c>
      <c r="D33" s="497">
        <v>21300412.849999998</v>
      </c>
      <c r="E33" s="497">
        <v>24915245.720000003</v>
      </c>
      <c r="F33" s="442">
        <f t="shared" si="1"/>
        <v>46215658.57</v>
      </c>
      <c r="G33" s="497">
        <v>0</v>
      </c>
      <c r="H33" s="619">
        <v>0</v>
      </c>
      <c r="I33" s="442">
        <f t="shared" si="10"/>
        <v>0</v>
      </c>
      <c r="J33" s="442">
        <f t="shared" si="2"/>
        <v>21300412.849999998</v>
      </c>
      <c r="K33" s="442">
        <f t="shared" si="3"/>
        <v>24915245.720000003</v>
      </c>
      <c r="L33" s="442">
        <f t="shared" si="4"/>
        <v>46215658.57</v>
      </c>
      <c r="M33" s="335">
        <f>'24-Allocators'!$C$37</f>
        <v>0.95164401749843386</v>
      </c>
      <c r="N33" s="446">
        <f t="shared" si="5"/>
        <v>20270410.458949264</v>
      </c>
      <c r="O33" s="446">
        <f t="shared" si="6"/>
        <v>23710444.533941463</v>
      </c>
      <c r="P33" s="446">
        <f t="shared" si="7"/>
        <v>43980854.992890731</v>
      </c>
      <c r="Q33" s="8">
        <f t="shared" si="8"/>
        <v>123</v>
      </c>
    </row>
    <row r="34" spans="1:17">
      <c r="A34" s="8">
        <f t="shared" si="9"/>
        <v>124</v>
      </c>
      <c r="B34" s="162">
        <f>B33+0.1</f>
        <v>570.1</v>
      </c>
      <c r="C34" s="44" t="s">
        <v>720</v>
      </c>
      <c r="D34" s="497">
        <v>0</v>
      </c>
      <c r="E34" s="497">
        <v>0</v>
      </c>
      <c r="F34" s="442">
        <f t="shared" si="1"/>
        <v>0</v>
      </c>
      <c r="G34" s="497">
        <v>0</v>
      </c>
      <c r="H34" s="497">
        <v>0</v>
      </c>
      <c r="I34" s="442">
        <f t="shared" si="10"/>
        <v>0</v>
      </c>
      <c r="J34" s="442">
        <f t="shared" si="2"/>
        <v>0</v>
      </c>
      <c r="K34" s="442">
        <f t="shared" si="3"/>
        <v>0</v>
      </c>
      <c r="L34" s="442">
        <f t="shared" si="4"/>
        <v>0</v>
      </c>
      <c r="M34" s="335">
        <f>'24-Allocators'!$C$37</f>
        <v>0.95164401749843386</v>
      </c>
      <c r="N34" s="446">
        <f t="shared" si="5"/>
        <v>0</v>
      </c>
      <c r="O34" s="446">
        <f t="shared" si="6"/>
        <v>0</v>
      </c>
      <c r="P34" s="446">
        <f t="shared" si="7"/>
        <v>0</v>
      </c>
      <c r="Q34" s="8">
        <f t="shared" si="8"/>
        <v>124</v>
      </c>
    </row>
    <row r="35" spans="1:17">
      <c r="A35" s="8">
        <f t="shared" si="9"/>
        <v>125</v>
      </c>
      <c r="B35" s="162">
        <v>571</v>
      </c>
      <c r="C35" s="44" t="s">
        <v>719</v>
      </c>
      <c r="D35" s="497">
        <v>31511165.02999999</v>
      </c>
      <c r="E35" s="497">
        <v>244039151.23999986</v>
      </c>
      <c r="F35" s="442">
        <f t="shared" si="1"/>
        <v>275550316.26999986</v>
      </c>
      <c r="G35" s="497">
        <v>-308653.3</v>
      </c>
      <c r="H35" s="619">
        <v>-377032.84</v>
      </c>
      <c r="I35" s="442">
        <f t="shared" si="10"/>
        <v>-685686.14</v>
      </c>
      <c r="J35" s="442">
        <f t="shared" si="2"/>
        <v>31202511.729999989</v>
      </c>
      <c r="K35" s="442">
        <f t="shared" si="3"/>
        <v>243662118.39999986</v>
      </c>
      <c r="L35" s="442">
        <f t="shared" si="4"/>
        <v>274864630.12999988</v>
      </c>
      <c r="M35" s="335">
        <f>'24-Allocators'!$C$37</f>
        <v>0.95164401749843386</v>
      </c>
      <c r="N35" s="446">
        <f t="shared" si="5"/>
        <v>29693683.618779197</v>
      </c>
      <c r="O35" s="446">
        <f t="shared" si="6"/>
        <v>231879597.26635492</v>
      </c>
      <c r="P35" s="446">
        <f t="shared" si="7"/>
        <v>261573280.8851341</v>
      </c>
      <c r="Q35" s="8">
        <f t="shared" si="8"/>
        <v>125</v>
      </c>
    </row>
    <row r="36" spans="1:17">
      <c r="A36" s="8">
        <f t="shared" si="9"/>
        <v>126</v>
      </c>
      <c r="B36" s="162">
        <v>572</v>
      </c>
      <c r="C36" s="44" t="s">
        <v>718</v>
      </c>
      <c r="D36" s="497">
        <v>1067988.72</v>
      </c>
      <c r="E36" s="497">
        <v>1430012.45</v>
      </c>
      <c r="F36" s="442">
        <f t="shared" si="1"/>
        <v>2498001.17</v>
      </c>
      <c r="G36" s="497">
        <v>0</v>
      </c>
      <c r="H36" s="497">
        <v>0</v>
      </c>
      <c r="I36" s="442">
        <f t="shared" si="10"/>
        <v>0</v>
      </c>
      <c r="J36" s="442">
        <f t="shared" si="2"/>
        <v>1067988.72</v>
      </c>
      <c r="K36" s="442">
        <f t="shared" si="3"/>
        <v>1430012.45</v>
      </c>
      <c r="L36" s="442">
        <f t="shared" si="4"/>
        <v>2498001.17</v>
      </c>
      <c r="M36" s="335">
        <f>'24-Allocators'!$C$37</f>
        <v>0.95164401749843386</v>
      </c>
      <c r="N36" s="446">
        <f t="shared" si="5"/>
        <v>1016345.0761438099</v>
      </c>
      <c r="O36" s="446">
        <f t="shared" si="6"/>
        <v>1360862.7929907783</v>
      </c>
      <c r="P36" s="446">
        <f t="shared" si="7"/>
        <v>2377207.8691345882</v>
      </c>
      <c r="Q36" s="8">
        <f t="shared" si="8"/>
        <v>126</v>
      </c>
    </row>
    <row r="37" spans="1:17" ht="29">
      <c r="A37" s="8">
        <f t="shared" si="9"/>
        <v>127</v>
      </c>
      <c r="B37" s="162">
        <v>573</v>
      </c>
      <c r="C37" s="44" t="s">
        <v>1123</v>
      </c>
      <c r="D37" s="497">
        <v>32214.380000000005</v>
      </c>
      <c r="E37" s="497">
        <v>583286.16</v>
      </c>
      <c r="F37" s="442">
        <f t="shared" si="1"/>
        <v>615500.54</v>
      </c>
      <c r="G37" s="497">
        <v>0</v>
      </c>
      <c r="H37" s="497">
        <v>-27281.919999999998</v>
      </c>
      <c r="I37" s="442">
        <f t="shared" si="10"/>
        <v>-27281.919999999998</v>
      </c>
      <c r="J37" s="442">
        <f t="shared" si="2"/>
        <v>32214.380000000005</v>
      </c>
      <c r="K37" s="442">
        <f t="shared" si="3"/>
        <v>556004.24</v>
      </c>
      <c r="L37" s="442">
        <f t="shared" si="4"/>
        <v>588218.62</v>
      </c>
      <c r="M37" s="335">
        <f>'24-Allocators'!$C$37</f>
        <v>0.95164401749843386</v>
      </c>
      <c r="N37" s="446">
        <f t="shared" si="5"/>
        <v>30656.622004421202</v>
      </c>
      <c r="O37" s="446">
        <f t="shared" si="6"/>
        <v>529118.10869976343</v>
      </c>
      <c r="P37" s="446">
        <f t="shared" si="7"/>
        <v>559774.73070418462</v>
      </c>
      <c r="Q37" s="8">
        <f t="shared" si="8"/>
        <v>127</v>
      </c>
    </row>
    <row r="38" spans="1:17">
      <c r="C38" s="12"/>
      <c r="D38" s="333"/>
      <c r="E38" s="333"/>
      <c r="F38" s="25"/>
      <c r="G38" s="334"/>
      <c r="H38" s="334"/>
      <c r="I38" s="333"/>
      <c r="J38" s="333"/>
      <c r="K38" s="333"/>
      <c r="L38" s="333"/>
      <c r="M38" s="8"/>
    </row>
    <row r="39" spans="1:17">
      <c r="C39" s="12"/>
      <c r="D39" s="333"/>
      <c r="E39" s="333"/>
      <c r="F39" s="25"/>
      <c r="G39" s="334"/>
      <c r="H39" s="334"/>
      <c r="I39" s="333"/>
      <c r="J39" s="333"/>
      <c r="K39" s="333"/>
      <c r="L39" s="333"/>
      <c r="M39" s="8"/>
    </row>
    <row r="40" spans="1:17">
      <c r="C40" s="12"/>
      <c r="D40" s="333"/>
      <c r="E40" s="333"/>
      <c r="F40" s="25"/>
      <c r="G40" s="334"/>
      <c r="H40" s="334"/>
      <c r="I40" s="333"/>
      <c r="J40" s="333"/>
      <c r="K40" s="333"/>
      <c r="L40" s="333"/>
      <c r="M40" s="8"/>
    </row>
    <row r="41" spans="1:17">
      <c r="B41" s="16" t="s">
        <v>125</v>
      </c>
      <c r="G41" s="28"/>
    </row>
    <row r="42" spans="1:17">
      <c r="B42" s="17" t="s">
        <v>1124</v>
      </c>
      <c r="C42" s="17"/>
      <c r="D42" s="17"/>
      <c r="E42" s="17"/>
      <c r="F42" s="17"/>
      <c r="G42" s="17"/>
      <c r="H42" s="17"/>
      <c r="I42" s="17"/>
      <c r="J42" s="17"/>
      <c r="K42" s="17"/>
      <c r="L42" s="17"/>
    </row>
    <row r="43" spans="1:17">
      <c r="B43" s="17" t="s">
        <v>2032</v>
      </c>
      <c r="C43" s="17"/>
      <c r="D43" s="17"/>
      <c r="E43" s="17"/>
      <c r="F43" s="17"/>
      <c r="G43" s="17"/>
      <c r="H43" s="17"/>
      <c r="I43" s="17"/>
      <c r="J43" s="17"/>
      <c r="K43" s="17"/>
      <c r="L43" s="17"/>
    </row>
    <row r="44" spans="1:17">
      <c r="B44" s="845" t="s">
        <v>1887</v>
      </c>
      <c r="C44" s="846"/>
      <c r="D44" s="846"/>
      <c r="E44" s="846"/>
      <c r="F44" s="846"/>
      <c r="G44" s="846"/>
      <c r="H44" s="846"/>
      <c r="I44" s="846"/>
      <c r="J44" s="846"/>
      <c r="K44" s="846"/>
      <c r="L44" s="846"/>
    </row>
    <row r="45" spans="1:17">
      <c r="B45" s="846"/>
      <c r="C45" s="846"/>
      <c r="D45" s="846"/>
      <c r="E45" s="846"/>
      <c r="F45" s="846"/>
      <c r="G45" s="846"/>
      <c r="H45" s="846"/>
      <c r="I45" s="846"/>
      <c r="J45" s="846"/>
      <c r="K45" s="846"/>
      <c r="L45" s="846"/>
    </row>
    <row r="46" spans="1:17">
      <c r="B46" s="17" t="s">
        <v>1317</v>
      </c>
      <c r="C46" s="17"/>
      <c r="D46" s="17"/>
      <c r="E46" s="17"/>
      <c r="F46" s="17"/>
      <c r="G46" s="17"/>
      <c r="H46" s="17"/>
      <c r="I46" s="17"/>
      <c r="J46" s="17"/>
      <c r="K46" s="17"/>
      <c r="L46" s="17"/>
    </row>
  </sheetData>
  <mergeCells count="9">
    <mergeCell ref="G8:I8"/>
    <mergeCell ref="N8:P8"/>
    <mergeCell ref="B44:L45"/>
    <mergeCell ref="B10:C10"/>
    <mergeCell ref="B8:B9"/>
    <mergeCell ref="C8:C9"/>
    <mergeCell ref="D8:F8"/>
    <mergeCell ref="J8:L8"/>
    <mergeCell ref="M8:M9"/>
  </mergeCells>
  <printOptions horizontalCentered="1"/>
  <pageMargins left="1" right="1" top="1" bottom="1" header="0.5" footer="0.5"/>
  <pageSetup scale="39"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A87"/>
  <sheetViews>
    <sheetView tabSelected="1" view="pageBreakPreview" topLeftCell="H46" zoomScale="70" zoomScaleNormal="70" zoomScaleSheetLayoutView="70" zoomScalePageLayoutView="55" workbookViewId="0">
      <selection activeCell="C59" activeCellId="1" sqref="L63 C59"/>
    </sheetView>
  </sheetViews>
  <sheetFormatPr defaultColWidth="9.1796875" defaultRowHeight="14.5"/>
  <cols>
    <col min="1" max="1" width="7.26953125" style="69" bestFit="1" customWidth="1"/>
    <col min="2" max="2" width="2.7265625" style="69" customWidth="1"/>
    <col min="3" max="3" width="6.7265625" style="69" customWidth="1"/>
    <col min="4" max="4" width="61.81640625" style="69" customWidth="1"/>
    <col min="5" max="5" width="22.453125" style="69" customWidth="1"/>
    <col min="6" max="6" width="26.453125" style="69" customWidth="1"/>
    <col min="7" max="7" width="22" style="69" customWidth="1"/>
    <col min="8" max="8" width="22" style="69" bestFit="1" customWidth="1"/>
    <col min="9" max="9" width="23" style="93" customWidth="1"/>
    <col min="10" max="10" width="20.26953125" style="69" customWidth="1"/>
    <col min="11" max="11" width="24.453125" style="69" customWidth="1"/>
    <col min="12" max="12" width="25" style="69" bestFit="1" customWidth="1"/>
    <col min="13" max="13" width="15.26953125" style="69" bestFit="1" customWidth="1"/>
    <col min="14" max="14" width="7.26953125" style="69" bestFit="1" customWidth="1"/>
    <col min="15" max="15" width="10.7265625" style="69" bestFit="1" customWidth="1"/>
    <col min="16" max="16384" width="9.1796875" style="69"/>
  </cols>
  <sheetData>
    <row r="1" spans="1:27">
      <c r="A1" s="90"/>
      <c r="B1" s="90" t="s">
        <v>800</v>
      </c>
      <c r="M1" s="15" t="s">
        <v>1927</v>
      </c>
      <c r="N1" s="90"/>
    </row>
    <row r="2" spans="1:27">
      <c r="A2" s="90"/>
      <c r="B2" s="410" t="s">
        <v>799</v>
      </c>
      <c r="C2" s="91"/>
      <c r="D2" s="91"/>
      <c r="K2" s="76"/>
      <c r="L2" s="170"/>
      <c r="N2" s="90"/>
    </row>
    <row r="3" spans="1:27">
      <c r="A3" s="90"/>
      <c r="K3" s="170"/>
      <c r="L3" s="170"/>
      <c r="N3" s="90"/>
    </row>
    <row r="4" spans="1:27">
      <c r="A4" s="95" t="s">
        <v>574</v>
      </c>
      <c r="K4" s="170"/>
      <c r="L4" s="170"/>
      <c r="N4" s="95" t="s">
        <v>574</v>
      </c>
    </row>
    <row r="5" spans="1:27">
      <c r="A5" s="76">
        <v>100</v>
      </c>
      <c r="C5" s="90" t="s">
        <v>798</v>
      </c>
      <c r="E5" s="92" t="s">
        <v>98</v>
      </c>
      <c r="F5" s="92" t="s">
        <v>99</v>
      </c>
      <c r="G5" s="92" t="s">
        <v>100</v>
      </c>
      <c r="H5" s="92" t="s">
        <v>101</v>
      </c>
      <c r="I5" s="92" t="s">
        <v>797</v>
      </c>
      <c r="J5" s="95" t="s">
        <v>103</v>
      </c>
      <c r="K5" s="95" t="s">
        <v>796</v>
      </c>
      <c r="L5" s="95"/>
      <c r="N5" s="76">
        <f t="shared" ref="N5:N23" si="0">A5</f>
        <v>100</v>
      </c>
    </row>
    <row r="6" spans="1:27">
      <c r="A6" s="76">
        <f t="shared" ref="A6:A23" si="1">A5+1</f>
        <v>101</v>
      </c>
      <c r="G6" s="338" t="s">
        <v>1632</v>
      </c>
      <c r="J6" s="338" t="s">
        <v>647</v>
      </c>
      <c r="N6" s="76">
        <f t="shared" si="0"/>
        <v>101</v>
      </c>
    </row>
    <row r="7" spans="1:27">
      <c r="A7" s="76">
        <f t="shared" si="1"/>
        <v>102</v>
      </c>
      <c r="E7" s="76" t="s">
        <v>320</v>
      </c>
      <c r="F7" s="76" t="s">
        <v>794</v>
      </c>
      <c r="G7" s="76" t="s">
        <v>795</v>
      </c>
      <c r="H7" s="76" t="s">
        <v>794</v>
      </c>
      <c r="I7" s="76" t="s">
        <v>793</v>
      </c>
      <c r="J7" s="76" t="s">
        <v>793</v>
      </c>
      <c r="K7" s="76" t="s">
        <v>792</v>
      </c>
      <c r="L7" s="76"/>
      <c r="N7" s="76">
        <f t="shared" si="0"/>
        <v>102</v>
      </c>
    </row>
    <row r="8" spans="1:27">
      <c r="A8" s="76">
        <f t="shared" si="1"/>
        <v>103</v>
      </c>
      <c r="B8" s="95"/>
      <c r="C8" s="95" t="s">
        <v>791</v>
      </c>
      <c r="D8" s="95" t="s">
        <v>127</v>
      </c>
      <c r="E8" s="95" t="s">
        <v>293</v>
      </c>
      <c r="F8" s="95" t="s">
        <v>54</v>
      </c>
      <c r="G8" s="95" t="s">
        <v>293</v>
      </c>
      <c r="H8" s="95" t="s">
        <v>54</v>
      </c>
      <c r="I8" s="95" t="s">
        <v>293</v>
      </c>
      <c r="J8" s="95" t="s">
        <v>790</v>
      </c>
      <c r="K8" s="95" t="s">
        <v>67</v>
      </c>
      <c r="L8" s="95" t="s">
        <v>294</v>
      </c>
      <c r="N8" s="76">
        <f t="shared" si="0"/>
        <v>103</v>
      </c>
      <c r="O8" s="95"/>
      <c r="P8" s="95"/>
      <c r="Q8" s="95"/>
      <c r="R8" s="95"/>
      <c r="S8" s="95"/>
      <c r="T8" s="95"/>
      <c r="U8" s="95"/>
      <c r="V8" s="95"/>
      <c r="W8" s="95"/>
      <c r="X8" s="95"/>
      <c r="Y8" s="95"/>
      <c r="Z8" s="95"/>
      <c r="AA8" s="95"/>
    </row>
    <row r="9" spans="1:27">
      <c r="A9" s="76">
        <f t="shared" si="1"/>
        <v>104</v>
      </c>
      <c r="C9" s="170">
        <v>920</v>
      </c>
      <c r="D9" s="69" t="s">
        <v>757</v>
      </c>
      <c r="E9" s="453">
        <v>359991194</v>
      </c>
      <c r="F9" s="170" t="s">
        <v>1952</v>
      </c>
      <c r="G9" s="453"/>
      <c r="H9" s="170" t="s">
        <v>789</v>
      </c>
      <c r="I9" s="449">
        <f t="shared" ref="I9:I22" si="2">E9+G9</f>
        <v>359991194</v>
      </c>
      <c r="J9" s="453">
        <v>23348776.851938281</v>
      </c>
      <c r="K9" s="449">
        <f t="shared" ref="K9:K22" si="3">I9-J9</f>
        <v>336642417.14806169</v>
      </c>
      <c r="L9" s="69" t="s">
        <v>1256</v>
      </c>
      <c r="N9" s="76">
        <f t="shared" si="0"/>
        <v>104</v>
      </c>
    </row>
    <row r="10" spans="1:27">
      <c r="A10" s="76">
        <f t="shared" si="1"/>
        <v>105</v>
      </c>
      <c r="C10" s="170">
        <v>921</v>
      </c>
      <c r="D10" s="69" t="s">
        <v>756</v>
      </c>
      <c r="E10" s="453">
        <v>42662196</v>
      </c>
      <c r="F10" s="170" t="s">
        <v>1953</v>
      </c>
      <c r="G10" s="453"/>
      <c r="H10" s="170" t="s">
        <v>788</v>
      </c>
      <c r="I10" s="449">
        <f t="shared" si="2"/>
        <v>42662196</v>
      </c>
      <c r="J10" s="453">
        <v>-385028.38451701391</v>
      </c>
      <c r="K10" s="449">
        <f t="shared" si="3"/>
        <v>43047224.384517014</v>
      </c>
      <c r="L10" s="69" t="s">
        <v>1257</v>
      </c>
      <c r="N10" s="76">
        <f t="shared" si="0"/>
        <v>105</v>
      </c>
    </row>
    <row r="11" spans="1:27">
      <c r="A11" s="76">
        <f t="shared" si="1"/>
        <v>106</v>
      </c>
      <c r="C11" s="170">
        <v>922</v>
      </c>
      <c r="D11" s="69" t="s">
        <v>755</v>
      </c>
      <c r="E11" s="453">
        <v>-57122496.140000001</v>
      </c>
      <c r="F11" s="170" t="s">
        <v>1954</v>
      </c>
      <c r="G11" s="453"/>
      <c r="H11" s="170" t="s">
        <v>787</v>
      </c>
      <c r="I11" s="449">
        <f t="shared" si="2"/>
        <v>-57122496.140000001</v>
      </c>
      <c r="J11" s="453">
        <v>0</v>
      </c>
      <c r="K11" s="449">
        <f t="shared" si="3"/>
        <v>-57122496.140000001</v>
      </c>
      <c r="L11" s="69" t="s">
        <v>1258</v>
      </c>
      <c r="N11" s="76">
        <f t="shared" si="0"/>
        <v>106</v>
      </c>
    </row>
    <row r="12" spans="1:27">
      <c r="A12" s="76">
        <f t="shared" si="1"/>
        <v>107</v>
      </c>
      <c r="B12" s="76"/>
      <c r="C12" s="170">
        <v>923</v>
      </c>
      <c r="D12" s="69" t="s">
        <v>754</v>
      </c>
      <c r="E12" s="453">
        <v>309010456</v>
      </c>
      <c r="F12" s="170" t="s">
        <v>1955</v>
      </c>
      <c r="G12" s="453"/>
      <c r="H12" s="170" t="s">
        <v>786</v>
      </c>
      <c r="I12" s="449">
        <f t="shared" si="2"/>
        <v>309010456</v>
      </c>
      <c r="J12" s="453">
        <v>-10821665.603481896</v>
      </c>
      <c r="K12" s="449">
        <f t="shared" si="3"/>
        <v>319832121.60348189</v>
      </c>
      <c r="L12" s="69" t="s">
        <v>1259</v>
      </c>
      <c r="N12" s="76">
        <f t="shared" si="0"/>
        <v>107</v>
      </c>
    </row>
    <row r="13" spans="1:27">
      <c r="A13" s="76">
        <f t="shared" si="1"/>
        <v>108</v>
      </c>
      <c r="B13" s="76"/>
      <c r="C13" s="170">
        <v>924</v>
      </c>
      <c r="D13" s="69" t="s">
        <v>586</v>
      </c>
      <c r="E13" s="453">
        <v>11235559.479999997</v>
      </c>
      <c r="F13" s="170" t="s">
        <v>1956</v>
      </c>
      <c r="G13" s="453"/>
      <c r="H13" s="170" t="s">
        <v>785</v>
      </c>
      <c r="I13" s="449">
        <f t="shared" si="2"/>
        <v>11235559.479999997</v>
      </c>
      <c r="J13" s="453">
        <v>-9270228.6999999993</v>
      </c>
      <c r="K13" s="449">
        <f t="shared" si="3"/>
        <v>20505788.179999996</v>
      </c>
      <c r="L13" s="69" t="s">
        <v>1260</v>
      </c>
      <c r="N13" s="76">
        <f t="shared" si="0"/>
        <v>108</v>
      </c>
    </row>
    <row r="14" spans="1:27">
      <c r="A14" s="76">
        <f t="shared" si="1"/>
        <v>109</v>
      </c>
      <c r="B14" s="76"/>
      <c r="C14" s="170">
        <v>925</v>
      </c>
      <c r="D14" s="69" t="s">
        <v>624</v>
      </c>
      <c r="E14" s="453">
        <v>1982050375.6199999</v>
      </c>
      <c r="F14" s="170" t="s">
        <v>1957</v>
      </c>
      <c r="G14" s="453"/>
      <c r="H14" s="170" t="s">
        <v>784</v>
      </c>
      <c r="I14" s="449">
        <f t="shared" si="2"/>
        <v>1982050375.6199999</v>
      </c>
      <c r="J14" s="453">
        <v>935713754.37941957</v>
      </c>
      <c r="K14" s="449">
        <f t="shared" si="3"/>
        <v>1046336621.2405803</v>
      </c>
      <c r="L14" s="69" t="s">
        <v>1261</v>
      </c>
      <c r="N14" s="76">
        <f t="shared" si="0"/>
        <v>109</v>
      </c>
    </row>
    <row r="15" spans="1:27">
      <c r="A15" s="76">
        <f t="shared" si="1"/>
        <v>110</v>
      </c>
      <c r="B15" s="76"/>
      <c r="C15" s="170">
        <v>926</v>
      </c>
      <c r="D15" s="69" t="s">
        <v>753</v>
      </c>
      <c r="E15" s="453">
        <v>335424354.37000173</v>
      </c>
      <c r="F15" s="170" t="s">
        <v>1958</v>
      </c>
      <c r="G15" s="453"/>
      <c r="H15" s="170" t="s">
        <v>783</v>
      </c>
      <c r="I15" s="449">
        <f t="shared" si="2"/>
        <v>335424354.37000173</v>
      </c>
      <c r="J15" s="453">
        <v>3067475.6597176641</v>
      </c>
      <c r="K15" s="449">
        <f t="shared" si="3"/>
        <v>332356878.71028405</v>
      </c>
      <c r="L15" s="69" t="s">
        <v>1262</v>
      </c>
      <c r="N15" s="76">
        <f t="shared" si="0"/>
        <v>110</v>
      </c>
    </row>
    <row r="16" spans="1:27">
      <c r="A16" s="76">
        <f t="shared" si="1"/>
        <v>111</v>
      </c>
      <c r="B16" s="76"/>
      <c r="C16" s="170">
        <v>927</v>
      </c>
      <c r="D16" s="69" t="s">
        <v>752</v>
      </c>
      <c r="E16" s="453">
        <v>116147800.59999999</v>
      </c>
      <c r="F16" s="170" t="s">
        <v>1959</v>
      </c>
      <c r="G16" s="453"/>
      <c r="H16" s="170" t="s">
        <v>782</v>
      </c>
      <c r="I16" s="449">
        <f t="shared" si="2"/>
        <v>116147800.59999999</v>
      </c>
      <c r="J16" s="453">
        <v>116147800.59999999</v>
      </c>
      <c r="K16" s="449">
        <f t="shared" si="3"/>
        <v>0</v>
      </c>
      <c r="L16" s="69" t="s">
        <v>1263</v>
      </c>
      <c r="N16" s="76">
        <f t="shared" si="0"/>
        <v>111</v>
      </c>
    </row>
    <row r="17" spans="1:14">
      <c r="A17" s="76">
        <f t="shared" si="1"/>
        <v>112</v>
      </c>
      <c r="B17" s="76"/>
      <c r="C17" s="170">
        <v>928</v>
      </c>
      <c r="D17" s="69" t="s">
        <v>751</v>
      </c>
      <c r="E17" s="453">
        <v>0</v>
      </c>
      <c r="F17" s="170" t="s">
        <v>1960</v>
      </c>
      <c r="G17" s="453"/>
      <c r="H17" s="170" t="s">
        <v>781</v>
      </c>
      <c r="I17" s="449">
        <f t="shared" si="2"/>
        <v>0</v>
      </c>
      <c r="J17" s="453">
        <v>0</v>
      </c>
      <c r="K17" s="449">
        <f t="shared" si="3"/>
        <v>0</v>
      </c>
      <c r="L17" s="90" t="s">
        <v>648</v>
      </c>
      <c r="N17" s="76">
        <f t="shared" si="0"/>
        <v>112</v>
      </c>
    </row>
    <row r="18" spans="1:14">
      <c r="A18" s="76">
        <f t="shared" si="1"/>
        <v>113</v>
      </c>
      <c r="B18" s="76"/>
      <c r="C18" s="170">
        <v>929</v>
      </c>
      <c r="D18" s="69" t="s">
        <v>750</v>
      </c>
      <c r="E18" s="453">
        <v>0</v>
      </c>
      <c r="F18" s="170" t="s">
        <v>1961</v>
      </c>
      <c r="G18" s="453"/>
      <c r="H18" s="170" t="s">
        <v>780</v>
      </c>
      <c r="I18" s="449">
        <f t="shared" si="2"/>
        <v>0</v>
      </c>
      <c r="J18" s="453">
        <v>0</v>
      </c>
      <c r="K18" s="449">
        <f t="shared" si="3"/>
        <v>0</v>
      </c>
      <c r="L18" s="90" t="s">
        <v>648</v>
      </c>
      <c r="N18" s="76">
        <f t="shared" si="0"/>
        <v>113</v>
      </c>
    </row>
    <row r="19" spans="1:14">
      <c r="A19" s="76">
        <f t="shared" si="1"/>
        <v>114</v>
      </c>
      <c r="B19" s="76"/>
      <c r="C19" s="170">
        <v>930.1</v>
      </c>
      <c r="D19" s="69" t="s">
        <v>749</v>
      </c>
      <c r="E19" s="453">
        <v>0</v>
      </c>
      <c r="F19" s="170" t="s">
        <v>1962</v>
      </c>
      <c r="G19" s="453"/>
      <c r="H19" s="170" t="s">
        <v>779</v>
      </c>
      <c r="I19" s="449">
        <f t="shared" si="2"/>
        <v>0</v>
      </c>
      <c r="J19" s="453">
        <v>0</v>
      </c>
      <c r="K19" s="449">
        <f t="shared" si="3"/>
        <v>0</v>
      </c>
      <c r="L19" s="69" t="s">
        <v>1264</v>
      </c>
      <c r="N19" s="76">
        <f t="shared" si="0"/>
        <v>114</v>
      </c>
    </row>
    <row r="20" spans="1:14">
      <c r="A20" s="76">
        <f t="shared" si="1"/>
        <v>115</v>
      </c>
      <c r="B20" s="76"/>
      <c r="C20" s="170">
        <v>930.2</v>
      </c>
      <c r="D20" s="69" t="s">
        <v>748</v>
      </c>
      <c r="E20" s="453">
        <v>16970569</v>
      </c>
      <c r="F20" s="170" t="s">
        <v>1963</v>
      </c>
      <c r="G20" s="453"/>
      <c r="H20" s="170" t="s">
        <v>778</v>
      </c>
      <c r="I20" s="449">
        <f t="shared" si="2"/>
        <v>16970569</v>
      </c>
      <c r="J20" s="453">
        <v>10959494.520001182</v>
      </c>
      <c r="K20" s="449">
        <f t="shared" si="3"/>
        <v>6011074.4799988177</v>
      </c>
      <c r="L20" s="69" t="s">
        <v>1264</v>
      </c>
      <c r="N20" s="76">
        <f t="shared" si="0"/>
        <v>115</v>
      </c>
    </row>
    <row r="21" spans="1:14">
      <c r="A21" s="76">
        <f t="shared" si="1"/>
        <v>116</v>
      </c>
      <c r="B21" s="76"/>
      <c r="C21" s="170">
        <v>931</v>
      </c>
      <c r="D21" s="69" t="s">
        <v>722</v>
      </c>
      <c r="E21" s="453">
        <v>0</v>
      </c>
      <c r="F21" s="170" t="s">
        <v>1964</v>
      </c>
      <c r="G21" s="453"/>
      <c r="H21" s="170" t="s">
        <v>777</v>
      </c>
      <c r="I21" s="449">
        <f t="shared" si="2"/>
        <v>0</v>
      </c>
      <c r="J21" s="453">
        <v>0</v>
      </c>
      <c r="K21" s="449">
        <f t="shared" si="3"/>
        <v>0</v>
      </c>
      <c r="L21" s="90" t="s">
        <v>648</v>
      </c>
      <c r="N21" s="76">
        <f t="shared" si="0"/>
        <v>116</v>
      </c>
    </row>
    <row r="22" spans="1:14">
      <c r="A22" s="76">
        <f t="shared" si="1"/>
        <v>117</v>
      </c>
      <c r="B22" s="76"/>
      <c r="C22" s="170">
        <v>935</v>
      </c>
      <c r="D22" s="69" t="s">
        <v>747</v>
      </c>
      <c r="E22" s="454">
        <v>1890228</v>
      </c>
      <c r="F22" s="170" t="s">
        <v>1965</v>
      </c>
      <c r="G22" s="454"/>
      <c r="H22" s="170" t="s">
        <v>776</v>
      </c>
      <c r="I22" s="451">
        <f t="shared" si="2"/>
        <v>1890228</v>
      </c>
      <c r="J22" s="454">
        <v>0</v>
      </c>
      <c r="K22" s="451">
        <f t="shared" si="3"/>
        <v>1890228</v>
      </c>
      <c r="L22" s="69" t="s">
        <v>1265</v>
      </c>
      <c r="N22" s="76">
        <f t="shared" si="0"/>
        <v>117</v>
      </c>
    </row>
    <row r="23" spans="1:14" s="90" customFormat="1">
      <c r="A23" s="76">
        <f t="shared" si="1"/>
        <v>118</v>
      </c>
      <c r="D23" s="350" t="s">
        <v>775</v>
      </c>
      <c r="E23" s="450">
        <f>SUM(E9:E22)</f>
        <v>3118260236.9300017</v>
      </c>
      <c r="F23" s="170" t="s">
        <v>1966</v>
      </c>
      <c r="G23" s="450">
        <f>SUM(G9:G22)</f>
        <v>0</v>
      </c>
      <c r="H23" s="170" t="s">
        <v>774</v>
      </c>
      <c r="I23" s="452">
        <f>SUM(I9:I22)</f>
        <v>3118260236.9300017</v>
      </c>
      <c r="J23" s="452">
        <f>SUM(J9:J22)</f>
        <v>1068760379.3230778</v>
      </c>
      <c r="K23" s="450">
        <f>SUM(K9:K22)</f>
        <v>2049499857.6069236</v>
      </c>
      <c r="N23" s="76">
        <f t="shared" si="0"/>
        <v>118</v>
      </c>
    </row>
    <row r="24" spans="1:14">
      <c r="A24" s="76"/>
      <c r="I24" s="349"/>
      <c r="N24" s="76"/>
    </row>
    <row r="25" spans="1:14">
      <c r="A25" s="76">
        <v>200</v>
      </c>
      <c r="C25" s="90" t="s">
        <v>773</v>
      </c>
      <c r="I25" s="349"/>
      <c r="N25" s="76">
        <f t="shared" ref="N25:N46" si="4">A25</f>
        <v>200</v>
      </c>
    </row>
    <row r="26" spans="1:14">
      <c r="A26" s="76">
        <f t="shared" ref="A26:A46" si="5">A25+1</f>
        <v>201</v>
      </c>
      <c r="D26" s="343" t="s">
        <v>772</v>
      </c>
      <c r="E26" s="348"/>
      <c r="F26" s="347" t="s">
        <v>293</v>
      </c>
      <c r="G26" s="347" t="s">
        <v>54</v>
      </c>
      <c r="H26" s="346"/>
      <c r="I26" s="345"/>
      <c r="K26" s="81"/>
      <c r="N26" s="76">
        <f t="shared" si="4"/>
        <v>201</v>
      </c>
    </row>
    <row r="27" spans="1:14">
      <c r="A27" s="76">
        <f t="shared" si="5"/>
        <v>202</v>
      </c>
      <c r="D27" s="341"/>
      <c r="E27" s="93" t="s">
        <v>771</v>
      </c>
      <c r="F27" s="449">
        <f>K23</f>
        <v>2049499857.6069236</v>
      </c>
      <c r="G27" s="78" t="s">
        <v>770</v>
      </c>
      <c r="H27" s="639"/>
      <c r="I27" s="349"/>
      <c r="N27" s="76">
        <f t="shared" si="4"/>
        <v>202</v>
      </c>
    </row>
    <row r="28" spans="1:14">
      <c r="A28" s="76">
        <f t="shared" si="5"/>
        <v>203</v>
      </c>
      <c r="D28" s="341"/>
      <c r="E28" s="93" t="s">
        <v>769</v>
      </c>
      <c r="F28" s="449">
        <f>K13</f>
        <v>20505788.179999996</v>
      </c>
      <c r="G28" s="78" t="s">
        <v>761</v>
      </c>
      <c r="H28" s="640"/>
      <c r="I28" s="641"/>
      <c r="J28" s="642"/>
      <c r="N28" s="76">
        <f t="shared" si="4"/>
        <v>203</v>
      </c>
    </row>
    <row r="29" spans="1:14">
      <c r="A29" s="76">
        <f t="shared" si="5"/>
        <v>204</v>
      </c>
      <c r="D29" s="344"/>
      <c r="E29" s="643" t="s">
        <v>1622</v>
      </c>
      <c r="F29" s="453">
        <v>1009388570.3705791</v>
      </c>
      <c r="G29" s="78" t="s">
        <v>1318</v>
      </c>
      <c r="H29" s="640"/>
      <c r="I29" s="641"/>
      <c r="N29" s="76">
        <f t="shared" si="4"/>
        <v>204</v>
      </c>
    </row>
    <row r="30" spans="1:14">
      <c r="A30" s="76">
        <f t="shared" si="5"/>
        <v>205</v>
      </c>
      <c r="D30" s="341"/>
      <c r="E30" s="93" t="s">
        <v>768</v>
      </c>
      <c r="F30" s="644">
        <f>F27-SUM(F28:F29)</f>
        <v>1019605499.0563445</v>
      </c>
      <c r="G30" s="78" t="s">
        <v>1612</v>
      </c>
      <c r="H30" s="639"/>
      <c r="I30" s="349"/>
      <c r="N30" s="76">
        <f t="shared" si="4"/>
        <v>205</v>
      </c>
    </row>
    <row r="31" spans="1:14">
      <c r="A31" s="76">
        <f t="shared" si="5"/>
        <v>206</v>
      </c>
      <c r="D31" s="694"/>
      <c r="E31" s="693" t="s">
        <v>767</v>
      </c>
      <c r="F31" s="679">
        <v>1</v>
      </c>
      <c r="G31" s="691" t="s">
        <v>1632</v>
      </c>
      <c r="H31" s="697" t="s">
        <v>1632</v>
      </c>
      <c r="I31" s="646"/>
      <c r="N31" s="76">
        <f t="shared" si="4"/>
        <v>206</v>
      </c>
    </row>
    <row r="32" spans="1:14">
      <c r="A32" s="76">
        <f t="shared" si="5"/>
        <v>207</v>
      </c>
      <c r="D32" s="341"/>
      <c r="E32" s="93" t="s">
        <v>766</v>
      </c>
      <c r="F32" s="644">
        <f>F30*F31</f>
        <v>1019605499.0563445</v>
      </c>
      <c r="G32" s="78" t="str">
        <f>"Line "&amp;A30&amp;" * Line "&amp;A31&amp;""</f>
        <v>Line 205 * Line 206</v>
      </c>
      <c r="H32" s="639"/>
      <c r="I32" s="349"/>
      <c r="J32" s="647"/>
      <c r="K32" s="448"/>
      <c r="N32" s="76">
        <f t="shared" si="4"/>
        <v>207</v>
      </c>
    </row>
    <row r="33" spans="1:14">
      <c r="A33" s="76">
        <f t="shared" si="5"/>
        <v>208</v>
      </c>
      <c r="D33" s="341"/>
      <c r="E33" s="93" t="s">
        <v>765</v>
      </c>
      <c r="F33" s="31">
        <f>'24-Allocators'!C23</f>
        <v>0.13539553206179952</v>
      </c>
      <c r="G33" s="645" t="s">
        <v>1011</v>
      </c>
      <c r="H33" s="639"/>
      <c r="I33" s="646"/>
      <c r="N33" s="76">
        <f t="shared" si="4"/>
        <v>208</v>
      </c>
    </row>
    <row r="34" spans="1:14">
      <c r="A34" s="76">
        <f t="shared" si="5"/>
        <v>209</v>
      </c>
      <c r="D34" s="339"/>
      <c r="E34" s="648" t="s">
        <v>764</v>
      </c>
      <c r="F34" s="649">
        <f>F32*F33</f>
        <v>138050029.03787041</v>
      </c>
      <c r="G34" s="650" t="str">
        <f>"Line "&amp;A32&amp;" * Line "&amp;A33&amp;""</f>
        <v>Line 207 * Line 208</v>
      </c>
      <c r="H34" s="651"/>
      <c r="I34" s="349"/>
      <c r="N34" s="76">
        <f t="shared" si="4"/>
        <v>209</v>
      </c>
    </row>
    <row r="35" spans="1:14">
      <c r="A35" s="76">
        <f t="shared" si="5"/>
        <v>210</v>
      </c>
      <c r="D35" s="343" t="s">
        <v>763</v>
      </c>
      <c r="E35" s="652"/>
      <c r="F35" s="653"/>
      <c r="G35" s="654"/>
      <c r="H35" s="655"/>
      <c r="I35" s="349"/>
      <c r="N35" s="76">
        <f t="shared" si="4"/>
        <v>210</v>
      </c>
    </row>
    <row r="36" spans="1:14">
      <c r="A36" s="76">
        <f t="shared" si="5"/>
        <v>211</v>
      </c>
      <c r="D36" s="694"/>
      <c r="E36" s="693" t="s">
        <v>1936</v>
      </c>
      <c r="F36" s="679">
        <f>'24-Allocators'!C33</f>
        <v>0.21691306018708681</v>
      </c>
      <c r="G36" s="691" t="s">
        <v>1937</v>
      </c>
      <c r="H36" s="698" t="s">
        <v>1632</v>
      </c>
      <c r="I36" s="646"/>
      <c r="N36" s="76">
        <f t="shared" si="4"/>
        <v>211</v>
      </c>
    </row>
    <row r="37" spans="1:14">
      <c r="A37" s="76">
        <f t="shared" si="5"/>
        <v>212</v>
      </c>
      <c r="D37" s="341"/>
      <c r="E37" s="93" t="s">
        <v>762</v>
      </c>
      <c r="F37" s="449">
        <f>F28</f>
        <v>20505788.179999996</v>
      </c>
      <c r="G37" s="78" t="s">
        <v>1367</v>
      </c>
      <c r="H37" s="640"/>
      <c r="I37" s="641"/>
      <c r="N37" s="76">
        <f t="shared" si="4"/>
        <v>212</v>
      </c>
    </row>
    <row r="38" spans="1:14">
      <c r="A38" s="76">
        <f t="shared" si="5"/>
        <v>213</v>
      </c>
      <c r="D38" s="339"/>
      <c r="E38" s="648" t="s">
        <v>760</v>
      </c>
      <c r="F38" s="656">
        <f>F36*F37</f>
        <v>4447973.2656719927</v>
      </c>
      <c r="G38" s="650" t="s">
        <v>1613</v>
      </c>
      <c r="H38" s="657"/>
      <c r="I38" s="641"/>
      <c r="N38" s="76">
        <f t="shared" si="4"/>
        <v>213</v>
      </c>
    </row>
    <row r="39" spans="1:14">
      <c r="A39" s="76">
        <f t="shared" si="5"/>
        <v>214</v>
      </c>
      <c r="D39" s="342" t="s">
        <v>1368</v>
      </c>
      <c r="E39" s="93"/>
      <c r="F39" s="658"/>
      <c r="G39" s="78"/>
      <c r="H39" s="640"/>
      <c r="I39" s="641"/>
      <c r="N39" s="76">
        <f t="shared" si="4"/>
        <v>214</v>
      </c>
    </row>
    <row r="40" spans="1:14">
      <c r="A40" s="76">
        <f t="shared" si="5"/>
        <v>215</v>
      </c>
      <c r="D40" s="341"/>
      <c r="E40" s="93" t="s">
        <v>1945</v>
      </c>
      <c r="F40" s="450">
        <f>F29</f>
        <v>1009388570.3705791</v>
      </c>
      <c r="G40" s="78" t="s">
        <v>1365</v>
      </c>
      <c r="H40" s="640"/>
      <c r="I40" s="641"/>
      <c r="N40" s="76">
        <f t="shared" si="4"/>
        <v>215</v>
      </c>
    </row>
    <row r="41" spans="1:14">
      <c r="A41" s="76">
        <f t="shared" si="5"/>
        <v>216</v>
      </c>
      <c r="D41" s="694"/>
      <c r="E41" s="693" t="s">
        <v>1944</v>
      </c>
      <c r="F41" s="679">
        <f>'24-Allocators'!C57</f>
        <v>0.16800254331191444</v>
      </c>
      <c r="G41" s="691" t="s">
        <v>1938</v>
      </c>
      <c r="H41" s="698" t="s">
        <v>1632</v>
      </c>
      <c r="I41" s="646"/>
      <c r="N41" s="76">
        <f t="shared" si="4"/>
        <v>216</v>
      </c>
    </row>
    <row r="42" spans="1:14">
      <c r="A42" s="76">
        <f t="shared" si="5"/>
        <v>217</v>
      </c>
      <c r="D42" s="341"/>
      <c r="E42" s="648" t="s">
        <v>1614</v>
      </c>
      <c r="F42" s="656">
        <f>F40*F41</f>
        <v>169579847.01223463</v>
      </c>
      <c r="G42" s="650" t="s">
        <v>1615</v>
      </c>
      <c r="H42" s="640"/>
      <c r="I42" s="641"/>
      <c r="N42" s="76">
        <f t="shared" si="4"/>
        <v>217</v>
      </c>
    </row>
    <row r="43" spans="1:14">
      <c r="A43" s="76">
        <f t="shared" si="5"/>
        <v>218</v>
      </c>
      <c r="D43" s="340"/>
      <c r="E43" s="652"/>
      <c r="F43" s="653"/>
      <c r="G43" s="654"/>
      <c r="H43" s="659"/>
      <c r="I43" s="641"/>
      <c r="N43" s="76">
        <f t="shared" si="4"/>
        <v>218</v>
      </c>
    </row>
    <row r="44" spans="1:14">
      <c r="A44" s="76">
        <f t="shared" si="5"/>
        <v>219</v>
      </c>
      <c r="D44" s="341"/>
      <c r="E44" s="93" t="s">
        <v>759</v>
      </c>
      <c r="F44" s="450">
        <f>F42+F38+F34</f>
        <v>312077849.31577706</v>
      </c>
      <c r="G44" s="78" t="s">
        <v>758</v>
      </c>
      <c r="H44" s="639"/>
      <c r="I44" s="349"/>
      <c r="N44" s="76">
        <f t="shared" si="4"/>
        <v>219</v>
      </c>
    </row>
    <row r="45" spans="1:14">
      <c r="A45" s="76">
        <f t="shared" si="5"/>
        <v>220</v>
      </c>
      <c r="D45" s="853" t="s">
        <v>1621</v>
      </c>
      <c r="E45" s="854"/>
      <c r="F45" s="660">
        <v>-638859.45798519184</v>
      </c>
      <c r="G45" s="78" t="s">
        <v>1623</v>
      </c>
      <c r="H45" s="639"/>
      <c r="I45" s="349"/>
      <c r="N45" s="76">
        <f t="shared" si="4"/>
        <v>220</v>
      </c>
    </row>
    <row r="46" spans="1:14">
      <c r="A46" s="76">
        <f t="shared" si="5"/>
        <v>221</v>
      </c>
      <c r="D46" s="339"/>
      <c r="E46" s="648"/>
      <c r="F46" s="656">
        <f>F44+F45</f>
        <v>311438989.8577919</v>
      </c>
      <c r="G46" s="650" t="s">
        <v>1616</v>
      </c>
      <c r="H46" s="651"/>
      <c r="I46" s="349"/>
      <c r="N46" s="76">
        <f t="shared" si="4"/>
        <v>221</v>
      </c>
    </row>
    <row r="47" spans="1:14">
      <c r="A47" s="76"/>
      <c r="N47" s="76"/>
    </row>
    <row r="48" spans="1:14" s="17" customFormat="1">
      <c r="A48" s="131">
        <v>300</v>
      </c>
      <c r="C48" s="206" t="s">
        <v>1334</v>
      </c>
      <c r="I48" s="387"/>
      <c r="N48" s="76">
        <f t="shared" ref="N48" si="6">A48</f>
        <v>300</v>
      </c>
    </row>
    <row r="49" spans="1:15" s="17" customFormat="1">
      <c r="A49" s="131">
        <f t="shared" ref="A49:A65" si="7">A48+1</f>
        <v>301</v>
      </c>
      <c r="E49" s="8" t="s">
        <v>219</v>
      </c>
      <c r="F49" s="675" t="s">
        <v>166</v>
      </c>
      <c r="G49" s="675" t="s">
        <v>214</v>
      </c>
      <c r="H49" s="675" t="s">
        <v>215</v>
      </c>
      <c r="I49" s="675" t="s">
        <v>168</v>
      </c>
      <c r="J49" s="675" t="s">
        <v>216</v>
      </c>
      <c r="K49" s="675" t="s">
        <v>217</v>
      </c>
      <c r="L49" s="675" t="s">
        <v>218</v>
      </c>
      <c r="M49" s="675" t="s">
        <v>221</v>
      </c>
      <c r="N49" s="76">
        <f t="shared" ref="N49:N65" si="8">A49</f>
        <v>301</v>
      </c>
    </row>
    <row r="50" spans="1:15" s="17" customFormat="1" ht="29">
      <c r="A50" s="506">
        <f t="shared" si="7"/>
        <v>302</v>
      </c>
      <c r="E50" s="507" t="s">
        <v>1337</v>
      </c>
      <c r="F50" s="676" t="s">
        <v>1604</v>
      </c>
      <c r="G50" s="676" t="s">
        <v>1605</v>
      </c>
      <c r="H50" s="676" t="s">
        <v>1606</v>
      </c>
      <c r="I50" s="676" t="s">
        <v>1335</v>
      </c>
      <c r="J50" s="676" t="s">
        <v>1336</v>
      </c>
      <c r="K50" s="676" t="s">
        <v>1607</v>
      </c>
      <c r="L50" s="676" t="s">
        <v>1608</v>
      </c>
      <c r="M50" s="680" t="s">
        <v>632</v>
      </c>
      <c r="N50" s="76">
        <f t="shared" si="8"/>
        <v>302</v>
      </c>
    </row>
    <row r="51" spans="1:15" s="17" customFormat="1">
      <c r="A51" s="131">
        <f t="shared" si="7"/>
        <v>303</v>
      </c>
      <c r="C51" s="27">
        <v>920</v>
      </c>
      <c r="D51" s="17" t="s">
        <v>757</v>
      </c>
      <c r="E51" s="424">
        <f>SUM(F51:M51)</f>
        <v>-23348776.851938285</v>
      </c>
      <c r="F51" s="444">
        <v>-5341157.0405000001</v>
      </c>
      <c r="G51" s="444">
        <v>-16503580.140000002</v>
      </c>
      <c r="H51" s="444">
        <v>0</v>
      </c>
      <c r="I51" s="444">
        <v>-701331.37526</v>
      </c>
      <c r="J51" s="444">
        <v>-624397.26000000013</v>
      </c>
      <c r="K51" s="444">
        <v>-220589.14978322899</v>
      </c>
      <c r="L51" s="444">
        <v>42278.113604944323</v>
      </c>
      <c r="M51" s="414"/>
      <c r="N51" s="76">
        <f t="shared" si="8"/>
        <v>303</v>
      </c>
      <c r="O51" s="509"/>
    </row>
    <row r="52" spans="1:15" s="17" customFormat="1">
      <c r="A52" s="131">
        <f t="shared" si="7"/>
        <v>304</v>
      </c>
      <c r="C52" s="27">
        <v>921</v>
      </c>
      <c r="D52" s="17" t="s">
        <v>756</v>
      </c>
      <c r="E52" s="424">
        <f t="shared" ref="E52:E64" si="9">SUM(F52:M52)</f>
        <v>385028.38451701391</v>
      </c>
      <c r="F52" s="444">
        <v>0</v>
      </c>
      <c r="G52" s="444">
        <v>478753.21</v>
      </c>
      <c r="H52" s="444">
        <v>0</v>
      </c>
      <c r="I52" s="444">
        <v>0</v>
      </c>
      <c r="J52" s="444">
        <v>-28206.42</v>
      </c>
      <c r="K52" s="444">
        <v>-65518.405482986098</v>
      </c>
      <c r="L52" s="444">
        <v>0</v>
      </c>
      <c r="M52" s="414"/>
      <c r="N52" s="76">
        <f t="shared" si="8"/>
        <v>304</v>
      </c>
      <c r="O52" s="509"/>
    </row>
    <row r="53" spans="1:15" s="17" customFormat="1">
      <c r="A53" s="131">
        <f t="shared" si="7"/>
        <v>305</v>
      </c>
      <c r="C53" s="27">
        <v>922</v>
      </c>
      <c r="D53" s="17" t="s">
        <v>755</v>
      </c>
      <c r="E53" s="424">
        <f t="shared" si="9"/>
        <v>0</v>
      </c>
      <c r="F53" s="444">
        <v>0</v>
      </c>
      <c r="G53" s="444">
        <v>0</v>
      </c>
      <c r="H53" s="444">
        <v>0</v>
      </c>
      <c r="I53" s="444">
        <v>0</v>
      </c>
      <c r="J53" s="444">
        <v>0</v>
      </c>
      <c r="K53" s="444">
        <v>0</v>
      </c>
      <c r="L53" s="444">
        <v>0</v>
      </c>
      <c r="M53" s="414"/>
      <c r="N53" s="76">
        <f t="shared" si="8"/>
        <v>305</v>
      </c>
      <c r="O53" s="509"/>
    </row>
    <row r="54" spans="1:15" s="17" customFormat="1">
      <c r="A54" s="131">
        <f t="shared" si="7"/>
        <v>306</v>
      </c>
      <c r="C54" s="27">
        <v>923</v>
      </c>
      <c r="D54" s="17" t="s">
        <v>754</v>
      </c>
      <c r="E54" s="424">
        <f t="shared" si="9"/>
        <v>10821665.603481892</v>
      </c>
      <c r="F54" s="444">
        <v>-1529333.354724</v>
      </c>
      <c r="G54" s="444">
        <v>-3367489.10988147</v>
      </c>
      <c r="H54" s="444">
        <v>-211914.73697100001</v>
      </c>
      <c r="I54" s="444">
        <v>790148.95331997983</v>
      </c>
      <c r="J54" s="444">
        <v>15051938.139999999</v>
      </c>
      <c r="K54" s="444">
        <v>-10423.662716648099</v>
      </c>
      <c r="L54" s="444">
        <v>98739.374455033671</v>
      </c>
      <c r="M54" s="414"/>
      <c r="N54" s="76">
        <f t="shared" si="8"/>
        <v>306</v>
      </c>
      <c r="O54" s="509"/>
    </row>
    <row r="55" spans="1:15" s="17" customFormat="1">
      <c r="A55" s="131">
        <f t="shared" si="7"/>
        <v>307</v>
      </c>
      <c r="C55" s="27">
        <v>924</v>
      </c>
      <c r="D55" s="17" t="s">
        <v>586</v>
      </c>
      <c r="E55" s="424">
        <f t="shared" si="9"/>
        <v>9270228.6999999993</v>
      </c>
      <c r="F55" s="444">
        <v>0</v>
      </c>
      <c r="G55" s="444">
        <v>0</v>
      </c>
      <c r="H55" s="444">
        <v>0</v>
      </c>
      <c r="I55" s="444">
        <v>9270228.6999999993</v>
      </c>
      <c r="J55" s="444">
        <v>0</v>
      </c>
      <c r="K55" s="444">
        <v>0</v>
      </c>
      <c r="L55" s="444">
        <v>0</v>
      </c>
      <c r="M55" s="414"/>
      <c r="N55" s="76">
        <f t="shared" si="8"/>
        <v>307</v>
      </c>
      <c r="O55" s="509"/>
    </row>
    <row r="56" spans="1:15" s="17" customFormat="1">
      <c r="A56" s="131">
        <f t="shared" si="7"/>
        <v>308</v>
      </c>
      <c r="C56" s="27">
        <v>925</v>
      </c>
      <c r="D56" s="17" t="s">
        <v>624</v>
      </c>
      <c r="E56" s="424">
        <f t="shared" si="9"/>
        <v>-935713754.37941968</v>
      </c>
      <c r="F56" s="444">
        <v>0</v>
      </c>
      <c r="G56" s="444">
        <v>0</v>
      </c>
      <c r="H56" s="444">
        <v>37524608.719999999</v>
      </c>
      <c r="I56" s="444">
        <v>-934771881.6094197</v>
      </c>
      <c r="J56" s="444">
        <v>-38466481.489999995</v>
      </c>
      <c r="K56" s="444">
        <v>0</v>
      </c>
      <c r="L56" s="444">
        <v>0</v>
      </c>
      <c r="M56" s="414"/>
      <c r="N56" s="76">
        <f t="shared" si="8"/>
        <v>308</v>
      </c>
      <c r="O56" s="509"/>
    </row>
    <row r="57" spans="1:15" s="17" customFormat="1">
      <c r="A57" s="131">
        <f t="shared" si="7"/>
        <v>309</v>
      </c>
      <c r="C57" s="27">
        <v>926</v>
      </c>
      <c r="D57" s="17" t="s">
        <v>753</v>
      </c>
      <c r="E57" s="424">
        <f t="shared" si="9"/>
        <v>-3067475.6597176641</v>
      </c>
      <c r="F57" s="444">
        <v>0</v>
      </c>
      <c r="G57" s="444">
        <v>-3350771.8061537999</v>
      </c>
      <c r="H57" s="444">
        <v>2458762.9964014371</v>
      </c>
      <c r="I57" s="444">
        <v>-273296.606898</v>
      </c>
      <c r="J57" s="444">
        <v>-67839.40802100001</v>
      </c>
      <c r="K57" s="444">
        <v>-1593646.7659543252</v>
      </c>
      <c r="L57" s="444">
        <v>-240684.06909197595</v>
      </c>
      <c r="M57" s="414"/>
      <c r="N57" s="76">
        <f t="shared" si="8"/>
        <v>309</v>
      </c>
      <c r="O57" s="509"/>
    </row>
    <row r="58" spans="1:15" s="17" customFormat="1">
      <c r="A58" s="131">
        <f t="shared" si="7"/>
        <v>310</v>
      </c>
      <c r="C58" s="27">
        <v>927</v>
      </c>
      <c r="D58" s="17" t="s">
        <v>752</v>
      </c>
      <c r="E58" s="424">
        <f t="shared" si="9"/>
        <v>-116147800.59999999</v>
      </c>
      <c r="F58" s="444">
        <v>0</v>
      </c>
      <c r="G58" s="444">
        <v>0</v>
      </c>
      <c r="H58" s="444">
        <v>0</v>
      </c>
      <c r="I58" s="444">
        <v>-116147800.59999999</v>
      </c>
      <c r="J58" s="444">
        <v>0</v>
      </c>
      <c r="K58" s="444">
        <v>0</v>
      </c>
      <c r="L58" s="444">
        <v>0</v>
      </c>
      <c r="M58" s="414"/>
      <c r="N58" s="76">
        <f t="shared" si="8"/>
        <v>310</v>
      </c>
      <c r="O58" s="509"/>
    </row>
    <row r="59" spans="1:15" s="17" customFormat="1">
      <c r="A59" s="131">
        <f t="shared" si="7"/>
        <v>311</v>
      </c>
      <c r="C59" s="27">
        <v>928</v>
      </c>
      <c r="D59" s="17" t="s">
        <v>751</v>
      </c>
      <c r="E59" s="424">
        <f t="shared" si="9"/>
        <v>0</v>
      </c>
      <c r="F59" s="444">
        <v>0</v>
      </c>
      <c r="G59" s="444">
        <v>0</v>
      </c>
      <c r="H59" s="444">
        <v>0</v>
      </c>
      <c r="I59" s="444">
        <v>0</v>
      </c>
      <c r="J59" s="444">
        <v>0</v>
      </c>
      <c r="K59" s="444">
        <v>0</v>
      </c>
      <c r="L59" s="444">
        <v>0</v>
      </c>
      <c r="M59" s="677"/>
      <c r="N59" s="76">
        <f t="shared" si="8"/>
        <v>311</v>
      </c>
      <c r="O59" s="509"/>
    </row>
    <row r="60" spans="1:15" s="17" customFormat="1">
      <c r="A60" s="131">
        <f t="shared" si="7"/>
        <v>312</v>
      </c>
      <c r="C60" s="27">
        <v>929</v>
      </c>
      <c r="D60" s="17" t="s">
        <v>750</v>
      </c>
      <c r="E60" s="424">
        <f t="shared" si="9"/>
        <v>0</v>
      </c>
      <c r="F60" s="444">
        <v>0</v>
      </c>
      <c r="G60" s="444">
        <v>0</v>
      </c>
      <c r="H60" s="444">
        <v>0</v>
      </c>
      <c r="I60" s="444">
        <v>0</v>
      </c>
      <c r="J60" s="444">
        <v>0</v>
      </c>
      <c r="K60" s="444">
        <v>0</v>
      </c>
      <c r="L60" s="444">
        <v>0</v>
      </c>
      <c r="M60" s="677"/>
      <c r="N60" s="76">
        <f t="shared" si="8"/>
        <v>312</v>
      </c>
      <c r="O60" s="509"/>
    </row>
    <row r="61" spans="1:15" s="17" customFormat="1">
      <c r="A61" s="131">
        <f t="shared" si="7"/>
        <v>313</v>
      </c>
      <c r="C61" s="27">
        <v>930.1</v>
      </c>
      <c r="D61" s="17" t="s">
        <v>749</v>
      </c>
      <c r="E61" s="424">
        <f t="shared" si="9"/>
        <v>0</v>
      </c>
      <c r="F61" s="444">
        <v>0</v>
      </c>
      <c r="G61" s="444">
        <v>0</v>
      </c>
      <c r="H61" s="444">
        <v>0</v>
      </c>
      <c r="I61" s="444">
        <v>0</v>
      </c>
      <c r="J61" s="444">
        <v>0</v>
      </c>
      <c r="K61" s="444">
        <v>0</v>
      </c>
      <c r="L61" s="444">
        <v>0</v>
      </c>
      <c r="M61" s="49"/>
      <c r="N61" s="76">
        <f t="shared" si="8"/>
        <v>313</v>
      </c>
      <c r="O61" s="509"/>
    </row>
    <row r="62" spans="1:15" s="17" customFormat="1">
      <c r="A62" s="131">
        <f t="shared" si="7"/>
        <v>314</v>
      </c>
      <c r="C62" s="27">
        <v>930.2</v>
      </c>
      <c r="D62" s="17" t="s">
        <v>748</v>
      </c>
      <c r="E62" s="424">
        <f t="shared" si="9"/>
        <v>-10959494.520001184</v>
      </c>
      <c r="F62" s="444">
        <v>0</v>
      </c>
      <c r="G62" s="444">
        <v>0</v>
      </c>
      <c r="H62" s="444">
        <v>0</v>
      </c>
      <c r="I62" s="444">
        <v>-1169455.700001183</v>
      </c>
      <c r="J62" s="444">
        <v>-9790038.8200000003</v>
      </c>
      <c r="K62" s="444">
        <v>0</v>
      </c>
      <c r="L62" s="444">
        <v>0</v>
      </c>
      <c r="M62" s="49"/>
      <c r="N62" s="76">
        <f t="shared" si="8"/>
        <v>314</v>
      </c>
      <c r="O62" s="509"/>
    </row>
    <row r="63" spans="1:15" s="17" customFormat="1">
      <c r="A63" s="131">
        <f t="shared" si="7"/>
        <v>315</v>
      </c>
      <c r="C63" s="27">
        <v>931</v>
      </c>
      <c r="D63" s="17" t="s">
        <v>722</v>
      </c>
      <c r="E63" s="424">
        <f t="shared" si="9"/>
        <v>0</v>
      </c>
      <c r="F63" s="444">
        <v>0</v>
      </c>
      <c r="G63" s="444">
        <v>0</v>
      </c>
      <c r="H63" s="444">
        <v>0</v>
      </c>
      <c r="I63" s="444">
        <v>0</v>
      </c>
      <c r="J63" s="444">
        <v>0</v>
      </c>
      <c r="K63" s="444">
        <v>0</v>
      </c>
      <c r="L63" s="444">
        <v>0</v>
      </c>
      <c r="M63" s="677"/>
      <c r="N63" s="76">
        <f t="shared" si="8"/>
        <v>315</v>
      </c>
      <c r="O63" s="509"/>
    </row>
    <row r="64" spans="1:15" s="17" customFormat="1">
      <c r="A64" s="131">
        <f t="shared" si="7"/>
        <v>316</v>
      </c>
      <c r="C64" s="27">
        <v>935</v>
      </c>
      <c r="D64" s="17" t="s">
        <v>747</v>
      </c>
      <c r="E64" s="424">
        <f t="shared" si="9"/>
        <v>0</v>
      </c>
      <c r="F64" s="444">
        <v>0</v>
      </c>
      <c r="G64" s="444">
        <v>0</v>
      </c>
      <c r="H64" s="444">
        <v>0</v>
      </c>
      <c r="I64" s="444">
        <v>0</v>
      </c>
      <c r="J64" s="444">
        <v>0</v>
      </c>
      <c r="K64" s="444">
        <v>0</v>
      </c>
      <c r="L64" s="444">
        <v>0</v>
      </c>
      <c r="M64" s="678"/>
      <c r="N64" s="76">
        <f t="shared" si="8"/>
        <v>316</v>
      </c>
      <c r="O64" s="509"/>
    </row>
    <row r="65" spans="1:14" s="17" customFormat="1">
      <c r="A65" s="131">
        <f t="shared" si="7"/>
        <v>317</v>
      </c>
      <c r="D65" s="142" t="s">
        <v>1338</v>
      </c>
      <c r="E65" s="510">
        <f>SUM(E51:E64)</f>
        <v>-1068760379.3230779</v>
      </c>
      <c r="F65" s="510">
        <f>SUM(F51:F64)</f>
        <v>-6870490.3952240003</v>
      </c>
      <c r="G65" s="510">
        <f t="shared" ref="G65:M65" si="10">SUM(G51:G64)</f>
        <v>-22743087.846035272</v>
      </c>
      <c r="H65" s="510">
        <f t="shared" si="10"/>
        <v>39771456.979430437</v>
      </c>
      <c r="I65" s="510">
        <f t="shared" si="10"/>
        <v>-1043003388.238259</v>
      </c>
      <c r="J65" s="510">
        <f t="shared" si="10"/>
        <v>-33925025.258020997</v>
      </c>
      <c r="K65" s="510">
        <f t="shared" si="10"/>
        <v>-1890177.9839371885</v>
      </c>
      <c r="L65" s="510">
        <f t="shared" si="10"/>
        <v>-99666.58103199795</v>
      </c>
      <c r="M65" s="510">
        <f t="shared" si="10"/>
        <v>0</v>
      </c>
      <c r="N65" s="76">
        <f t="shared" si="8"/>
        <v>317</v>
      </c>
    </row>
    <row r="66" spans="1:14" s="17" customFormat="1">
      <c r="A66" s="131"/>
      <c r="E66" s="508"/>
      <c r="F66" s="508"/>
      <c r="G66" s="508"/>
      <c r="H66" s="508"/>
      <c r="I66" s="511"/>
      <c r="J66" s="508"/>
      <c r="K66" s="508"/>
      <c r="N66" s="131"/>
    </row>
    <row r="67" spans="1:14" s="17" customFormat="1">
      <c r="A67" s="131"/>
      <c r="I67" s="387"/>
      <c r="N67" s="131"/>
    </row>
    <row r="68" spans="1:14" s="17" customFormat="1">
      <c r="A68" s="131"/>
      <c r="C68" s="142" t="s">
        <v>125</v>
      </c>
      <c r="I68" s="387"/>
      <c r="N68" s="131"/>
    </row>
    <row r="69" spans="1:14">
      <c r="C69" s="338">
        <v>1</v>
      </c>
      <c r="D69" s="91" t="s">
        <v>1928</v>
      </c>
      <c r="E69" s="91"/>
      <c r="F69" s="794"/>
      <c r="G69" s="794"/>
      <c r="H69" s="794"/>
      <c r="I69" s="794"/>
      <c r="J69" s="794"/>
      <c r="K69" s="794"/>
      <c r="L69" s="91"/>
      <c r="M69" s="91"/>
    </row>
    <row r="70" spans="1:14">
      <c r="C70" s="338">
        <v>2</v>
      </c>
      <c r="D70" s="91" t="s">
        <v>1929</v>
      </c>
      <c r="E70" s="794"/>
      <c r="F70" s="794"/>
      <c r="G70" s="794"/>
      <c r="H70" s="794"/>
      <c r="I70" s="794"/>
      <c r="J70" s="794"/>
      <c r="K70" s="794"/>
      <c r="L70" s="91"/>
      <c r="M70" s="91"/>
    </row>
    <row r="71" spans="1:14" s="17" customFormat="1">
      <c r="A71" s="131"/>
      <c r="C71" s="131">
        <v>3</v>
      </c>
      <c r="D71" s="414" t="s">
        <v>1930</v>
      </c>
      <c r="E71" s="414"/>
      <c r="F71" s="414"/>
      <c r="G71" s="414"/>
      <c r="H71" s="414"/>
      <c r="I71" s="795"/>
      <c r="J71" s="414"/>
      <c r="K71" s="414"/>
      <c r="L71" s="414"/>
      <c r="M71" s="414"/>
      <c r="N71" s="131"/>
    </row>
    <row r="72" spans="1:14" s="17" customFormat="1">
      <c r="A72" s="131"/>
      <c r="C72" s="131">
        <v>4</v>
      </c>
      <c r="D72" s="414" t="s">
        <v>1931</v>
      </c>
      <c r="E72" s="414"/>
      <c r="F72" s="414"/>
      <c r="G72" s="414"/>
      <c r="H72" s="414"/>
      <c r="I72" s="795"/>
      <c r="J72" s="414"/>
      <c r="K72" s="414"/>
      <c r="L72" s="414"/>
      <c r="M72" s="414"/>
      <c r="N72" s="131"/>
    </row>
    <row r="73" spans="1:14" s="17" customFormat="1">
      <c r="A73" s="131"/>
      <c r="C73" s="8">
        <v>5</v>
      </c>
      <c r="D73" s="414" t="s">
        <v>1932</v>
      </c>
      <c r="E73" s="414"/>
      <c r="F73" s="414"/>
      <c r="G73" s="414"/>
      <c r="H73" s="414"/>
      <c r="I73" s="795"/>
      <c r="J73" s="414"/>
      <c r="K73" s="414"/>
      <c r="L73" s="414"/>
      <c r="M73" s="414"/>
      <c r="N73" s="131"/>
    </row>
    <row r="74" spans="1:14" s="17" customFormat="1">
      <c r="A74" s="131"/>
      <c r="C74" s="8">
        <v>6</v>
      </c>
      <c r="D74" s="414" t="s">
        <v>1933</v>
      </c>
      <c r="E74" s="414"/>
      <c r="F74" s="414"/>
      <c r="G74" s="414"/>
      <c r="H74" s="414"/>
      <c r="I74" s="795"/>
      <c r="J74" s="414"/>
      <c r="K74" s="414"/>
      <c r="L74" s="414"/>
      <c r="M74" s="414"/>
      <c r="N74" s="131"/>
    </row>
    <row r="75" spans="1:14" s="17" customFormat="1">
      <c r="A75" s="131"/>
      <c r="C75" s="8">
        <v>7</v>
      </c>
      <c r="D75" s="414" t="s">
        <v>1934</v>
      </c>
      <c r="E75" s="414"/>
      <c r="F75" s="414"/>
      <c r="G75" s="414"/>
      <c r="H75" s="414"/>
      <c r="I75" s="795"/>
      <c r="J75" s="414"/>
      <c r="K75" s="414"/>
      <c r="L75" s="414"/>
      <c r="M75" s="414"/>
      <c r="N75" s="131"/>
    </row>
    <row r="76" spans="1:14" s="17" customFormat="1">
      <c r="A76" s="131"/>
      <c r="C76" s="8">
        <v>8</v>
      </c>
      <c r="D76" s="414" t="s">
        <v>1935</v>
      </c>
      <c r="E76" s="414"/>
      <c r="F76" s="414"/>
      <c r="G76" s="414"/>
      <c r="H76" s="414"/>
      <c r="I76" s="795"/>
      <c r="J76" s="414"/>
      <c r="K76" s="414"/>
      <c r="L76" s="414"/>
      <c r="M76" s="414"/>
      <c r="N76" s="131"/>
    </row>
    <row r="77" spans="1:14" ht="15" customHeight="1">
      <c r="C77" s="131">
        <v>11</v>
      </c>
      <c r="D77" s="855" t="s">
        <v>1688</v>
      </c>
      <c r="E77" s="855"/>
      <c r="F77" s="855"/>
      <c r="G77" s="855"/>
      <c r="H77" s="855"/>
      <c r="I77" s="855"/>
      <c r="J77" s="855"/>
      <c r="K77" s="855"/>
      <c r="L77" s="855"/>
      <c r="M77" s="855"/>
    </row>
    <row r="78" spans="1:14" ht="63" customHeight="1">
      <c r="D78" s="855"/>
      <c r="E78" s="855"/>
      <c r="F78" s="855"/>
      <c r="G78" s="855"/>
      <c r="H78" s="855"/>
      <c r="I78" s="855"/>
      <c r="J78" s="855"/>
      <c r="K78" s="855"/>
      <c r="L78" s="855"/>
      <c r="M78" s="855"/>
    </row>
    <row r="79" spans="1:14">
      <c r="C79" s="8">
        <v>12</v>
      </c>
      <c r="D79" s="681"/>
      <c r="E79" s="681"/>
      <c r="F79" s="681"/>
      <c r="G79" s="681"/>
      <c r="H79" s="681"/>
      <c r="I79" s="699"/>
      <c r="J79" s="681"/>
      <c r="K79" s="681"/>
      <c r="L79" s="681"/>
      <c r="M79" s="681"/>
    </row>
    <row r="80" spans="1:14">
      <c r="C80" s="131"/>
    </row>
    <row r="81" spans="3:4">
      <c r="C81" s="8"/>
      <c r="D81" s="17"/>
    </row>
    <row r="82" spans="3:4">
      <c r="C82" s="8"/>
      <c r="D82" s="17"/>
    </row>
    <row r="83" spans="3:4">
      <c r="C83" s="8"/>
      <c r="D83" s="17"/>
    </row>
    <row r="84" spans="3:4">
      <c r="C84" s="8"/>
      <c r="D84" s="17"/>
    </row>
    <row r="85" spans="3:4">
      <c r="C85" s="8"/>
      <c r="D85" s="17"/>
    </row>
    <row r="86" spans="3:4">
      <c r="C86" s="8"/>
      <c r="D86" s="17"/>
    </row>
    <row r="87" spans="3:4">
      <c r="C87" s="8"/>
      <c r="D87" s="17"/>
    </row>
  </sheetData>
  <mergeCells count="2">
    <mergeCell ref="D45:E45"/>
    <mergeCell ref="D77:M78"/>
  </mergeCells>
  <printOptions horizontalCentered="1"/>
  <pageMargins left="1" right="1" top="1" bottom="1" header="0.5" footer="0.5"/>
  <pageSetup scale="39"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K70"/>
  <sheetViews>
    <sheetView tabSelected="1" view="pageBreakPreview" topLeftCell="F23" zoomScale="70" zoomScaleNormal="85" zoomScaleSheetLayoutView="70" zoomScalePageLayoutView="70" workbookViewId="0">
      <selection activeCell="C59" activeCellId="1" sqref="L63 C59"/>
    </sheetView>
  </sheetViews>
  <sheetFormatPr defaultColWidth="9.1796875" defaultRowHeight="14.5"/>
  <cols>
    <col min="1" max="1" width="4.7265625" bestFit="1" customWidth="1"/>
    <col min="2" max="2" width="10.453125" bestFit="1" customWidth="1"/>
    <col min="3" max="3" width="10.7265625" customWidth="1"/>
    <col min="4" max="4" width="65.453125" bestFit="1" customWidth="1"/>
    <col min="5" max="5" width="19.1796875" bestFit="1" customWidth="1"/>
    <col min="6" max="6" width="16.453125" bestFit="1" customWidth="1"/>
    <col min="7" max="7" width="15.7265625" bestFit="1" customWidth="1"/>
    <col min="8" max="8" width="16.81640625" bestFit="1" customWidth="1"/>
    <col min="9" max="9" width="17.26953125" bestFit="1" customWidth="1"/>
    <col min="10" max="10" width="28" bestFit="1" customWidth="1"/>
    <col min="11" max="11" width="4.7265625" bestFit="1" customWidth="1"/>
  </cols>
  <sheetData>
    <row r="1" spans="1:11">
      <c r="B1" s="12" t="s">
        <v>70</v>
      </c>
      <c r="I1" s="15"/>
      <c r="J1" s="15" t="str">
        <f>CONCATENATE("Prior Year: ",'1-BaseTRR'!$F$2)</f>
        <v>Prior Year: 2022</v>
      </c>
    </row>
    <row r="2" spans="1:11">
      <c r="B2" s="117" t="s">
        <v>193</v>
      </c>
      <c r="C2" s="49"/>
      <c r="I2" s="15"/>
      <c r="J2" s="15"/>
    </row>
    <row r="3" spans="1:11">
      <c r="A3" s="12"/>
      <c r="B3" s="142"/>
      <c r="J3" s="15"/>
      <c r="K3" s="12"/>
    </row>
    <row r="4" spans="1:11">
      <c r="B4" s="16" t="s">
        <v>133</v>
      </c>
      <c r="D4" s="317"/>
    </row>
    <row r="5" spans="1:11">
      <c r="B5" t="s">
        <v>846</v>
      </c>
    </row>
    <row r="7" spans="1:11">
      <c r="B7" s="13" t="s">
        <v>98</v>
      </c>
      <c r="C7" s="13" t="s">
        <v>99</v>
      </c>
      <c r="D7" s="13" t="s">
        <v>100</v>
      </c>
      <c r="E7" s="13" t="s">
        <v>101</v>
      </c>
      <c r="F7" s="13" t="s">
        <v>102</v>
      </c>
      <c r="G7" s="13" t="s">
        <v>103</v>
      </c>
      <c r="H7" s="13" t="s">
        <v>104</v>
      </c>
      <c r="I7" s="13" t="s">
        <v>105</v>
      </c>
      <c r="J7" s="13" t="s">
        <v>106</v>
      </c>
    </row>
    <row r="8" spans="1:11">
      <c r="B8" s="8"/>
      <c r="C8" s="8"/>
      <c r="D8" s="8"/>
      <c r="E8" s="8"/>
      <c r="F8" s="8"/>
      <c r="G8" s="8"/>
      <c r="H8" s="8" t="s">
        <v>845</v>
      </c>
      <c r="I8" s="8"/>
      <c r="J8" s="8"/>
    </row>
    <row r="9" spans="1:11" ht="29">
      <c r="A9" s="13" t="s">
        <v>122</v>
      </c>
      <c r="B9" s="13" t="s">
        <v>844</v>
      </c>
      <c r="C9" s="168" t="s">
        <v>843</v>
      </c>
      <c r="D9" s="13" t="s">
        <v>842</v>
      </c>
      <c r="E9" s="13" t="s">
        <v>1468</v>
      </c>
      <c r="F9" s="168" t="s">
        <v>841</v>
      </c>
      <c r="G9" s="168" t="s">
        <v>840</v>
      </c>
      <c r="H9" s="168" t="s">
        <v>839</v>
      </c>
      <c r="I9" s="168" t="s">
        <v>838</v>
      </c>
      <c r="J9" s="168" t="s">
        <v>11</v>
      </c>
      <c r="K9" s="13" t="str">
        <f>A9</f>
        <v>Line</v>
      </c>
    </row>
    <row r="10" spans="1:11" ht="29">
      <c r="A10" s="8">
        <v>100</v>
      </c>
      <c r="D10" s="15" t="s">
        <v>1288</v>
      </c>
      <c r="E10" s="353">
        <f>E14+E20+E30+E36+E44</f>
        <v>-188481714.35000002</v>
      </c>
      <c r="F10" s="353">
        <f>F14+F20+F30+F36+F44</f>
        <v>8798136.9227079917</v>
      </c>
      <c r="G10" s="353">
        <f t="shared" ref="G10:I10" si="0">G14+G20+G30+G36+G44</f>
        <v>5808351.8970920127</v>
      </c>
      <c r="H10" s="353">
        <f t="shared" si="0"/>
        <v>14606488.819800004</v>
      </c>
      <c r="I10" s="353">
        <f t="shared" si="0"/>
        <v>67852564.349999994</v>
      </c>
      <c r="J10" s="44" t="s">
        <v>1287</v>
      </c>
      <c r="K10" s="13">
        <f>A10</f>
        <v>100</v>
      </c>
    </row>
    <row r="11" spans="1:11">
      <c r="A11" s="13"/>
      <c r="E11" s="15"/>
      <c r="F11" s="25"/>
      <c r="G11" s="25"/>
      <c r="H11" s="25"/>
      <c r="I11" s="25"/>
      <c r="J11" s="168"/>
      <c r="K11" s="13"/>
    </row>
    <row r="12" spans="1:11">
      <c r="A12" s="13"/>
      <c r="B12" s="52" t="s">
        <v>836</v>
      </c>
      <c r="C12" s="354"/>
      <c r="D12" s="354"/>
      <c r="E12" s="354"/>
      <c r="F12" s="54"/>
      <c r="G12" s="54"/>
      <c r="H12" s="54"/>
      <c r="I12" s="54"/>
      <c r="J12" s="54"/>
    </row>
    <row r="13" spans="1:11">
      <c r="A13" s="8">
        <v>200</v>
      </c>
      <c r="B13" s="30"/>
      <c r="D13" s="130" t="s">
        <v>1995</v>
      </c>
      <c r="E13" s="498">
        <v>108292</v>
      </c>
      <c r="F13" s="333"/>
      <c r="G13" s="333"/>
      <c r="H13" s="333"/>
      <c r="I13" s="333"/>
      <c r="J13" s="333"/>
      <c r="K13" s="8">
        <f>A13</f>
        <v>200</v>
      </c>
    </row>
    <row r="14" spans="1:11">
      <c r="A14" s="8">
        <f>A13+1</f>
        <v>201</v>
      </c>
      <c r="B14" s="30"/>
      <c r="D14" s="130" t="s">
        <v>837</v>
      </c>
      <c r="E14" s="353">
        <f>SUM(E15:E17)</f>
        <v>108291.5</v>
      </c>
      <c r="F14" s="353">
        <f>SUM(F15:F17)</f>
        <v>0</v>
      </c>
      <c r="G14" s="353">
        <f>SUM(G15:G17)</f>
        <v>0</v>
      </c>
      <c r="H14" s="353">
        <f>SUM(F14:G14)</f>
        <v>0</v>
      </c>
      <c r="I14" s="353">
        <f>SUM(I15:I17)</f>
        <v>0</v>
      </c>
      <c r="J14" s="333"/>
      <c r="K14" s="8">
        <f>A14</f>
        <v>201</v>
      </c>
    </row>
    <row r="15" spans="1:11">
      <c r="A15" s="8">
        <f>A14+1</f>
        <v>202</v>
      </c>
      <c r="B15" s="30">
        <v>450</v>
      </c>
      <c r="C15">
        <v>4500000</v>
      </c>
      <c r="D15" s="17" t="s">
        <v>836</v>
      </c>
      <c r="E15" s="352">
        <v>108291.5</v>
      </c>
      <c r="F15" s="352"/>
      <c r="G15" s="352"/>
      <c r="H15" s="33">
        <f>SUM(F15:G15)</f>
        <v>0</v>
      </c>
      <c r="I15" s="352"/>
      <c r="J15" s="333" t="s">
        <v>124</v>
      </c>
      <c r="K15" s="8">
        <f>A15</f>
        <v>202</v>
      </c>
    </row>
    <row r="16" spans="1:11">
      <c r="A16" s="8">
        <f>A15+1</f>
        <v>203</v>
      </c>
      <c r="B16" s="56"/>
      <c r="C16" s="49"/>
      <c r="D16" s="414"/>
      <c r="E16" s="352"/>
      <c r="F16" s="352"/>
      <c r="G16" s="352"/>
      <c r="H16" s="33">
        <f>SUM(F16:G16)</f>
        <v>0</v>
      </c>
      <c r="I16" s="352"/>
      <c r="J16" s="333"/>
      <c r="K16" s="8">
        <f>A16</f>
        <v>203</v>
      </c>
    </row>
    <row r="17" spans="1:11">
      <c r="A17" s="8">
        <f>A16+1</f>
        <v>204</v>
      </c>
      <c r="B17" s="351" t="s">
        <v>315</v>
      </c>
      <c r="C17" s="49"/>
      <c r="D17" s="414"/>
      <c r="E17" s="352"/>
      <c r="F17" s="352"/>
      <c r="G17" s="352"/>
      <c r="H17" s="33">
        <f>SUM(F17:G17)</f>
        <v>0</v>
      </c>
      <c r="I17" s="352"/>
      <c r="J17" s="333"/>
      <c r="K17" s="8">
        <f>A17</f>
        <v>204</v>
      </c>
    </row>
    <row r="18" spans="1:11">
      <c r="A18" s="8"/>
      <c r="B18" s="57" t="s">
        <v>834</v>
      </c>
      <c r="C18" s="54"/>
      <c r="D18" s="144"/>
      <c r="E18" s="54"/>
      <c r="F18" s="54"/>
      <c r="G18" s="54"/>
      <c r="H18" s="54"/>
      <c r="I18" s="54"/>
      <c r="J18" s="54"/>
      <c r="K18" s="8"/>
    </row>
    <row r="19" spans="1:11">
      <c r="A19" s="8">
        <v>300</v>
      </c>
      <c r="B19" s="30"/>
      <c r="D19" s="130" t="s">
        <v>1996</v>
      </c>
      <c r="E19" s="498">
        <v>7068124</v>
      </c>
      <c r="F19" s="353"/>
      <c r="G19" s="353"/>
      <c r="H19" s="353"/>
      <c r="I19" s="33"/>
      <c r="J19" s="333"/>
      <c r="K19" s="8">
        <f t="shared" ref="K19:K27" si="1">A19</f>
        <v>300</v>
      </c>
    </row>
    <row r="20" spans="1:11">
      <c r="A20" s="8">
        <f t="shared" ref="A20:A27" si="2">A19+1</f>
        <v>301</v>
      </c>
      <c r="B20" s="30"/>
      <c r="D20" s="130" t="s">
        <v>835</v>
      </c>
      <c r="E20" s="353">
        <f>SUM(E21:E27)</f>
        <v>7068124.4299999997</v>
      </c>
      <c r="F20" s="353">
        <f>SUM(F21:F27)</f>
        <v>0</v>
      </c>
      <c r="G20" s="353">
        <f>SUM(G21:G27)</f>
        <v>0</v>
      </c>
      <c r="H20" s="353">
        <f t="shared" ref="H20:H27" si="3">SUM(F20:G20)</f>
        <v>0</v>
      </c>
      <c r="I20" s="353">
        <f>SUM(I21:I27)</f>
        <v>480570.68000000005</v>
      </c>
      <c r="J20" s="333"/>
      <c r="K20" s="8">
        <f t="shared" si="1"/>
        <v>301</v>
      </c>
    </row>
    <row r="21" spans="1:11">
      <c r="A21" s="8">
        <f t="shared" si="2"/>
        <v>302</v>
      </c>
      <c r="B21" s="30">
        <v>451</v>
      </c>
      <c r="C21">
        <v>4510000</v>
      </c>
      <c r="D21" s="17" t="s">
        <v>834</v>
      </c>
      <c r="E21" s="352">
        <v>1490447.08</v>
      </c>
      <c r="F21" s="352"/>
      <c r="G21" s="352"/>
      <c r="H21" s="33">
        <f t="shared" si="3"/>
        <v>0</v>
      </c>
      <c r="I21" s="352"/>
      <c r="J21" s="333" t="s">
        <v>124</v>
      </c>
      <c r="K21" s="8">
        <f t="shared" si="1"/>
        <v>302</v>
      </c>
    </row>
    <row r="22" spans="1:11">
      <c r="A22" s="8">
        <f t="shared" si="2"/>
        <v>303</v>
      </c>
      <c r="B22" s="30"/>
      <c r="C22">
        <v>4510007</v>
      </c>
      <c r="D22" s="17" t="s">
        <v>833</v>
      </c>
      <c r="E22" s="352">
        <v>614069.44000000006</v>
      </c>
      <c r="F22" s="352"/>
      <c r="G22" s="352"/>
      <c r="H22" s="33">
        <f t="shared" si="3"/>
        <v>0</v>
      </c>
      <c r="I22" s="352">
        <v>480570.68000000005</v>
      </c>
      <c r="J22" s="333" t="s">
        <v>124</v>
      </c>
      <c r="K22" s="8">
        <f t="shared" si="1"/>
        <v>303</v>
      </c>
    </row>
    <row r="23" spans="1:11">
      <c r="A23" s="8">
        <f t="shared" si="2"/>
        <v>304</v>
      </c>
      <c r="B23" s="30">
        <v>451</v>
      </c>
      <c r="C23">
        <v>4510040</v>
      </c>
      <c r="D23" s="17" t="s">
        <v>832</v>
      </c>
      <c r="E23" s="352">
        <v>3411764.95</v>
      </c>
      <c r="F23" s="352"/>
      <c r="G23" s="352"/>
      <c r="H23" s="33">
        <f t="shared" si="3"/>
        <v>0</v>
      </c>
      <c r="I23" s="352"/>
      <c r="J23" s="333" t="s">
        <v>124</v>
      </c>
      <c r="K23" s="8">
        <f t="shared" si="1"/>
        <v>304</v>
      </c>
    </row>
    <row r="24" spans="1:11">
      <c r="A24" s="8">
        <f t="shared" si="2"/>
        <v>305</v>
      </c>
      <c r="B24" s="30">
        <v>451</v>
      </c>
      <c r="C24">
        <v>4510041</v>
      </c>
      <c r="D24" s="17" t="s">
        <v>831</v>
      </c>
      <c r="E24" s="352">
        <v>810021.14</v>
      </c>
      <c r="F24" s="352"/>
      <c r="G24" s="352"/>
      <c r="H24" s="33">
        <f t="shared" si="3"/>
        <v>0</v>
      </c>
      <c r="I24" s="352"/>
      <c r="J24" s="333" t="s">
        <v>124</v>
      </c>
      <c r="K24" s="8">
        <f t="shared" si="1"/>
        <v>305</v>
      </c>
    </row>
    <row r="25" spans="1:11">
      <c r="A25" s="8">
        <f t="shared" si="2"/>
        <v>306</v>
      </c>
      <c r="B25" s="30">
        <v>451</v>
      </c>
      <c r="C25">
        <v>4510043</v>
      </c>
      <c r="D25" s="17" t="s">
        <v>830</v>
      </c>
      <c r="E25" s="352">
        <v>741821.81999999983</v>
      </c>
      <c r="F25" s="352"/>
      <c r="G25" s="352"/>
      <c r="H25" s="33">
        <f t="shared" si="3"/>
        <v>0</v>
      </c>
      <c r="I25" s="352"/>
      <c r="J25" s="333" t="s">
        <v>124</v>
      </c>
      <c r="K25" s="8">
        <f t="shared" si="1"/>
        <v>306</v>
      </c>
    </row>
    <row r="26" spans="1:11">
      <c r="A26" s="8">
        <f t="shared" si="2"/>
        <v>307</v>
      </c>
      <c r="B26" s="56"/>
      <c r="C26" s="49"/>
      <c r="D26" s="414"/>
      <c r="E26" s="352"/>
      <c r="F26" s="352"/>
      <c r="G26" s="352"/>
      <c r="H26" s="33">
        <f t="shared" si="3"/>
        <v>0</v>
      </c>
      <c r="I26" s="352"/>
      <c r="J26" s="333"/>
      <c r="K26" s="8">
        <f t="shared" si="1"/>
        <v>307</v>
      </c>
    </row>
    <row r="27" spans="1:11">
      <c r="A27" s="8">
        <f t="shared" si="2"/>
        <v>308</v>
      </c>
      <c r="B27" s="351" t="s">
        <v>315</v>
      </c>
      <c r="C27" s="49"/>
      <c r="D27" s="414"/>
      <c r="E27" s="352"/>
      <c r="F27" s="352"/>
      <c r="G27" s="352"/>
      <c r="H27" s="33">
        <f t="shared" si="3"/>
        <v>0</v>
      </c>
      <c r="I27" s="352"/>
      <c r="J27" s="333"/>
      <c r="K27" s="8">
        <f t="shared" si="1"/>
        <v>308</v>
      </c>
    </row>
    <row r="28" spans="1:11">
      <c r="A28" s="8"/>
      <c r="B28" s="57" t="s">
        <v>828</v>
      </c>
      <c r="C28" s="54"/>
      <c r="D28" s="144"/>
      <c r="E28" s="54"/>
      <c r="F28" s="54"/>
      <c r="G28" s="54"/>
      <c r="H28" s="54"/>
      <c r="I28" s="54"/>
      <c r="J28" s="54"/>
      <c r="K28" s="8"/>
    </row>
    <row r="29" spans="1:11">
      <c r="A29" s="8">
        <v>400</v>
      </c>
      <c r="B29" s="30"/>
      <c r="D29" s="130" t="s">
        <v>1997</v>
      </c>
      <c r="E29" s="498">
        <v>4603372</v>
      </c>
      <c r="F29" s="353"/>
      <c r="G29" s="353"/>
      <c r="H29" s="353"/>
      <c r="I29" s="33"/>
      <c r="J29" s="333"/>
      <c r="K29" s="8">
        <f>A29</f>
        <v>400</v>
      </c>
    </row>
    <row r="30" spans="1:11">
      <c r="A30" s="8">
        <f>A29+1</f>
        <v>401</v>
      </c>
      <c r="B30" s="30"/>
      <c r="D30" s="130" t="s">
        <v>829</v>
      </c>
      <c r="E30" s="353">
        <f>SUM(E31:E33)</f>
        <v>4603372.1500000004</v>
      </c>
      <c r="F30" s="353">
        <f>SUM(F31:F33)</f>
        <v>0</v>
      </c>
      <c r="G30" s="353">
        <f>SUM(G31:G33)</f>
        <v>0</v>
      </c>
      <c r="H30" s="353">
        <f>SUM(F30:G30)</f>
        <v>0</v>
      </c>
      <c r="I30" s="353">
        <f>SUM(I31:I33)</f>
        <v>0</v>
      </c>
      <c r="J30" s="333"/>
      <c r="K30" s="8">
        <f>A30</f>
        <v>401</v>
      </c>
    </row>
    <row r="31" spans="1:11">
      <c r="A31" s="8">
        <f>A30+1</f>
        <v>402</v>
      </c>
      <c r="B31" s="30">
        <v>453</v>
      </c>
      <c r="C31">
        <v>4530000</v>
      </c>
      <c r="D31" s="17" t="s">
        <v>828</v>
      </c>
      <c r="E31" s="352">
        <v>4603372.1500000004</v>
      </c>
      <c r="F31" s="352"/>
      <c r="G31" s="352"/>
      <c r="H31" s="33">
        <f>SUM(F31:G31)</f>
        <v>0</v>
      </c>
      <c r="I31" s="352"/>
      <c r="J31" s="333" t="s">
        <v>124</v>
      </c>
      <c r="K31" s="8">
        <f>A31</f>
        <v>402</v>
      </c>
    </row>
    <row r="32" spans="1:11">
      <c r="A32" s="8">
        <f>A31+1</f>
        <v>403</v>
      </c>
      <c r="B32" s="56"/>
      <c r="C32" s="49"/>
      <c r="D32" s="414"/>
      <c r="E32" s="352"/>
      <c r="F32" s="352"/>
      <c r="G32" s="352"/>
      <c r="H32" s="33">
        <f>SUM(F32:G32)</f>
        <v>0</v>
      </c>
      <c r="I32" s="352"/>
      <c r="J32" s="333"/>
      <c r="K32" s="8">
        <f>A32</f>
        <v>403</v>
      </c>
    </row>
    <row r="33" spans="1:11">
      <c r="A33" s="8">
        <f>A32+1</f>
        <v>404</v>
      </c>
      <c r="B33" s="351" t="s">
        <v>1393</v>
      </c>
      <c r="C33" s="49"/>
      <c r="D33" s="414"/>
      <c r="E33" s="352"/>
      <c r="F33" s="352"/>
      <c r="G33" s="352"/>
      <c r="H33" s="33">
        <f>SUM(F33:G33)</f>
        <v>0</v>
      </c>
      <c r="I33" s="352"/>
      <c r="J33" s="333"/>
      <c r="K33" s="8">
        <f>A33</f>
        <v>404</v>
      </c>
    </row>
    <row r="34" spans="1:11">
      <c r="A34" s="8"/>
      <c r="B34" s="57" t="s">
        <v>722</v>
      </c>
      <c r="C34" s="54"/>
      <c r="D34" s="144"/>
      <c r="E34" s="54"/>
      <c r="F34" s="54"/>
      <c r="G34" s="54"/>
      <c r="H34" s="54"/>
      <c r="I34" s="54"/>
      <c r="J34" s="54"/>
      <c r="K34" s="8"/>
    </row>
    <row r="35" spans="1:11">
      <c r="A35" s="8">
        <v>500</v>
      </c>
      <c r="B35" s="30"/>
      <c r="D35" s="130" t="s">
        <v>1998</v>
      </c>
      <c r="E35" s="498">
        <v>61810991</v>
      </c>
      <c r="F35" s="353"/>
      <c r="G35" s="353"/>
      <c r="H35" s="353"/>
      <c r="I35" s="33"/>
      <c r="J35" s="333"/>
      <c r="K35" s="8">
        <f t="shared" ref="K35:K41" si="4">A35</f>
        <v>500</v>
      </c>
    </row>
    <row r="36" spans="1:11">
      <c r="A36" s="8">
        <f t="shared" ref="A36:A41" si="5">A35+1</f>
        <v>501</v>
      </c>
      <c r="B36" s="30"/>
      <c r="D36" s="130" t="s">
        <v>827</v>
      </c>
      <c r="E36" s="353">
        <f>SUM(E37:E41)</f>
        <v>61810991.179999992</v>
      </c>
      <c r="F36" s="353">
        <f>SUM(F37:F41)</f>
        <v>2992466.9263000055</v>
      </c>
      <c r="G36" s="353">
        <f>SUM(G37:G41)</f>
        <v>3431192.4534999984</v>
      </c>
      <c r="H36" s="353">
        <f t="shared" ref="H36:H41" si="6">SUM(F36:G36)</f>
        <v>6423659.379800004</v>
      </c>
      <c r="I36" s="353">
        <f>SUM(I37:I41)</f>
        <v>14702473.039999999</v>
      </c>
      <c r="J36" s="333"/>
      <c r="K36" s="8">
        <f t="shared" si="4"/>
        <v>501</v>
      </c>
    </row>
    <row r="37" spans="1:11">
      <c r="A37" s="8">
        <f t="shared" si="5"/>
        <v>502</v>
      </c>
      <c r="B37" s="30">
        <v>454</v>
      </c>
      <c r="C37">
        <v>4540010</v>
      </c>
      <c r="D37" s="17" t="s">
        <v>826</v>
      </c>
      <c r="E37" s="352">
        <v>39578694.519999996</v>
      </c>
      <c r="F37" s="352">
        <v>2992466.9263000055</v>
      </c>
      <c r="G37" s="352">
        <v>3431192.4534999984</v>
      </c>
      <c r="H37" s="33">
        <f t="shared" si="6"/>
        <v>6423659.379800004</v>
      </c>
      <c r="I37" s="352"/>
      <c r="J37" s="333" t="s">
        <v>825</v>
      </c>
      <c r="K37" s="8">
        <f t="shared" si="4"/>
        <v>502</v>
      </c>
    </row>
    <row r="38" spans="1:11">
      <c r="A38" s="8">
        <f t="shared" si="5"/>
        <v>503</v>
      </c>
      <c r="B38" s="30">
        <v>454</v>
      </c>
      <c r="C38">
        <v>4540012</v>
      </c>
      <c r="D38" s="17" t="s">
        <v>824</v>
      </c>
      <c r="E38" s="352">
        <v>15959486.329999998</v>
      </c>
      <c r="F38" s="352"/>
      <c r="G38" s="352"/>
      <c r="H38" s="33">
        <f t="shared" si="6"/>
        <v>0</v>
      </c>
      <c r="I38" s="352">
        <v>9575995.6799999997</v>
      </c>
      <c r="J38" s="333" t="s">
        <v>124</v>
      </c>
      <c r="K38" s="8">
        <f t="shared" si="4"/>
        <v>503</v>
      </c>
    </row>
    <row r="39" spans="1:11">
      <c r="A39" s="8">
        <f t="shared" si="5"/>
        <v>504</v>
      </c>
      <c r="B39" s="30">
        <v>454</v>
      </c>
      <c r="C39">
        <v>4540013</v>
      </c>
      <c r="D39" t="s">
        <v>823</v>
      </c>
      <c r="E39" s="352">
        <v>6272810.3300000001</v>
      </c>
      <c r="F39" s="352"/>
      <c r="G39" s="352"/>
      <c r="H39" s="33">
        <f t="shared" si="6"/>
        <v>0</v>
      </c>
      <c r="I39" s="352">
        <v>5126477.3600000003</v>
      </c>
      <c r="J39" s="333" t="s">
        <v>124</v>
      </c>
      <c r="K39" s="8">
        <f t="shared" si="4"/>
        <v>504</v>
      </c>
    </row>
    <row r="40" spans="1:11">
      <c r="A40" s="8">
        <f t="shared" si="5"/>
        <v>505</v>
      </c>
      <c r="B40" s="56"/>
      <c r="C40" s="49"/>
      <c r="D40" s="49"/>
      <c r="E40" s="352"/>
      <c r="F40" s="352"/>
      <c r="G40" s="352"/>
      <c r="H40" s="33">
        <f t="shared" si="6"/>
        <v>0</v>
      </c>
      <c r="I40" s="352"/>
      <c r="J40" s="333"/>
      <c r="K40" s="8">
        <f t="shared" si="4"/>
        <v>505</v>
      </c>
    </row>
    <row r="41" spans="1:11">
      <c r="A41" s="8">
        <f t="shared" si="5"/>
        <v>506</v>
      </c>
      <c r="B41" s="351" t="s">
        <v>1393</v>
      </c>
      <c r="C41" s="49"/>
      <c r="D41" s="49"/>
      <c r="E41" s="352"/>
      <c r="F41" s="352"/>
      <c r="G41" s="352"/>
      <c r="H41" s="33">
        <f t="shared" si="6"/>
        <v>0</v>
      </c>
      <c r="I41" s="352"/>
      <c r="J41" s="333"/>
      <c r="K41" s="8">
        <f t="shared" si="4"/>
        <v>506</v>
      </c>
    </row>
    <row r="42" spans="1:11">
      <c r="A42" s="8"/>
      <c r="B42" s="57" t="s">
        <v>822</v>
      </c>
      <c r="C42" s="54"/>
      <c r="D42" s="54"/>
      <c r="E42" s="54"/>
      <c r="F42" s="54"/>
      <c r="G42" s="54"/>
      <c r="H42" s="54"/>
      <c r="I42" s="54"/>
      <c r="J42" s="54"/>
      <c r="K42" s="8"/>
    </row>
    <row r="43" spans="1:11">
      <c r="A43" s="8">
        <v>600</v>
      </c>
      <c r="B43" s="30"/>
      <c r="D43" s="130" t="s">
        <v>1999</v>
      </c>
      <c r="E43" s="498">
        <v>-262072494</v>
      </c>
      <c r="F43" s="353"/>
      <c r="G43" s="353"/>
      <c r="H43" s="353"/>
      <c r="I43" s="33"/>
      <c r="J43" s="17" t="s">
        <v>123</v>
      </c>
      <c r="K43" s="8">
        <f t="shared" ref="K43:K63" si="7">A43</f>
        <v>600</v>
      </c>
    </row>
    <row r="44" spans="1:11">
      <c r="A44" s="8">
        <f t="shared" ref="A44:A63" si="8">A43+1</f>
        <v>601</v>
      </c>
      <c r="B44" s="30"/>
      <c r="D44" s="15" t="s">
        <v>821</v>
      </c>
      <c r="E44" s="353">
        <f>SUM(E45:E63)</f>
        <v>-262072493.61000001</v>
      </c>
      <c r="F44" s="353">
        <f>SUM(F45:F63)</f>
        <v>5805669.9964079857</v>
      </c>
      <c r="G44" s="353">
        <f>SUM(G45:G63)</f>
        <v>2377159.4435920138</v>
      </c>
      <c r="H44" s="353">
        <f t="shared" ref="H44:H61" si="9">SUM(F44:G44)</f>
        <v>8182829.4399999995</v>
      </c>
      <c r="I44" s="353">
        <f>SUM(I45:I63)</f>
        <v>52669520.630000003</v>
      </c>
      <c r="J44" s="333"/>
      <c r="K44" s="8">
        <f t="shared" si="7"/>
        <v>601</v>
      </c>
    </row>
    <row r="45" spans="1:11">
      <c r="A45" s="8">
        <f t="shared" si="8"/>
        <v>602</v>
      </c>
      <c r="B45" s="30">
        <v>456</v>
      </c>
      <c r="C45">
        <v>4560099</v>
      </c>
      <c r="D45" t="s">
        <v>820</v>
      </c>
      <c r="E45" s="352">
        <v>117755287.68000001</v>
      </c>
      <c r="F45" s="352"/>
      <c r="G45" s="352"/>
      <c r="H45" s="33">
        <f t="shared" si="9"/>
        <v>0</v>
      </c>
      <c r="I45" s="352"/>
      <c r="J45" s="333" t="s">
        <v>124</v>
      </c>
      <c r="K45" s="8">
        <f t="shared" si="7"/>
        <v>602</v>
      </c>
    </row>
    <row r="46" spans="1:11">
      <c r="A46" s="8">
        <f t="shared" si="8"/>
        <v>603</v>
      </c>
      <c r="B46" s="30">
        <v>456</v>
      </c>
      <c r="D46" t="s">
        <v>819</v>
      </c>
      <c r="E46" s="352">
        <v>611916.92000000004</v>
      </c>
      <c r="F46" s="352"/>
      <c r="G46" s="352"/>
      <c r="H46" s="33">
        <f t="shared" si="9"/>
        <v>0</v>
      </c>
      <c r="I46" s="352"/>
      <c r="J46" s="333" t="s">
        <v>124</v>
      </c>
      <c r="K46" s="8">
        <f t="shared" si="7"/>
        <v>603</v>
      </c>
    </row>
    <row r="47" spans="1:11">
      <c r="A47" s="8">
        <f t="shared" si="8"/>
        <v>604</v>
      </c>
      <c r="B47" s="30">
        <v>456</v>
      </c>
      <c r="C47">
        <v>4560050</v>
      </c>
      <c r="D47" t="s">
        <v>818</v>
      </c>
      <c r="E47" s="352">
        <v>1295482</v>
      </c>
      <c r="F47" s="352"/>
      <c r="G47" s="352"/>
      <c r="H47" s="33">
        <f t="shared" si="9"/>
        <v>0</v>
      </c>
      <c r="I47" s="352"/>
      <c r="J47" s="333" t="s">
        <v>124</v>
      </c>
      <c r="K47" s="8">
        <f t="shared" si="7"/>
        <v>604</v>
      </c>
    </row>
    <row r="48" spans="1:11">
      <c r="A48" s="8">
        <f t="shared" si="8"/>
        <v>605</v>
      </c>
      <c r="B48" s="30">
        <v>456</v>
      </c>
      <c r="C48">
        <v>4560070</v>
      </c>
      <c r="D48" t="s">
        <v>817</v>
      </c>
      <c r="E48" s="352">
        <v>3271.6</v>
      </c>
      <c r="F48" s="352"/>
      <c r="G48" s="352"/>
      <c r="H48" s="33">
        <f t="shared" si="9"/>
        <v>0</v>
      </c>
      <c r="I48" s="352"/>
      <c r="J48" s="333" t="s">
        <v>124</v>
      </c>
      <c r="K48" s="8">
        <f t="shared" si="7"/>
        <v>605</v>
      </c>
    </row>
    <row r="49" spans="1:11">
      <c r="A49" s="8">
        <f t="shared" si="8"/>
        <v>606</v>
      </c>
      <c r="B49" s="30">
        <v>456</v>
      </c>
      <c r="C49">
        <v>4560014</v>
      </c>
      <c r="D49" t="s">
        <v>816</v>
      </c>
      <c r="E49" s="352">
        <v>93207.19</v>
      </c>
      <c r="F49" s="352"/>
      <c r="G49" s="352"/>
      <c r="H49" s="33">
        <f t="shared" si="9"/>
        <v>0</v>
      </c>
      <c r="I49" s="352"/>
      <c r="J49" s="333" t="s">
        <v>124</v>
      </c>
      <c r="K49" s="8">
        <f t="shared" si="7"/>
        <v>606</v>
      </c>
    </row>
    <row r="50" spans="1:11">
      <c r="A50" s="8">
        <f t="shared" si="8"/>
        <v>607</v>
      </c>
      <c r="B50" s="30">
        <v>456</v>
      </c>
      <c r="C50">
        <v>4560022</v>
      </c>
      <c r="D50" t="s">
        <v>815</v>
      </c>
      <c r="E50" s="352">
        <v>1134941.74</v>
      </c>
      <c r="F50" s="352"/>
      <c r="G50" s="352"/>
      <c r="H50" s="33">
        <f t="shared" si="9"/>
        <v>0</v>
      </c>
      <c r="I50" s="352"/>
      <c r="J50" s="333" t="s">
        <v>124</v>
      </c>
      <c r="K50" s="8">
        <f t="shared" si="7"/>
        <v>607</v>
      </c>
    </row>
    <row r="51" spans="1:11">
      <c r="A51" s="8">
        <f t="shared" si="8"/>
        <v>608</v>
      </c>
      <c r="B51" s="30">
        <v>456</v>
      </c>
      <c r="C51">
        <v>4560093</v>
      </c>
      <c r="D51" t="s">
        <v>814</v>
      </c>
      <c r="E51" s="352">
        <v>4529.79</v>
      </c>
      <c r="F51" s="352"/>
      <c r="G51" s="352"/>
      <c r="H51" s="33">
        <f t="shared" si="9"/>
        <v>0</v>
      </c>
      <c r="I51" s="352"/>
      <c r="J51" s="333" t="s">
        <v>124</v>
      </c>
      <c r="K51" s="8">
        <f t="shared" si="7"/>
        <v>608</v>
      </c>
    </row>
    <row r="52" spans="1:11">
      <c r="A52" s="8">
        <f t="shared" si="8"/>
        <v>609</v>
      </c>
      <c r="B52" s="30">
        <v>456</v>
      </c>
      <c r="C52">
        <v>4560091</v>
      </c>
      <c r="D52" t="s">
        <v>813</v>
      </c>
      <c r="E52" s="352">
        <v>44441875.380000003</v>
      </c>
      <c r="F52" s="352"/>
      <c r="G52" s="352"/>
      <c r="H52" s="33">
        <f t="shared" si="9"/>
        <v>0</v>
      </c>
      <c r="I52" s="352"/>
      <c r="J52" s="333" t="s">
        <v>124</v>
      </c>
      <c r="K52" s="8">
        <f t="shared" si="7"/>
        <v>609</v>
      </c>
    </row>
    <row r="53" spans="1:11">
      <c r="A53" s="8">
        <f t="shared" si="8"/>
        <v>610</v>
      </c>
      <c r="B53" s="30">
        <v>456</v>
      </c>
      <c r="C53">
        <v>4560098</v>
      </c>
      <c r="D53" t="s">
        <v>812</v>
      </c>
      <c r="E53" s="352">
        <v>73100493.659999982</v>
      </c>
      <c r="F53" s="352"/>
      <c r="G53" s="352"/>
      <c r="H53" s="33">
        <f t="shared" si="9"/>
        <v>0</v>
      </c>
      <c r="I53" s="352">
        <v>18175731.25</v>
      </c>
      <c r="J53" s="333" t="s">
        <v>124</v>
      </c>
      <c r="K53" s="8">
        <f t="shared" si="7"/>
        <v>610</v>
      </c>
    </row>
    <row r="54" spans="1:11">
      <c r="A54" s="8">
        <f t="shared" si="8"/>
        <v>611</v>
      </c>
      <c r="B54" s="30">
        <v>456</v>
      </c>
      <c r="C54">
        <v>4560000</v>
      </c>
      <c r="D54" t="s">
        <v>811</v>
      </c>
      <c r="E54" s="352">
        <v>-36899725.649999999</v>
      </c>
      <c r="F54" s="352"/>
      <c r="G54" s="352"/>
      <c r="H54" s="33">
        <f t="shared" si="9"/>
        <v>0</v>
      </c>
      <c r="I54" s="352"/>
      <c r="J54" s="333" t="s">
        <v>124</v>
      </c>
      <c r="K54" s="8">
        <f t="shared" si="7"/>
        <v>611</v>
      </c>
    </row>
    <row r="55" spans="1:11">
      <c r="A55" s="8">
        <f t="shared" si="8"/>
        <v>612</v>
      </c>
      <c r="B55" s="30">
        <v>456</v>
      </c>
      <c r="C55">
        <v>4560001</v>
      </c>
      <c r="D55" t="s">
        <v>810</v>
      </c>
      <c r="E55" s="352">
        <v>55039838.450000063</v>
      </c>
      <c r="F55" s="352">
        <v>1239359.856407986</v>
      </c>
      <c r="G55" s="352">
        <v>2377159.4435920138</v>
      </c>
      <c r="H55" s="33">
        <f t="shared" si="9"/>
        <v>3616519.3</v>
      </c>
      <c r="I55" s="352"/>
      <c r="J55" s="333" t="s">
        <v>809</v>
      </c>
      <c r="K55" s="8">
        <f t="shared" si="7"/>
        <v>612</v>
      </c>
    </row>
    <row r="56" spans="1:11">
      <c r="A56" s="8">
        <f t="shared" si="8"/>
        <v>613</v>
      </c>
      <c r="B56" s="30">
        <v>456</v>
      </c>
      <c r="C56">
        <v>4560002</v>
      </c>
      <c r="D56" t="s">
        <v>808</v>
      </c>
      <c r="E56" s="352">
        <v>25571</v>
      </c>
      <c r="F56" s="352"/>
      <c r="G56" s="352"/>
      <c r="H56" s="33">
        <f t="shared" si="9"/>
        <v>0</v>
      </c>
      <c r="I56" s="352"/>
      <c r="J56" s="333" t="s">
        <v>124</v>
      </c>
      <c r="K56" s="8">
        <f t="shared" si="7"/>
        <v>613</v>
      </c>
    </row>
    <row r="57" spans="1:11">
      <c r="A57" s="8">
        <f t="shared" si="8"/>
        <v>614</v>
      </c>
      <c r="B57" s="30">
        <v>456</v>
      </c>
      <c r="C57">
        <v>4560003</v>
      </c>
      <c r="D57" t="s">
        <v>807</v>
      </c>
      <c r="E57" s="352">
        <v>15398611.389999999</v>
      </c>
      <c r="F57" s="352"/>
      <c r="G57" s="352"/>
      <c r="H57" s="33">
        <f t="shared" si="9"/>
        <v>0</v>
      </c>
      <c r="I57" s="352"/>
      <c r="J57" s="333" t="s">
        <v>124</v>
      </c>
      <c r="K57" s="8">
        <f t="shared" si="7"/>
        <v>614</v>
      </c>
    </row>
    <row r="58" spans="1:11">
      <c r="A58" s="8">
        <f t="shared" si="8"/>
        <v>615</v>
      </c>
      <c r="B58" s="30">
        <v>456</v>
      </c>
      <c r="C58">
        <v>4560095</v>
      </c>
      <c r="D58" t="s">
        <v>806</v>
      </c>
      <c r="E58" s="352">
        <v>-475288924.18000001</v>
      </c>
      <c r="F58" s="352"/>
      <c r="G58" s="352"/>
      <c r="H58" s="33">
        <f t="shared" si="9"/>
        <v>0</v>
      </c>
      <c r="I58" s="352"/>
      <c r="J58" s="333" t="s">
        <v>124</v>
      </c>
      <c r="K58" s="8">
        <f t="shared" si="7"/>
        <v>615</v>
      </c>
    </row>
    <row r="59" spans="1:11">
      <c r="A59" s="8">
        <f t="shared" si="8"/>
        <v>616</v>
      </c>
      <c r="B59" s="30">
        <v>456</v>
      </c>
      <c r="C59">
        <v>4560005</v>
      </c>
      <c r="D59" t="s">
        <v>805</v>
      </c>
      <c r="E59" s="352">
        <v>-101028934.11</v>
      </c>
      <c r="F59" s="352"/>
      <c r="G59" s="352"/>
      <c r="H59" s="33">
        <f t="shared" si="9"/>
        <v>0</v>
      </c>
      <c r="I59" s="352"/>
      <c r="J59" s="333" t="s">
        <v>124</v>
      </c>
      <c r="K59" s="8">
        <f t="shared" si="7"/>
        <v>616</v>
      </c>
    </row>
    <row r="60" spans="1:11">
      <c r="A60" s="8">
        <f t="shared" si="8"/>
        <v>617</v>
      </c>
      <c r="B60" s="30">
        <v>456</v>
      </c>
      <c r="C60">
        <v>9414000</v>
      </c>
      <c r="D60" t="s">
        <v>804</v>
      </c>
      <c r="E60" s="352"/>
      <c r="F60" s="352"/>
      <c r="G60" s="352"/>
      <c r="H60" s="33">
        <f t="shared" si="9"/>
        <v>0</v>
      </c>
      <c r="I60" s="352"/>
      <c r="J60" s="333" t="s">
        <v>124</v>
      </c>
      <c r="K60" s="8">
        <f t="shared" si="7"/>
        <v>617</v>
      </c>
    </row>
    <row r="61" spans="1:11">
      <c r="A61" s="8">
        <f t="shared" si="8"/>
        <v>618</v>
      </c>
      <c r="B61" s="30">
        <v>456.1</v>
      </c>
      <c r="C61">
        <v>4561000</v>
      </c>
      <c r="D61" t="s">
        <v>803</v>
      </c>
      <c r="E61" s="352">
        <v>4566310.1399999997</v>
      </c>
      <c r="F61" s="352">
        <v>4566310.1399999997</v>
      </c>
      <c r="G61" s="352"/>
      <c r="H61" s="33">
        <f t="shared" si="9"/>
        <v>4566310.1399999997</v>
      </c>
      <c r="I61" s="352"/>
      <c r="J61" s="333" t="s">
        <v>802</v>
      </c>
      <c r="K61" s="8">
        <f t="shared" si="7"/>
        <v>618</v>
      </c>
    </row>
    <row r="62" spans="1:11">
      <c r="A62" s="8">
        <f t="shared" si="8"/>
        <v>619</v>
      </c>
      <c r="B62" s="789">
        <v>456</v>
      </c>
      <c r="C62" s="790">
        <v>4560052</v>
      </c>
      <c r="D62" s="790" t="s">
        <v>820</v>
      </c>
      <c r="E62" s="352">
        <v>37673753.390000001</v>
      </c>
      <c r="F62" s="352"/>
      <c r="G62" s="352"/>
      <c r="H62" s="33"/>
      <c r="I62" s="352">
        <v>34493789.380000003</v>
      </c>
      <c r="J62" s="333"/>
      <c r="K62" s="8">
        <f t="shared" si="7"/>
        <v>619</v>
      </c>
    </row>
    <row r="63" spans="1:11">
      <c r="A63" s="8">
        <f t="shared" si="8"/>
        <v>620</v>
      </c>
      <c r="B63" s="351" t="s">
        <v>1393</v>
      </c>
      <c r="C63" s="49"/>
      <c r="D63" s="49"/>
      <c r="E63" s="352"/>
      <c r="F63" s="352"/>
      <c r="G63" s="352"/>
      <c r="H63" s="33"/>
      <c r="I63" s="352"/>
      <c r="J63" s="333"/>
      <c r="K63" s="8">
        <f t="shared" si="7"/>
        <v>620</v>
      </c>
    </row>
    <row r="65" spans="1:11">
      <c r="A65" s="8"/>
      <c r="B65" s="16" t="s">
        <v>125</v>
      </c>
      <c r="E65" s="333"/>
      <c r="K65" s="8"/>
    </row>
    <row r="66" spans="1:11">
      <c r="A66" s="8"/>
      <c r="B66" t="s">
        <v>801</v>
      </c>
      <c r="K66" s="8"/>
    </row>
    <row r="67" spans="1:11">
      <c r="A67" s="8"/>
      <c r="B67" t="s">
        <v>1436</v>
      </c>
      <c r="K67" s="8"/>
    </row>
    <row r="68" spans="1:11">
      <c r="B68" t="s">
        <v>1439</v>
      </c>
    </row>
    <row r="69" spans="1:11">
      <c r="B69" t="s">
        <v>1497</v>
      </c>
    </row>
    <row r="70" spans="1:11">
      <c r="B70" s="17" t="s">
        <v>2035</v>
      </c>
    </row>
  </sheetData>
  <printOptions horizontalCentered="1"/>
  <pageMargins left="1" right="1" top="1" bottom="1" header="0.5" footer="0.5"/>
  <pageSetup scale="55"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44"/>
  <sheetViews>
    <sheetView tabSelected="1" view="pageBreakPreview" topLeftCell="A16" zoomScaleSheetLayoutView="100" workbookViewId="0">
      <selection activeCell="C59" activeCellId="1" sqref="L63 C59"/>
    </sheetView>
  </sheetViews>
  <sheetFormatPr defaultColWidth="9.1796875" defaultRowHeight="14.5"/>
  <cols>
    <col min="1" max="1" width="5.1796875" bestFit="1" customWidth="1"/>
    <col min="2" max="2" width="72.54296875" customWidth="1"/>
    <col min="3" max="3" width="13.453125" bestFit="1" customWidth="1"/>
    <col min="4" max="4" width="14.26953125" customWidth="1"/>
    <col min="5" max="5" width="15.453125" customWidth="1"/>
    <col min="6" max="6" width="16.54296875" customWidth="1"/>
    <col min="7" max="7" width="4.7265625" bestFit="1" customWidth="1"/>
  </cols>
  <sheetData>
    <row r="1" spans="1:7">
      <c r="B1" s="12" t="s">
        <v>868</v>
      </c>
      <c r="C1" s="15"/>
      <c r="F1" s="15" t="str">
        <f>CONCATENATE("Prior Year: ",'1-BaseTRR'!$F$2)</f>
        <v>Prior Year: 2022</v>
      </c>
    </row>
    <row r="2" spans="1:7">
      <c r="B2" s="117" t="s">
        <v>193</v>
      </c>
      <c r="C2" s="15"/>
      <c r="D2" s="15"/>
      <c r="E2" s="15"/>
      <c r="F2" s="15"/>
    </row>
    <row r="3" spans="1:7">
      <c r="B3" s="142"/>
    </row>
    <row r="4" spans="1:7">
      <c r="A4" s="13"/>
      <c r="B4" s="358" t="s">
        <v>1145</v>
      </c>
      <c r="C4" s="354"/>
      <c r="D4" s="354"/>
      <c r="E4" s="354"/>
      <c r="F4" s="354"/>
      <c r="G4" s="13"/>
    </row>
    <row r="5" spans="1:7">
      <c r="A5" s="13" t="s">
        <v>122</v>
      </c>
      <c r="B5" s="13" t="s">
        <v>127</v>
      </c>
      <c r="C5" s="13" t="s">
        <v>79</v>
      </c>
      <c r="D5" s="13" t="s">
        <v>54</v>
      </c>
      <c r="E5" s="13"/>
      <c r="F5" s="13"/>
      <c r="G5" s="13" t="str">
        <f>A5</f>
        <v>Line</v>
      </c>
    </row>
    <row r="6" spans="1:7">
      <c r="A6" s="8">
        <v>100</v>
      </c>
      <c r="B6" t="s">
        <v>1141</v>
      </c>
      <c r="C6" s="22">
        <f>'20-RevenueCredits'!I10</f>
        <v>67852564.349999994</v>
      </c>
      <c r="D6" s="6" t="s">
        <v>1366</v>
      </c>
      <c r="G6" s="8">
        <f>A6</f>
        <v>100</v>
      </c>
    </row>
    <row r="7" spans="1:7">
      <c r="A7" s="8"/>
      <c r="C7" s="33"/>
      <c r="G7" s="8"/>
    </row>
    <row r="8" spans="1:7">
      <c r="A8" s="8">
        <f>A6+1</f>
        <v>101</v>
      </c>
      <c r="B8" t="s">
        <v>1142</v>
      </c>
      <c r="C8" s="51">
        <v>19545613.289999999</v>
      </c>
      <c r="D8" s="564" t="s">
        <v>1940</v>
      </c>
      <c r="E8" s="564"/>
      <c r="F8" s="564"/>
      <c r="G8" s="8">
        <f>A8</f>
        <v>101</v>
      </c>
    </row>
    <row r="9" spans="1:7">
      <c r="A9" s="8">
        <f>A8+1</f>
        <v>102</v>
      </c>
      <c r="B9" t="s">
        <v>1143</v>
      </c>
      <c r="C9" s="48">
        <v>868474.05763331149</v>
      </c>
      <c r="D9" s="564" t="s">
        <v>1941</v>
      </c>
      <c r="E9" s="564"/>
      <c r="F9" s="564"/>
      <c r="G9" s="8">
        <f>A9</f>
        <v>102</v>
      </c>
    </row>
    <row r="10" spans="1:7">
      <c r="A10" s="8">
        <f>A9+1</f>
        <v>103</v>
      </c>
      <c r="B10" s="12" t="s">
        <v>1144</v>
      </c>
      <c r="C10" s="24">
        <f>C8+C9</f>
        <v>20414087.34763331</v>
      </c>
      <c r="D10" t="str">
        <f>"Line "&amp;A8&amp;" + Line "&amp;A9&amp;""</f>
        <v>Line 101 + Line 102</v>
      </c>
      <c r="G10" s="8">
        <f>A10</f>
        <v>103</v>
      </c>
    </row>
    <row r="11" spans="1:7">
      <c r="A11" s="8"/>
      <c r="C11" s="112"/>
      <c r="G11" s="8"/>
    </row>
    <row r="12" spans="1:7">
      <c r="A12" s="8"/>
      <c r="B12" s="358" t="s">
        <v>1140</v>
      </c>
      <c r="C12" s="354"/>
      <c r="D12" s="354"/>
      <c r="E12" s="354"/>
      <c r="F12" s="354"/>
      <c r="G12" s="13"/>
    </row>
    <row r="13" spans="1:7">
      <c r="A13" s="8"/>
      <c r="B13" s="357"/>
      <c r="C13" s="13" t="s">
        <v>98</v>
      </c>
      <c r="D13" s="13" t="s">
        <v>99</v>
      </c>
      <c r="E13" s="13" t="s">
        <v>100</v>
      </c>
      <c r="F13" s="13" t="s">
        <v>101</v>
      </c>
      <c r="G13" s="13"/>
    </row>
    <row r="14" spans="1:7">
      <c r="A14" s="8"/>
      <c r="B14" s="357"/>
      <c r="C14" s="30" t="s">
        <v>123</v>
      </c>
      <c r="D14" s="30" t="s">
        <v>124</v>
      </c>
      <c r="E14" s="30" t="s">
        <v>867</v>
      </c>
      <c r="F14" s="30" t="s">
        <v>166</v>
      </c>
      <c r="G14" s="13"/>
    </row>
    <row r="15" spans="1:7">
      <c r="A15" s="8"/>
      <c r="B15" s="357"/>
      <c r="C15" s="13"/>
      <c r="D15" s="13"/>
      <c r="E15" s="13"/>
      <c r="F15" s="8" t="s">
        <v>866</v>
      </c>
      <c r="G15" s="13"/>
    </row>
    <row r="16" spans="1:7">
      <c r="A16" s="13" t="s">
        <v>122</v>
      </c>
      <c r="B16" s="13" t="s">
        <v>865</v>
      </c>
      <c r="C16" s="13" t="s">
        <v>191</v>
      </c>
      <c r="D16" s="13" t="s">
        <v>864</v>
      </c>
      <c r="E16" s="13" t="s">
        <v>863</v>
      </c>
      <c r="F16" s="13" t="s">
        <v>863</v>
      </c>
      <c r="G16" s="13" t="s">
        <v>122</v>
      </c>
    </row>
    <row r="17" spans="1:7">
      <c r="A17" s="8">
        <v>200</v>
      </c>
      <c r="B17" s="14" t="s">
        <v>354</v>
      </c>
      <c r="C17" s="555">
        <f>SUM(C18:C23)</f>
        <v>67852564.349999994</v>
      </c>
      <c r="D17" s="555">
        <f t="shared" ref="D17:F17" si="0">SUM(D18:D23)</f>
        <v>20414087.34763331</v>
      </c>
      <c r="E17" s="555">
        <f t="shared" si="0"/>
        <v>47438477.002366692</v>
      </c>
      <c r="F17" s="555">
        <f t="shared" si="0"/>
        <v>47438477.002366692</v>
      </c>
      <c r="G17" s="8">
        <f t="shared" ref="G17:G24" si="1">A17</f>
        <v>200</v>
      </c>
    </row>
    <row r="18" spans="1:7">
      <c r="A18" s="8">
        <f>A17+1</f>
        <v>201</v>
      </c>
      <c r="B18" t="s">
        <v>862</v>
      </c>
      <c r="C18" s="51">
        <v>9918510.2799999993</v>
      </c>
      <c r="D18" s="51">
        <v>1530850.2474741153</v>
      </c>
      <c r="E18" s="32">
        <f t="shared" ref="E18:E23" si="2">C18-D18</f>
        <v>8387660.032525884</v>
      </c>
      <c r="F18" s="32">
        <f t="shared" ref="F18:F23" si="3">IF(E18&gt;0,E18,0)</f>
        <v>8387660.032525884</v>
      </c>
      <c r="G18" s="8">
        <f t="shared" si="1"/>
        <v>201</v>
      </c>
    </row>
    <row r="19" spans="1:7">
      <c r="A19" s="8">
        <f>A18+1</f>
        <v>202</v>
      </c>
      <c r="B19" t="s">
        <v>861</v>
      </c>
      <c r="C19" s="51">
        <v>20815901.16</v>
      </c>
      <c r="D19" s="51">
        <v>16726987.372155663</v>
      </c>
      <c r="E19" s="32">
        <f t="shared" si="2"/>
        <v>4088913.7878443375</v>
      </c>
      <c r="F19" s="32">
        <f t="shared" si="3"/>
        <v>4088913.7878443375</v>
      </c>
      <c r="G19" s="8">
        <f t="shared" si="1"/>
        <v>202</v>
      </c>
    </row>
    <row r="20" spans="1:7">
      <c r="A20" s="8">
        <f>A19+1</f>
        <v>203</v>
      </c>
      <c r="B20" t="s">
        <v>860</v>
      </c>
      <c r="C20" s="51">
        <v>0</v>
      </c>
      <c r="D20" s="51">
        <v>0</v>
      </c>
      <c r="E20" s="32">
        <f t="shared" si="2"/>
        <v>0</v>
      </c>
      <c r="F20" s="32">
        <f t="shared" si="3"/>
        <v>0</v>
      </c>
      <c r="G20" s="8">
        <f t="shared" si="1"/>
        <v>203</v>
      </c>
    </row>
    <row r="21" spans="1:7">
      <c r="A21" s="8">
        <f>A20+1</f>
        <v>204</v>
      </c>
      <c r="B21" t="s">
        <v>859</v>
      </c>
      <c r="C21" s="51">
        <v>0</v>
      </c>
      <c r="D21" s="51">
        <v>0</v>
      </c>
      <c r="E21" s="32">
        <f t="shared" si="2"/>
        <v>0</v>
      </c>
      <c r="F21" s="32">
        <f t="shared" si="3"/>
        <v>0</v>
      </c>
      <c r="G21" s="8">
        <f t="shared" si="1"/>
        <v>204</v>
      </c>
    </row>
    <row r="22" spans="1:7">
      <c r="A22" s="8">
        <f>A21+1</f>
        <v>205</v>
      </c>
      <c r="C22" s="51">
        <v>2624363.5299999998</v>
      </c>
      <c r="D22" s="51">
        <v>2156249.7280035331</v>
      </c>
      <c r="E22" s="32">
        <f t="shared" si="2"/>
        <v>468113.8019964667</v>
      </c>
      <c r="F22" s="32">
        <f t="shared" si="3"/>
        <v>468113.8019964667</v>
      </c>
      <c r="G22" s="8">
        <f t="shared" si="1"/>
        <v>205</v>
      </c>
    </row>
    <row r="23" spans="1:7">
      <c r="A23" s="8">
        <f t="shared" ref="A23:A24" si="4">A22+1</f>
        <v>206</v>
      </c>
      <c r="B23" s="356" t="s">
        <v>1942</v>
      </c>
      <c r="C23" s="51">
        <v>34493789.380000003</v>
      </c>
      <c r="D23" s="51">
        <v>0</v>
      </c>
      <c r="E23" s="32">
        <f t="shared" si="2"/>
        <v>34493789.380000003</v>
      </c>
      <c r="F23" s="32">
        <f t="shared" si="3"/>
        <v>34493789.380000003</v>
      </c>
      <c r="G23" s="8">
        <f t="shared" si="1"/>
        <v>206</v>
      </c>
    </row>
    <row r="24" spans="1:7">
      <c r="A24" s="8">
        <f t="shared" si="4"/>
        <v>207</v>
      </c>
      <c r="B24" s="356" t="s">
        <v>632</v>
      </c>
      <c r="C24" s="499"/>
      <c r="D24" s="499"/>
      <c r="E24" s="500"/>
      <c r="F24" s="485"/>
      <c r="G24" s="8">
        <f t="shared" si="1"/>
        <v>207</v>
      </c>
    </row>
    <row r="25" spans="1:7">
      <c r="A25" s="8"/>
      <c r="B25" s="13"/>
      <c r="C25" s="13"/>
      <c r="D25" s="13"/>
      <c r="E25" s="13"/>
      <c r="F25" s="13"/>
      <c r="G25" s="13"/>
    </row>
    <row r="26" spans="1:7">
      <c r="A26" s="8"/>
      <c r="B26" s="355" t="s">
        <v>858</v>
      </c>
      <c r="C26" s="54"/>
      <c r="D26" s="54"/>
      <c r="E26" s="54"/>
      <c r="F26" s="54"/>
      <c r="G26" s="30"/>
    </row>
    <row r="27" spans="1:7">
      <c r="A27" s="13" t="s">
        <v>122</v>
      </c>
      <c r="B27" s="13" t="s">
        <v>127</v>
      </c>
      <c r="C27" s="13" t="s">
        <v>79</v>
      </c>
      <c r="D27" s="13" t="s">
        <v>54</v>
      </c>
      <c r="E27" s="13"/>
      <c r="F27" s="13"/>
      <c r="G27" s="13" t="str">
        <f t="shared" ref="G27:G32" si="5">A27</f>
        <v>Line</v>
      </c>
    </row>
    <row r="28" spans="1:7">
      <c r="A28" s="8">
        <v>300</v>
      </c>
      <c r="B28" t="s">
        <v>857</v>
      </c>
      <c r="C28" s="32">
        <f>F17</f>
        <v>47438477.002366692</v>
      </c>
      <c r="D28" t="str">
        <f>"Line "&amp;A17&amp;", col 4"</f>
        <v>Line 200, col 4</v>
      </c>
      <c r="G28" s="8">
        <f t="shared" si="5"/>
        <v>300</v>
      </c>
    </row>
    <row r="29" spans="1:7">
      <c r="A29" s="8">
        <f>A28+1</f>
        <v>301</v>
      </c>
      <c r="C29" s="28">
        <f>'1-BaseTRR'!D99</f>
        <v>0.27983599999999997</v>
      </c>
      <c r="D29" t="str">
        <f>"1-BaseTRR, L. "&amp;'1-BaseTRR'!A99&amp;""</f>
        <v>1-BaseTRR, L. 402</v>
      </c>
      <c r="G29" s="8">
        <f t="shared" si="5"/>
        <v>301</v>
      </c>
    </row>
    <row r="30" spans="1:7">
      <c r="A30" s="8">
        <f>A29+1</f>
        <v>302</v>
      </c>
      <c r="B30" t="s">
        <v>856</v>
      </c>
      <c r="C30">
        <v>1</v>
      </c>
      <c r="D30" s="21" t="s">
        <v>855</v>
      </c>
      <c r="E30" s="21"/>
      <c r="F30" s="21"/>
      <c r="G30" s="8">
        <f t="shared" si="5"/>
        <v>302</v>
      </c>
    </row>
    <row r="31" spans="1:7">
      <c r="A31" s="8">
        <f>A30+1</f>
        <v>303</v>
      </c>
      <c r="B31" t="s">
        <v>854</v>
      </c>
      <c r="C31" s="28">
        <f>1/(1+C30-C30*C29)</f>
        <v>0.58133991875193292</v>
      </c>
      <c r="D31" t="str">
        <f>"1 / [1 + Line "&amp;A30&amp;" - (Line "&amp;A30&amp;" * Line "&amp;A29&amp;")]"</f>
        <v>1 / [1 + Line 302 - (Line 302 * Line 301)]</v>
      </c>
      <c r="G31" s="8">
        <f t="shared" si="5"/>
        <v>303</v>
      </c>
    </row>
    <row r="32" spans="1:7">
      <c r="A32" s="8">
        <f>A31+1</f>
        <v>304</v>
      </c>
      <c r="B32" t="s">
        <v>853</v>
      </c>
      <c r="C32" s="28">
        <f>1-C31</f>
        <v>0.41866008124806708</v>
      </c>
      <c r="D32" t="str">
        <f>"1 - Line "&amp;A31&amp;""</f>
        <v>1 - Line 303</v>
      </c>
      <c r="G32" s="8">
        <f t="shared" si="5"/>
        <v>304</v>
      </c>
    </row>
    <row r="33" spans="1:7">
      <c r="A33" s="8"/>
      <c r="G33" s="8"/>
    </row>
    <row r="34" spans="1:7">
      <c r="A34" s="8"/>
      <c r="B34" s="355" t="s">
        <v>852</v>
      </c>
      <c r="C34" s="54"/>
      <c r="D34" s="54"/>
      <c r="E34" s="54"/>
      <c r="F34" s="54"/>
      <c r="G34" s="8"/>
    </row>
    <row r="35" spans="1:7">
      <c r="A35" s="13" t="s">
        <v>122</v>
      </c>
      <c r="B35" s="13" t="s">
        <v>127</v>
      </c>
      <c r="C35" s="13" t="s">
        <v>79</v>
      </c>
      <c r="D35" s="13" t="s">
        <v>54</v>
      </c>
      <c r="E35" s="13"/>
      <c r="F35" s="13"/>
      <c r="G35" s="13" t="str">
        <f>A35</f>
        <v>Line</v>
      </c>
    </row>
    <row r="36" spans="1:7">
      <c r="A36" s="8">
        <v>400</v>
      </c>
      <c r="B36" t="s">
        <v>851</v>
      </c>
      <c r="C36" s="32">
        <f>C31*C28</f>
        <v>27577880.366271291</v>
      </c>
      <c r="D36" t="str">
        <f>"Line "&amp;A28&amp;" * Line "&amp;A31&amp;""</f>
        <v>Line 300 * Line 303</v>
      </c>
      <c r="G36" s="8">
        <f>A36</f>
        <v>400</v>
      </c>
    </row>
    <row r="37" spans="1:7">
      <c r="A37" s="8">
        <f>A36+1</f>
        <v>401</v>
      </c>
      <c r="B37" t="s">
        <v>850</v>
      </c>
      <c r="C37" s="32">
        <f>C36*C29</f>
        <v>7717283.7301758919</v>
      </c>
      <c r="D37" t="str">
        <f>"Line "&amp;A36&amp;" * Line "&amp;A29&amp;""</f>
        <v>Line 400 * Line 301</v>
      </c>
      <c r="G37" s="8">
        <f>A37</f>
        <v>401</v>
      </c>
    </row>
    <row r="38" spans="1:7">
      <c r="A38" s="8">
        <f>A37+1</f>
        <v>402</v>
      </c>
      <c r="B38" t="s">
        <v>849</v>
      </c>
      <c r="C38" s="32">
        <f>C36-C37</f>
        <v>19860596.636095397</v>
      </c>
      <c r="D38" t="str">
        <f>"Line "&amp;A36&amp;" - Line "&amp;A37&amp;""</f>
        <v>Line 400 - Line 401</v>
      </c>
      <c r="G38" s="8">
        <f>A38</f>
        <v>402</v>
      </c>
    </row>
    <row r="39" spans="1:7">
      <c r="A39" s="8">
        <f>A38+1</f>
        <v>403</v>
      </c>
      <c r="B39" t="s">
        <v>848</v>
      </c>
      <c r="C39" s="32">
        <f>C32*C28</f>
        <v>19860596.636095401</v>
      </c>
      <c r="D39" t="str">
        <f>"Line "&amp;A32&amp;" * Line "&amp;A28&amp;""</f>
        <v>Line 304 * Line 300</v>
      </c>
      <c r="G39" s="8">
        <f>A39</f>
        <v>403</v>
      </c>
    </row>
    <row r="41" spans="1:7">
      <c r="B41" s="16" t="s">
        <v>125</v>
      </c>
    </row>
    <row r="42" spans="1:7">
      <c r="B42" t="s">
        <v>1272</v>
      </c>
    </row>
    <row r="43" spans="1:7">
      <c r="B43" t="s">
        <v>1273</v>
      </c>
    </row>
    <row r="44" spans="1:7">
      <c r="B44" t="s">
        <v>847</v>
      </c>
    </row>
  </sheetData>
  <printOptions horizontalCentered="1"/>
  <pageMargins left="1" right="1" top="1" bottom="1" header="0.5" footer="0.5"/>
  <pageSetup scale="80"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2"/>
  <sheetViews>
    <sheetView view="pageBreakPreview" topLeftCell="A7" zoomScale="60" workbookViewId="0">
      <selection activeCell="L63" sqref="L63"/>
    </sheetView>
  </sheetViews>
  <sheetFormatPr defaultRowHeight="14.5"/>
  <cols>
    <col min="1" max="1" width="19.7265625" customWidth="1"/>
    <col min="2" max="2" width="26.453125" bestFit="1" customWidth="1"/>
    <col min="3" max="3" width="28.54296875" bestFit="1" customWidth="1"/>
    <col min="4" max="4" width="97.26953125" bestFit="1" customWidth="1"/>
    <col min="5" max="9" width="9.1796875" customWidth="1"/>
  </cols>
  <sheetData>
    <row r="1" spans="1:9">
      <c r="A1" s="12" t="s">
        <v>1241</v>
      </c>
    </row>
    <row r="3" spans="1:9">
      <c r="A3" s="12" t="s">
        <v>1198</v>
      </c>
    </row>
    <row r="4" spans="1:9">
      <c r="A4" s="812" t="s">
        <v>1240</v>
      </c>
      <c r="B4" s="812"/>
      <c r="C4" s="812"/>
      <c r="D4" s="812"/>
      <c r="E4" s="44"/>
      <c r="F4" s="44"/>
      <c r="G4" s="44"/>
      <c r="H4" s="44"/>
      <c r="I4" s="44"/>
    </row>
    <row r="6" spans="1:9">
      <c r="A6" s="12" t="s">
        <v>1197</v>
      </c>
    </row>
    <row r="7" spans="1:9">
      <c r="A7" s="812" t="s">
        <v>1206</v>
      </c>
      <c r="B7" s="812"/>
      <c r="C7" s="812"/>
      <c r="D7" s="812"/>
      <c r="E7" s="44"/>
      <c r="F7" s="44"/>
      <c r="G7" s="44"/>
      <c r="H7" s="44"/>
      <c r="I7" s="44"/>
    </row>
    <row r="9" spans="1:9">
      <c r="A9" s="12" t="s">
        <v>1199</v>
      </c>
    </row>
    <row r="10" spans="1:9" ht="29.25" customHeight="1">
      <c r="A10" s="812" t="s">
        <v>1200</v>
      </c>
      <c r="B10" s="812"/>
      <c r="C10" s="812"/>
      <c r="D10" s="812"/>
      <c r="E10" s="44"/>
      <c r="F10" s="44"/>
      <c r="G10" s="44"/>
      <c r="H10" s="44"/>
      <c r="I10" s="44"/>
    </row>
    <row r="12" spans="1:9">
      <c r="A12" s="12" t="s">
        <v>1201</v>
      </c>
    </row>
    <row r="13" spans="1:9" ht="45.75" customHeight="1">
      <c r="A13" s="812" t="s">
        <v>1202</v>
      </c>
      <c r="B13" s="812"/>
      <c r="C13" s="812"/>
      <c r="D13" s="812"/>
      <c r="E13" s="44"/>
      <c r="F13" s="44"/>
      <c r="G13" s="44"/>
      <c r="H13" s="44"/>
      <c r="I13" s="44"/>
    </row>
    <row r="15" spans="1:9">
      <c r="A15" s="12" t="s">
        <v>1203</v>
      </c>
    </row>
    <row r="16" spans="1:9" ht="30" customHeight="1">
      <c r="A16" s="812" t="s">
        <v>1204</v>
      </c>
      <c r="B16" s="812"/>
      <c r="C16" s="812"/>
      <c r="D16" s="812"/>
      <c r="E16" s="44"/>
      <c r="F16" s="44"/>
      <c r="G16" s="44"/>
      <c r="H16" s="44"/>
      <c r="I16" s="44"/>
    </row>
    <row r="17" spans="1:9">
      <c r="A17" s="7"/>
      <c r="B17" s="7"/>
      <c r="C17" s="7"/>
      <c r="D17" s="7"/>
      <c r="E17" s="7"/>
      <c r="F17" s="7"/>
      <c r="G17" s="7"/>
      <c r="H17" s="7"/>
      <c r="I17" s="7"/>
    </row>
    <row r="18" spans="1:9" ht="30.75" customHeight="1">
      <c r="A18" s="812" t="s">
        <v>1205</v>
      </c>
      <c r="B18" s="812"/>
      <c r="C18" s="812"/>
      <c r="D18" s="812"/>
      <c r="E18" s="44"/>
      <c r="F18" s="44"/>
      <c r="G18" s="44"/>
      <c r="H18" s="44"/>
      <c r="I18" s="44"/>
    </row>
    <row r="20" spans="1:9">
      <c r="A20" s="12" t="s">
        <v>1242</v>
      </c>
    </row>
    <row r="21" spans="1:9">
      <c r="A21" s="417" t="s">
        <v>1207</v>
      </c>
      <c r="B21" s="417" t="s">
        <v>1208</v>
      </c>
      <c r="C21" s="417" t="s">
        <v>1209</v>
      </c>
      <c r="D21" s="417" t="s">
        <v>1210</v>
      </c>
    </row>
    <row r="22" spans="1:9">
      <c r="A22" s="420" t="s">
        <v>1129</v>
      </c>
      <c r="B22" s="420" t="s">
        <v>1211</v>
      </c>
      <c r="C22" s="420" t="s">
        <v>1212</v>
      </c>
      <c r="D22" s="420"/>
    </row>
    <row r="23" spans="1:9">
      <c r="A23" s="419"/>
      <c r="B23" s="419"/>
      <c r="C23" s="419"/>
      <c r="D23" s="419"/>
    </row>
    <row r="24" spans="1:9">
      <c r="A24" s="420" t="s">
        <v>1213</v>
      </c>
      <c r="B24" s="420" t="s">
        <v>1214</v>
      </c>
      <c r="C24" s="420" t="s">
        <v>1215</v>
      </c>
      <c r="D24" s="420"/>
    </row>
    <row r="25" spans="1:9">
      <c r="A25" s="419"/>
      <c r="B25" s="419"/>
      <c r="C25" s="419" t="s">
        <v>1216</v>
      </c>
      <c r="D25" s="419"/>
    </row>
    <row r="26" spans="1:9">
      <c r="A26" s="420" t="s">
        <v>122</v>
      </c>
      <c r="B26" s="420" t="s">
        <v>1218</v>
      </c>
      <c r="C26" s="420" t="s">
        <v>1219</v>
      </c>
      <c r="D26" s="420" t="s">
        <v>1220</v>
      </c>
    </row>
    <row r="27" spans="1:9">
      <c r="A27" s="419" t="s">
        <v>1217</v>
      </c>
      <c r="B27" s="419"/>
      <c r="C27" s="419"/>
      <c r="D27" s="419"/>
    </row>
    <row r="28" spans="1:9">
      <c r="A28" s="420" t="s">
        <v>122</v>
      </c>
      <c r="B28" s="420" t="s">
        <v>1222</v>
      </c>
      <c r="C28" s="420" t="s">
        <v>1223</v>
      </c>
      <c r="D28" s="420" t="s">
        <v>1224</v>
      </c>
    </row>
    <row r="29" spans="1:9">
      <c r="A29" s="419" t="s">
        <v>1221</v>
      </c>
      <c r="B29" s="419"/>
      <c r="C29" s="419"/>
      <c r="D29" s="419"/>
    </row>
    <row r="30" spans="1:9">
      <c r="A30" s="420" t="s">
        <v>1225</v>
      </c>
      <c r="B30" s="420" t="s">
        <v>1226</v>
      </c>
      <c r="C30" s="420" t="s">
        <v>123</v>
      </c>
      <c r="D30" s="420"/>
    </row>
    <row r="31" spans="1:9">
      <c r="A31" s="418"/>
      <c r="B31" s="418"/>
      <c r="C31" s="418" t="s">
        <v>1227</v>
      </c>
      <c r="D31" s="418"/>
    </row>
    <row r="32" spans="1:9">
      <c r="A32" s="419"/>
      <c r="B32" s="419"/>
      <c r="C32" s="419" t="s">
        <v>1228</v>
      </c>
      <c r="D32" s="419"/>
    </row>
    <row r="33" spans="1:4">
      <c r="A33" s="420" t="s">
        <v>1229</v>
      </c>
      <c r="B33" s="420" t="s">
        <v>1230</v>
      </c>
      <c r="C33" s="420" t="s">
        <v>1231</v>
      </c>
      <c r="D33" s="420" t="s">
        <v>1233</v>
      </c>
    </row>
    <row r="34" spans="1:4">
      <c r="A34" s="419"/>
      <c r="B34" s="419"/>
      <c r="C34" s="419" t="s">
        <v>1232</v>
      </c>
      <c r="D34" s="419"/>
    </row>
    <row r="35" spans="1:4">
      <c r="A35" s="420" t="s">
        <v>1164</v>
      </c>
      <c r="B35" s="420" t="s">
        <v>1234</v>
      </c>
      <c r="C35" s="420" t="s">
        <v>1178</v>
      </c>
      <c r="D35" s="420" t="s">
        <v>1235</v>
      </c>
    </row>
    <row r="36" spans="1:4">
      <c r="A36" s="419"/>
      <c r="B36" s="419"/>
      <c r="C36" s="419"/>
      <c r="D36" s="419"/>
    </row>
    <row r="37" spans="1:4">
      <c r="A37" s="420" t="s">
        <v>1236</v>
      </c>
      <c r="B37" s="420" t="s">
        <v>1237</v>
      </c>
      <c r="C37" s="420" t="s">
        <v>1238</v>
      </c>
      <c r="D37" s="420" t="s">
        <v>1239</v>
      </c>
    </row>
    <row r="38" spans="1:4">
      <c r="A38" s="418"/>
      <c r="B38" s="418"/>
      <c r="C38" s="418"/>
      <c r="D38" s="418"/>
    </row>
    <row r="39" spans="1:4">
      <c r="A39" s="418"/>
      <c r="B39" s="418"/>
      <c r="C39" s="418" t="s">
        <v>1373</v>
      </c>
      <c r="D39" s="418"/>
    </row>
    <row r="40" spans="1:4">
      <c r="A40" s="419"/>
      <c r="B40" s="419"/>
      <c r="C40" s="419"/>
      <c r="D40" s="419"/>
    </row>
    <row r="41" spans="1:4">
      <c r="A41" s="420" t="s">
        <v>1369</v>
      </c>
      <c r="B41" s="516" t="s">
        <v>632</v>
      </c>
      <c r="C41" s="517" t="s">
        <v>632</v>
      </c>
      <c r="D41" s="810" t="s">
        <v>1560</v>
      </c>
    </row>
    <row r="42" spans="1:4">
      <c r="A42" s="419"/>
      <c r="B42" s="234"/>
      <c r="C42" s="419"/>
      <c r="D42" s="811"/>
    </row>
  </sheetData>
  <mergeCells count="7">
    <mergeCell ref="D41:D42"/>
    <mergeCell ref="A16:D16"/>
    <mergeCell ref="A18:D18"/>
    <mergeCell ref="A4:D4"/>
    <mergeCell ref="A7:D7"/>
    <mergeCell ref="A10:D10"/>
    <mergeCell ref="A13:D13"/>
  </mergeCells>
  <printOptions horizontalCentered="1"/>
  <pageMargins left="1" right="1" top="1" bottom="1" header="0.5" footer="0.5"/>
  <pageSetup scale="67" fitToHeight="0" orientation="landscape" r:id="rId1"/>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F25"/>
  <sheetViews>
    <sheetView tabSelected="1" view="pageBreakPreview" zoomScale="115" zoomScaleSheetLayoutView="115" workbookViewId="0">
      <selection activeCell="C59" activeCellId="1" sqref="L63 C59"/>
    </sheetView>
  </sheetViews>
  <sheetFormatPr defaultColWidth="9.1796875" defaultRowHeight="14.5"/>
  <cols>
    <col min="1" max="1" width="4.7265625" bestFit="1" customWidth="1"/>
    <col min="2" max="2" width="34.81640625" bestFit="1" customWidth="1"/>
    <col min="3" max="3" width="9.453125" customWidth="1"/>
    <col min="4" max="4" width="46" customWidth="1"/>
    <col min="5" max="5" width="46.1796875" customWidth="1"/>
    <col min="6" max="6" width="4.7265625" bestFit="1" customWidth="1"/>
  </cols>
  <sheetData>
    <row r="1" spans="1:6">
      <c r="B1" s="142" t="s">
        <v>872</v>
      </c>
      <c r="D1" s="14"/>
      <c r="E1" s="15" t="str">
        <f>CONCATENATE("Prior Year: ",'1-BaseTRR'!$F$2)</f>
        <v>Prior Year: 2022</v>
      </c>
    </row>
    <row r="2" spans="1:6">
      <c r="B2" s="117" t="s">
        <v>193</v>
      </c>
      <c r="D2" s="14"/>
      <c r="E2" s="15"/>
    </row>
    <row r="3" spans="1:6">
      <c r="B3" s="142"/>
    </row>
    <row r="4" spans="1:6">
      <c r="B4" s="57" t="s">
        <v>1469</v>
      </c>
      <c r="C4" s="54"/>
      <c r="D4" s="54"/>
      <c r="E4" s="54"/>
    </row>
    <row r="5" spans="1:6">
      <c r="A5" s="13" t="s">
        <v>122</v>
      </c>
      <c r="B5" s="13" t="s">
        <v>127</v>
      </c>
      <c r="C5" s="13" t="s">
        <v>871</v>
      </c>
      <c r="D5" s="13" t="s">
        <v>294</v>
      </c>
      <c r="E5" s="13" t="s">
        <v>11</v>
      </c>
      <c r="F5" s="13" t="str">
        <f>A5</f>
        <v>Line</v>
      </c>
    </row>
    <row r="6" spans="1:6">
      <c r="A6" s="131">
        <v>100</v>
      </c>
      <c r="B6" t="s">
        <v>56</v>
      </c>
      <c r="C6" s="50">
        <v>0.21</v>
      </c>
      <c r="D6" s="6" t="s">
        <v>870</v>
      </c>
      <c r="E6" s="414"/>
      <c r="F6" s="131">
        <f>A6</f>
        <v>100</v>
      </c>
    </row>
    <row r="7" spans="1:6">
      <c r="A7" s="131">
        <f>A6+1</f>
        <v>101</v>
      </c>
      <c r="B7" t="s">
        <v>1404</v>
      </c>
      <c r="C7" s="50">
        <v>8.8400000000000006E-2</v>
      </c>
      <c r="D7" t="s">
        <v>869</v>
      </c>
      <c r="E7" s="414"/>
      <c r="F7" s="131">
        <f>A7</f>
        <v>101</v>
      </c>
    </row>
    <row r="8" spans="1:6" ht="30.75" customHeight="1">
      <c r="A8" s="131">
        <v>102</v>
      </c>
      <c r="B8" t="s">
        <v>1401</v>
      </c>
      <c r="C8" s="41">
        <f>-C6*C7</f>
        <v>-1.8564000000000001E-2</v>
      </c>
      <c r="D8" s="44" t="s">
        <v>1406</v>
      </c>
      <c r="E8" s="306" t="s">
        <v>1405</v>
      </c>
      <c r="F8" s="131">
        <v>102</v>
      </c>
    </row>
    <row r="9" spans="1:6">
      <c r="A9" s="131">
        <v>103</v>
      </c>
      <c r="B9" s="12" t="s">
        <v>1402</v>
      </c>
      <c r="C9" s="535">
        <f>SUM(C6:C8)</f>
        <v>0.27983599999999997</v>
      </c>
      <c r="D9" t="s">
        <v>1403</v>
      </c>
      <c r="F9" s="131">
        <v>103</v>
      </c>
    </row>
    <row r="10" spans="1:6">
      <c r="A10" s="131"/>
      <c r="B10" s="12"/>
      <c r="C10" s="371"/>
      <c r="F10" s="131"/>
    </row>
    <row r="11" spans="1:6">
      <c r="A11" s="131"/>
      <c r="B11" s="57" t="s">
        <v>1481</v>
      </c>
      <c r="C11" s="54"/>
      <c r="D11" s="54"/>
      <c r="E11" s="54"/>
    </row>
    <row r="12" spans="1:6">
      <c r="A12" s="13" t="s">
        <v>122</v>
      </c>
      <c r="B12" s="13" t="s">
        <v>127</v>
      </c>
      <c r="C12" s="13" t="s">
        <v>871</v>
      </c>
      <c r="D12" s="13" t="s">
        <v>294</v>
      </c>
      <c r="E12" s="13" t="s">
        <v>11</v>
      </c>
      <c r="F12" s="13" t="str">
        <f>A12</f>
        <v>Line</v>
      </c>
    </row>
    <row r="13" spans="1:6">
      <c r="A13" s="131">
        <v>200</v>
      </c>
      <c r="B13" t="s">
        <v>56</v>
      </c>
      <c r="C13" s="50">
        <v>0.21</v>
      </c>
      <c r="D13" s="6" t="s">
        <v>870</v>
      </c>
      <c r="E13" s="414"/>
      <c r="F13" s="131">
        <f>A13</f>
        <v>200</v>
      </c>
    </row>
    <row r="14" spans="1:6">
      <c r="A14" s="131">
        <f>A13+1</f>
        <v>201</v>
      </c>
      <c r="B14" t="s">
        <v>1404</v>
      </c>
      <c r="C14" s="50">
        <v>8.8400000000000006E-2</v>
      </c>
      <c r="D14" t="s">
        <v>869</v>
      </c>
      <c r="E14" s="414"/>
      <c r="F14" s="131">
        <f>A14</f>
        <v>201</v>
      </c>
    </row>
    <row r="15" spans="1:6" ht="29">
      <c r="A15" s="131">
        <f>A14+1</f>
        <v>202</v>
      </c>
      <c r="B15" t="s">
        <v>1401</v>
      </c>
      <c r="C15" s="41">
        <f>-C13*C14</f>
        <v>-1.8564000000000001E-2</v>
      </c>
      <c r="D15" s="44" t="s">
        <v>1406</v>
      </c>
      <c r="E15" s="306" t="s">
        <v>1405</v>
      </c>
      <c r="F15" s="131">
        <f>A15</f>
        <v>202</v>
      </c>
    </row>
    <row r="16" spans="1:6">
      <c r="A16" s="131">
        <f>A15+1</f>
        <v>203</v>
      </c>
      <c r="B16" s="12" t="s">
        <v>1402</v>
      </c>
      <c r="C16" s="535">
        <f>SUM(C13:C15)</f>
        <v>0.27983599999999997</v>
      </c>
      <c r="D16" t="s">
        <v>1403</v>
      </c>
      <c r="F16" s="131">
        <f>A16</f>
        <v>203</v>
      </c>
    </row>
    <row r="25" spans="4:4">
      <c r="D25" s="17"/>
    </row>
  </sheetData>
  <printOptions horizontalCentered="1"/>
  <pageMargins left="1" right="1" top="1" bottom="1" header="0.5" footer="0.5"/>
  <pageSetup scale="77"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K68"/>
  <sheetViews>
    <sheetView tabSelected="1" view="pageBreakPreview" topLeftCell="A31" zoomScale="85" zoomScaleNormal="85" zoomScaleSheetLayoutView="85" zoomScalePageLayoutView="70" workbookViewId="0">
      <selection activeCell="C59" activeCellId="1" sqref="L63 C59"/>
    </sheetView>
  </sheetViews>
  <sheetFormatPr defaultColWidth="9.1796875" defaultRowHeight="14.5"/>
  <cols>
    <col min="1" max="1" width="4.54296875" bestFit="1" customWidth="1"/>
    <col min="2" max="2" width="43" customWidth="1"/>
    <col min="3" max="3" width="14.81640625" bestFit="1" customWidth="1"/>
    <col min="4" max="5" width="12.7265625" customWidth="1"/>
    <col min="6" max="6" width="40.54296875" customWidth="1"/>
    <col min="7" max="7" width="15.1796875" bestFit="1" customWidth="1"/>
    <col min="8" max="9" width="17.453125" customWidth="1"/>
    <col min="10" max="10" width="19.54296875" bestFit="1" customWidth="1"/>
    <col min="11" max="11" width="4.7265625" bestFit="1" customWidth="1"/>
  </cols>
  <sheetData>
    <row r="1" spans="1:11">
      <c r="A1" s="8"/>
      <c r="B1" s="14" t="s">
        <v>881</v>
      </c>
      <c r="E1" s="15"/>
      <c r="J1" s="15" t="str">
        <f>CONCATENATE("Prior Year: ",'1-BaseTRR'!$F$2)</f>
        <v>Prior Year: 2022</v>
      </c>
    </row>
    <row r="2" spans="1:11">
      <c r="A2" s="8"/>
      <c r="B2" s="117" t="s">
        <v>193</v>
      </c>
      <c r="E2" s="15"/>
      <c r="I2" s="15"/>
    </row>
    <row r="3" spans="1:11">
      <c r="A3" s="14"/>
    </row>
    <row r="4" spans="1:11">
      <c r="A4" s="8"/>
      <c r="B4" s="52" t="s">
        <v>880</v>
      </c>
      <c r="C4" s="53"/>
      <c r="D4" s="54"/>
      <c r="E4" s="54"/>
      <c r="F4" s="54"/>
      <c r="G4" s="54"/>
      <c r="H4" s="54"/>
      <c r="I4" s="54"/>
      <c r="J4" s="54"/>
    </row>
    <row r="5" spans="1:11">
      <c r="A5" s="8"/>
      <c r="B5" s="122" t="s">
        <v>98</v>
      </c>
      <c r="C5" s="122" t="s">
        <v>99</v>
      </c>
      <c r="D5" s="122" t="s">
        <v>100</v>
      </c>
      <c r="E5" s="122" t="s">
        <v>101</v>
      </c>
      <c r="F5" s="122" t="s">
        <v>102</v>
      </c>
      <c r="G5" s="122" t="s">
        <v>103</v>
      </c>
    </row>
    <row r="6" spans="1:11" ht="58">
      <c r="A6" s="13" t="s">
        <v>122</v>
      </c>
      <c r="B6" s="13" t="s">
        <v>127</v>
      </c>
      <c r="D6" s="168" t="s">
        <v>1413</v>
      </c>
      <c r="E6" s="168" t="s">
        <v>1414</v>
      </c>
      <c r="F6" s="13" t="s">
        <v>54</v>
      </c>
      <c r="G6" s="13" t="s">
        <v>11</v>
      </c>
      <c r="K6" s="13" t="str">
        <f>A6</f>
        <v>Line</v>
      </c>
    </row>
    <row r="7" spans="1:11">
      <c r="A7" s="131">
        <v>100</v>
      </c>
      <c r="B7" s="14" t="s">
        <v>879</v>
      </c>
      <c r="C7" s="14"/>
      <c r="D7" s="444">
        <v>20784382</v>
      </c>
      <c r="E7" s="444">
        <v>20784382</v>
      </c>
      <c r="F7" t="s">
        <v>1297</v>
      </c>
      <c r="G7" t="s">
        <v>123</v>
      </c>
      <c r="K7" s="131">
        <f>A7</f>
        <v>100</v>
      </c>
    </row>
    <row r="8" spans="1:11" ht="15" thickBot="1">
      <c r="A8" s="131">
        <f>A7+1</f>
        <v>101</v>
      </c>
      <c r="B8" s="14" t="s">
        <v>878</v>
      </c>
      <c r="E8" s="444">
        <v>22661819</v>
      </c>
      <c r="F8" t="s">
        <v>1297</v>
      </c>
      <c r="G8" s="241" t="s">
        <v>124</v>
      </c>
      <c r="K8" s="131">
        <f>A8</f>
        <v>101</v>
      </c>
    </row>
    <row r="9" spans="1:11" ht="15" thickBot="1">
      <c r="A9" s="131">
        <f>A8+1</f>
        <v>102</v>
      </c>
      <c r="B9" s="14" t="s">
        <v>877</v>
      </c>
      <c r="D9" s="557"/>
      <c r="E9" s="563">
        <f>+J60</f>
        <v>21794487.562613845</v>
      </c>
      <c r="F9" s="6" t="str">
        <f>CONCATENATE("Line ",A60,", ","col 9")</f>
        <v>Line 414, col 9</v>
      </c>
      <c r="G9" s="241"/>
      <c r="K9" s="131">
        <f>A9</f>
        <v>102</v>
      </c>
    </row>
    <row r="10" spans="1:11">
      <c r="A10" s="131"/>
      <c r="B10" s="14"/>
      <c r="C10" s="14"/>
      <c r="D10" s="32"/>
      <c r="E10" s="32"/>
      <c r="K10" s="131"/>
    </row>
    <row r="11" spans="1:11">
      <c r="A11" s="131"/>
      <c r="B11" s="52" t="s">
        <v>876</v>
      </c>
      <c r="C11" s="54"/>
      <c r="D11" s="54"/>
      <c r="E11" s="54"/>
      <c r="F11" s="54"/>
      <c r="G11" s="54"/>
      <c r="H11" s="54"/>
      <c r="I11" s="54"/>
      <c r="J11" s="54"/>
      <c r="K11" s="131"/>
    </row>
    <row r="12" spans="1:11">
      <c r="A12" s="13" t="s">
        <v>122</v>
      </c>
      <c r="B12" s="13" t="s">
        <v>127</v>
      </c>
      <c r="D12" s="13"/>
      <c r="E12" s="13"/>
      <c r="F12" s="13" t="s">
        <v>54</v>
      </c>
      <c r="G12" s="13" t="s">
        <v>11</v>
      </c>
      <c r="K12" s="13" t="str">
        <f>A12</f>
        <v>Line</v>
      </c>
    </row>
    <row r="13" spans="1:11">
      <c r="A13" s="131">
        <v>200</v>
      </c>
      <c r="B13" t="s">
        <v>56</v>
      </c>
      <c r="D13" s="31">
        <f>'22-TaxRates'!C6</f>
        <v>0.21</v>
      </c>
      <c r="E13" s="31">
        <f>'22-TaxRates'!C6</f>
        <v>0.21</v>
      </c>
      <c r="F13" t="s">
        <v>1012</v>
      </c>
      <c r="K13" s="131">
        <f>A13</f>
        <v>200</v>
      </c>
    </row>
    <row r="14" spans="1:11">
      <c r="A14" s="131">
        <f>A13+1</f>
        <v>201</v>
      </c>
      <c r="B14" t="s">
        <v>57</v>
      </c>
      <c r="D14" s="34">
        <f>'22-TaxRates'!C7</f>
        <v>8.8400000000000006E-2</v>
      </c>
      <c r="E14" s="34">
        <f>'22-TaxRates'!C7</f>
        <v>8.8400000000000006E-2</v>
      </c>
      <c r="F14" t="s">
        <v>1013</v>
      </c>
      <c r="K14" s="131">
        <f>A14</f>
        <v>201</v>
      </c>
    </row>
    <row r="15" spans="1:11">
      <c r="A15" s="131">
        <f>A14+1</f>
        <v>202</v>
      </c>
      <c r="B15" s="12" t="s">
        <v>58</v>
      </c>
      <c r="C15" s="12"/>
      <c r="D15" s="556">
        <f>(D13+D14)-(D13*D14)</f>
        <v>0.27983599999999997</v>
      </c>
      <c r="E15" s="556">
        <f>(E13+E14)-(E13*E14)</f>
        <v>0.27983599999999997</v>
      </c>
      <c r="F15" s="17" t="str">
        <f>"(Line "&amp;A13&amp;" + Line "&amp;A14&amp;") - (Line "&amp;A13&amp;" * Line "&amp;A14&amp;")"</f>
        <v>(Line 200 + Line 201) - (Line 200 * Line 201)</v>
      </c>
      <c r="K15" s="131">
        <f>A15</f>
        <v>202</v>
      </c>
    </row>
    <row r="16" spans="1:11">
      <c r="A16" s="131"/>
      <c r="K16" s="131"/>
    </row>
    <row r="17" spans="1:11">
      <c r="A17" s="131">
        <f>A15+1</f>
        <v>203</v>
      </c>
      <c r="B17" s="12" t="s">
        <v>60</v>
      </c>
      <c r="D17" s="367">
        <f>(((D22*D23)+D26)*(D24/(1-D24)))+D25/(1-D24)</f>
        <v>3029060.7883019834</v>
      </c>
      <c r="E17" s="367">
        <f>(((E22*E23)+E26)*(E24/(1-E24)))+E25/(1-E24)</f>
        <v>3049574.691327814</v>
      </c>
      <c r="K17" s="131">
        <f>A17</f>
        <v>203</v>
      </c>
    </row>
    <row r="18" spans="1:11">
      <c r="A18" s="131"/>
      <c r="D18" s="17"/>
      <c r="E18" s="17"/>
      <c r="K18" s="131"/>
    </row>
    <row r="19" spans="1:11">
      <c r="A19" s="131"/>
      <c r="B19" t="s">
        <v>1253</v>
      </c>
      <c r="K19" s="131"/>
    </row>
    <row r="20" spans="1:11">
      <c r="A20" s="131"/>
      <c r="K20" s="131"/>
    </row>
    <row r="21" spans="1:11">
      <c r="A21" s="131"/>
      <c r="B21" t="s">
        <v>61</v>
      </c>
      <c r="K21" s="131"/>
    </row>
    <row r="22" spans="1:11">
      <c r="A22" s="131">
        <f>A17+1</f>
        <v>204</v>
      </c>
      <c r="B22" s="35"/>
      <c r="C22" s="35"/>
      <c r="D22" s="33">
        <f>D7</f>
        <v>20784382</v>
      </c>
      <c r="E22" s="33">
        <f>+E9</f>
        <v>21794487.562613845</v>
      </c>
      <c r="F22" s="6" t="str">
        <f>CONCATENATE("Line ",A7," or ",A9)</f>
        <v>Line 100 or 102</v>
      </c>
      <c r="K22" s="131">
        <f>A22</f>
        <v>204</v>
      </c>
    </row>
    <row r="23" spans="1:11">
      <c r="A23" s="131">
        <f>A22+1</f>
        <v>205</v>
      </c>
      <c r="B23" s="18" t="s">
        <v>63</v>
      </c>
      <c r="C23" s="18"/>
      <c r="D23" s="31">
        <f>D32+D33</f>
        <v>5.2264807947588816E-2</v>
      </c>
      <c r="E23" s="31">
        <f>D32+D33</f>
        <v>5.2264807947588816E-2</v>
      </c>
      <c r="F23" s="6" t="str">
        <f>CONCATENATE("Line ",A32," + ","Line ",A33)</f>
        <v>Line 301 + Line 302</v>
      </c>
      <c r="K23" s="131">
        <f>A23</f>
        <v>205</v>
      </c>
    </row>
    <row r="24" spans="1:11">
      <c r="A24" s="131">
        <f>A23+1</f>
        <v>206</v>
      </c>
      <c r="B24" s="35" t="s">
        <v>64</v>
      </c>
      <c r="C24" s="35"/>
      <c r="D24" s="28">
        <f>+D15</f>
        <v>0.27983599999999997</v>
      </c>
      <c r="E24" s="28">
        <f>+D15</f>
        <v>0.27983599999999997</v>
      </c>
      <c r="F24" s="6" t="str">
        <f>CONCATENATE("Line ",A15)</f>
        <v>Line 202</v>
      </c>
      <c r="K24" s="131">
        <f>A24</f>
        <v>206</v>
      </c>
    </row>
    <row r="25" spans="1:11">
      <c r="A25" s="131">
        <f>A24+1</f>
        <v>207</v>
      </c>
      <c r="B25" s="35" t="s">
        <v>65</v>
      </c>
      <c r="C25" s="35"/>
      <c r="D25" s="444">
        <v>1877437</v>
      </c>
      <c r="E25" s="444">
        <v>1877437</v>
      </c>
      <c r="F25" t="s">
        <v>1297</v>
      </c>
      <c r="G25" t="s">
        <v>166</v>
      </c>
      <c r="K25" s="131">
        <f>A25</f>
        <v>207</v>
      </c>
    </row>
    <row r="26" spans="1:11">
      <c r="A26" s="131">
        <f>A25+1</f>
        <v>208</v>
      </c>
      <c r="B26" s="35" t="s">
        <v>137</v>
      </c>
      <c r="C26" s="35"/>
      <c r="D26" s="158">
        <v>0</v>
      </c>
      <c r="E26" s="158">
        <v>0</v>
      </c>
      <c r="K26" s="131">
        <f>A26</f>
        <v>208</v>
      </c>
    </row>
    <row r="27" spans="1:11">
      <c r="A27" s="131"/>
      <c r="B27" s="35"/>
      <c r="C27" s="35"/>
      <c r="D27" s="158"/>
      <c r="E27" s="158"/>
      <c r="K27" s="131"/>
    </row>
    <row r="28" spans="1:11">
      <c r="A28" s="131"/>
      <c r="B28" s="52" t="s">
        <v>875</v>
      </c>
      <c r="C28" s="54"/>
      <c r="D28" s="54"/>
      <c r="E28" s="54"/>
      <c r="F28" s="54"/>
      <c r="G28" s="54"/>
      <c r="H28" s="54"/>
      <c r="I28" s="54"/>
      <c r="J28" s="54"/>
      <c r="K28" s="131"/>
    </row>
    <row r="29" spans="1:11" ht="43.5">
      <c r="A29" s="13" t="s">
        <v>122</v>
      </c>
      <c r="B29" s="13"/>
      <c r="D29" s="168" t="s">
        <v>1415</v>
      </c>
      <c r="E29" s="168" t="s">
        <v>1416</v>
      </c>
      <c r="F29" s="13" t="s">
        <v>54</v>
      </c>
      <c r="G29" s="13" t="s">
        <v>11</v>
      </c>
      <c r="K29" s="13" t="str">
        <f>A29</f>
        <v>Line</v>
      </c>
    </row>
    <row r="30" spans="1:11">
      <c r="A30" s="131"/>
      <c r="B30" s="11" t="s">
        <v>47</v>
      </c>
      <c r="C30" s="11"/>
      <c r="K30" s="131"/>
    </row>
    <row r="31" spans="1:11">
      <c r="A31" s="131">
        <v>300</v>
      </c>
      <c r="B31" t="s">
        <v>48</v>
      </c>
      <c r="D31" s="28">
        <f>'1-BaseTRR'!D63</f>
        <v>1.9501999999999999E-2</v>
      </c>
      <c r="E31" s="28">
        <f>'1-BaseTRR'!D63</f>
        <v>1.9501999999999999E-2</v>
      </c>
      <c r="F31" t="s">
        <v>1274</v>
      </c>
      <c r="K31" s="131">
        <f>A31</f>
        <v>300</v>
      </c>
    </row>
    <row r="32" spans="1:11">
      <c r="A32" s="131">
        <f>A31+1</f>
        <v>301</v>
      </c>
      <c r="B32" t="s">
        <v>49</v>
      </c>
      <c r="D32" s="28">
        <f>'1-BaseTRR'!D64</f>
        <v>2.7605794758881429E-4</v>
      </c>
      <c r="E32" s="28">
        <f>'1-BaseTRR'!D64</f>
        <v>2.7605794758881429E-4</v>
      </c>
      <c r="F32" t="s">
        <v>1472</v>
      </c>
      <c r="K32" s="131">
        <f>A32</f>
        <v>301</v>
      </c>
    </row>
    <row r="33" spans="1:11">
      <c r="A33" s="131">
        <f>A32+1</f>
        <v>302</v>
      </c>
      <c r="B33" t="s">
        <v>50</v>
      </c>
      <c r="D33" s="34">
        <f>'1-BaseTRR'!D65</f>
        <v>5.198875E-2</v>
      </c>
      <c r="E33" s="34">
        <f>'1-BaseTRR'!D65</f>
        <v>5.198875E-2</v>
      </c>
      <c r="F33" t="s">
        <v>1473</v>
      </c>
      <c r="K33" s="131">
        <f>A33</f>
        <v>302</v>
      </c>
    </row>
    <row r="34" spans="1:11">
      <c r="A34" s="131">
        <f>A33+1</f>
        <v>303</v>
      </c>
      <c r="B34" s="12" t="s">
        <v>51</v>
      </c>
      <c r="C34" s="12"/>
      <c r="D34" s="31">
        <f>SUM(D31:D33)</f>
        <v>7.1766807947588815E-2</v>
      </c>
      <c r="E34" s="31">
        <f>SUM(E31:E33)</f>
        <v>7.1766807947588815E-2</v>
      </c>
      <c r="F34" s="6" t="str">
        <f>"Sum of Lines "&amp;A31&amp;" to "&amp;A33&amp;""</f>
        <v>Sum of Lines 300 to 302</v>
      </c>
      <c r="K34" s="131">
        <f>A34</f>
        <v>303</v>
      </c>
    </row>
    <row r="35" spans="1:11">
      <c r="A35" s="131"/>
      <c r="K35" s="131"/>
    </row>
    <row r="36" spans="1:11">
      <c r="A36" s="131">
        <f>A34+1</f>
        <v>304</v>
      </c>
      <c r="B36" s="12" t="s">
        <v>53</v>
      </c>
      <c r="C36" s="12"/>
      <c r="D36" s="367">
        <f>+D7*D34</f>
        <v>1491628.7513033219</v>
      </c>
      <c r="E36" s="367">
        <f>+E9*E34</f>
        <v>1564120.8032222209</v>
      </c>
      <c r="F36" t="str">
        <f>CONCATENATE("Line ",A7," or ",A9," * ","Line ",A34)</f>
        <v>Line 100 or 102 * Line 303</v>
      </c>
      <c r="K36" s="131">
        <f>A36</f>
        <v>304</v>
      </c>
    </row>
    <row r="37" spans="1:11">
      <c r="A37" s="131"/>
      <c r="H37" s="286"/>
      <c r="I37" s="18"/>
      <c r="K37" s="131"/>
    </row>
    <row r="38" spans="1:11" ht="15" thickBot="1">
      <c r="A38" s="131">
        <f>A36+1</f>
        <v>305</v>
      </c>
      <c r="B38" s="12" t="s">
        <v>874</v>
      </c>
      <c r="D38" s="366">
        <f>+D17+D36</f>
        <v>4520689.5396053055</v>
      </c>
      <c r="E38" s="366">
        <f>+E17+E36</f>
        <v>4613695.4945500344</v>
      </c>
      <c r="F38" s="6" t="str">
        <f>CONCATENATE("Line ",A36," + ","Line ",A17)</f>
        <v>Line 304 + Line 203</v>
      </c>
      <c r="H38" s="286"/>
      <c r="I38" s="18"/>
      <c r="K38" s="131">
        <f>A38</f>
        <v>305</v>
      </c>
    </row>
    <row r="39" spans="1:11" ht="15" thickTop="1">
      <c r="A39" s="131"/>
      <c r="E39" s="33"/>
      <c r="H39" s="309"/>
      <c r="I39" s="310"/>
      <c r="J39" s="131"/>
    </row>
    <row r="40" spans="1:11">
      <c r="A40" s="131"/>
      <c r="B40" s="118" t="s">
        <v>873</v>
      </c>
      <c r="C40" s="180"/>
      <c r="D40" s="301"/>
      <c r="E40" s="301"/>
      <c r="F40" s="296"/>
      <c r="G40" s="296"/>
      <c r="H40" s="365"/>
      <c r="I40" s="364"/>
      <c r="J40" s="364"/>
    </row>
    <row r="41" spans="1:11">
      <c r="A41" s="131"/>
      <c r="B41" s="122" t="s">
        <v>98</v>
      </c>
      <c r="C41" s="122" t="s">
        <v>99</v>
      </c>
      <c r="D41" s="122" t="s">
        <v>100</v>
      </c>
      <c r="E41" s="122" t="s">
        <v>101</v>
      </c>
      <c r="F41" s="122" t="s">
        <v>102</v>
      </c>
      <c r="G41" s="122" t="s">
        <v>103</v>
      </c>
      <c r="H41" s="122" t="s">
        <v>104</v>
      </c>
      <c r="I41" s="122" t="s">
        <v>105</v>
      </c>
      <c r="J41" s="119" t="s">
        <v>106</v>
      </c>
      <c r="K41" s="131"/>
    </row>
    <row r="42" spans="1:11" ht="30" customHeight="1">
      <c r="A42" s="131"/>
      <c r="B42" s="176"/>
      <c r="C42" s="176"/>
      <c r="D42" s="363" t="s">
        <v>1298</v>
      </c>
      <c r="E42" s="363" t="s">
        <v>1299</v>
      </c>
      <c r="F42" s="286"/>
      <c r="G42" s="286"/>
      <c r="H42" s="303" t="s">
        <v>1580</v>
      </c>
      <c r="I42" s="304" t="s">
        <v>1581</v>
      </c>
      <c r="J42" s="362" t="s">
        <v>1582</v>
      </c>
      <c r="K42" s="131"/>
    </row>
    <row r="43" spans="1:11">
      <c r="A43" s="131"/>
      <c r="B43" s="176"/>
      <c r="C43" s="176"/>
      <c r="D43" s="291"/>
      <c r="E43" s="291"/>
      <c r="F43" s="286"/>
      <c r="G43" s="286"/>
      <c r="H43" s="286"/>
      <c r="I43" s="18"/>
      <c r="J43" s="17"/>
      <c r="K43" s="131"/>
    </row>
    <row r="44" spans="1:11">
      <c r="A44" s="131"/>
      <c r="B44" s="182"/>
      <c r="C44" s="182"/>
      <c r="D44" s="303" t="s">
        <v>651</v>
      </c>
      <c r="E44" s="303" t="s">
        <v>652</v>
      </c>
      <c r="F44" s="303"/>
      <c r="G44" s="303" t="s">
        <v>653</v>
      </c>
      <c r="H44" s="303" t="s">
        <v>654</v>
      </c>
      <c r="I44" s="131" t="s">
        <v>655</v>
      </c>
      <c r="J44" s="131" t="s">
        <v>656</v>
      </c>
      <c r="K44" s="131"/>
    </row>
    <row r="45" spans="1:11">
      <c r="A45" s="13" t="s">
        <v>122</v>
      </c>
      <c r="B45" s="182" t="s">
        <v>657</v>
      </c>
      <c r="C45" s="182" t="s">
        <v>109</v>
      </c>
      <c r="D45" s="305" t="s">
        <v>658</v>
      </c>
      <c r="E45" s="305" t="s">
        <v>659</v>
      </c>
      <c r="F45" s="305" t="s">
        <v>660</v>
      </c>
      <c r="G45" s="305" t="s">
        <v>661</v>
      </c>
      <c r="H45" s="305" t="s">
        <v>662</v>
      </c>
      <c r="I45" s="119" t="s">
        <v>663</v>
      </c>
      <c r="J45" s="119" t="s">
        <v>664</v>
      </c>
      <c r="K45" s="13" t="str">
        <f t="shared" ref="K45:K60" si="0">A45</f>
        <v>Line</v>
      </c>
    </row>
    <row r="46" spans="1:11">
      <c r="A46" s="131">
        <v>400</v>
      </c>
      <c r="B46" s="306" t="s">
        <v>1077</v>
      </c>
      <c r="C46" s="306"/>
      <c r="D46" s="307"/>
      <c r="E46" s="209">
        <f>+E8</f>
        <v>22661819</v>
      </c>
      <c r="F46" s="286"/>
      <c r="G46" s="308">
        <v>366</v>
      </c>
      <c r="H46" s="309">
        <f>1</f>
        <v>1</v>
      </c>
      <c r="I46" s="310"/>
      <c r="J46" s="424">
        <f>+E46</f>
        <v>22661819</v>
      </c>
      <c r="K46" s="131">
        <f t="shared" si="0"/>
        <v>400</v>
      </c>
    </row>
    <row r="47" spans="1:11">
      <c r="A47" s="131">
        <f t="shared" ref="A47:A60" si="1">A46+1</f>
        <v>401</v>
      </c>
      <c r="B47" s="306" t="s">
        <v>112</v>
      </c>
      <c r="C47" s="149">
        <f>'1-BaseTRR'!$F$2</f>
        <v>2022</v>
      </c>
      <c r="D47" s="209">
        <f t="shared" ref="D47:D58" si="2">($D$7-$E$8)/12</f>
        <v>-156453.08333333334</v>
      </c>
      <c r="E47" s="209">
        <f t="shared" ref="E47:E58" si="3">E46+D47</f>
        <v>22505365.916666668</v>
      </c>
      <c r="F47" s="44">
        <v>31</v>
      </c>
      <c r="G47" s="44">
        <f t="shared" ref="G47:G58" si="4">+G46-F47</f>
        <v>335</v>
      </c>
      <c r="H47" s="309">
        <f>G47/G46</f>
        <v>0.91530054644808745</v>
      </c>
      <c r="I47" s="442">
        <f t="shared" ref="I47:I58" si="5">D47*H47</f>
        <v>-143201.59266848819</v>
      </c>
      <c r="J47" s="33">
        <f t="shared" ref="J47:J58" si="6">J46+I47</f>
        <v>22518617.407331511</v>
      </c>
      <c r="K47" s="131">
        <f t="shared" si="0"/>
        <v>401</v>
      </c>
    </row>
    <row r="48" spans="1:11">
      <c r="A48" s="131">
        <f t="shared" si="1"/>
        <v>402</v>
      </c>
      <c r="B48" s="306" t="s">
        <v>113</v>
      </c>
      <c r="C48" s="149">
        <f>'1-BaseTRR'!$F$2</f>
        <v>2022</v>
      </c>
      <c r="D48" s="209">
        <f t="shared" si="2"/>
        <v>-156453.08333333334</v>
      </c>
      <c r="E48" s="209">
        <f t="shared" si="3"/>
        <v>22348912.833333336</v>
      </c>
      <c r="F48" s="312">
        <v>28</v>
      </c>
      <c r="G48" s="44">
        <f t="shared" si="4"/>
        <v>307</v>
      </c>
      <c r="H48" s="309">
        <f>G48/G46</f>
        <v>0.83879781420765032</v>
      </c>
      <c r="I48" s="442">
        <f t="shared" si="5"/>
        <v>-131232.50432604738</v>
      </c>
      <c r="J48" s="33">
        <f t="shared" si="6"/>
        <v>22387384.903005466</v>
      </c>
      <c r="K48" s="131">
        <f t="shared" si="0"/>
        <v>402</v>
      </c>
    </row>
    <row r="49" spans="1:11">
      <c r="A49" s="131">
        <f t="shared" si="1"/>
        <v>403</v>
      </c>
      <c r="B49" s="306" t="s">
        <v>114</v>
      </c>
      <c r="C49" s="149">
        <f>'1-BaseTRR'!$F$2</f>
        <v>2022</v>
      </c>
      <c r="D49" s="209">
        <f t="shared" si="2"/>
        <v>-156453.08333333334</v>
      </c>
      <c r="E49" s="209">
        <f t="shared" si="3"/>
        <v>22192459.750000004</v>
      </c>
      <c r="F49" s="44">
        <v>31</v>
      </c>
      <c r="G49" s="44">
        <f t="shared" si="4"/>
        <v>276</v>
      </c>
      <c r="H49" s="309">
        <f>G49/G46</f>
        <v>0.75409836065573765</v>
      </c>
      <c r="I49" s="442">
        <f t="shared" si="5"/>
        <v>-117981.01366120219</v>
      </c>
      <c r="J49" s="33">
        <f t="shared" si="6"/>
        <v>22269403.889344264</v>
      </c>
      <c r="K49" s="131">
        <f t="shared" si="0"/>
        <v>403</v>
      </c>
    </row>
    <row r="50" spans="1:11">
      <c r="A50" s="131">
        <f t="shared" si="1"/>
        <v>404</v>
      </c>
      <c r="B50" s="306" t="s">
        <v>115</v>
      </c>
      <c r="C50" s="149">
        <f>'1-BaseTRR'!$F$2</f>
        <v>2022</v>
      </c>
      <c r="D50" s="209">
        <f t="shared" si="2"/>
        <v>-156453.08333333334</v>
      </c>
      <c r="E50" s="209">
        <f t="shared" si="3"/>
        <v>22036006.666666672</v>
      </c>
      <c r="F50" s="44">
        <v>30</v>
      </c>
      <c r="G50" s="44">
        <f t="shared" si="4"/>
        <v>246</v>
      </c>
      <c r="H50" s="309">
        <f>G50/G46</f>
        <v>0.67213114754098358</v>
      </c>
      <c r="I50" s="442">
        <f t="shared" si="5"/>
        <v>-105156.99043715847</v>
      </c>
      <c r="J50" s="33">
        <f t="shared" si="6"/>
        <v>22164246.898907106</v>
      </c>
      <c r="K50" s="131">
        <f t="shared" si="0"/>
        <v>404</v>
      </c>
    </row>
    <row r="51" spans="1:11">
      <c r="A51" s="131">
        <f t="shared" si="1"/>
        <v>405</v>
      </c>
      <c r="B51" s="306" t="s">
        <v>89</v>
      </c>
      <c r="C51" s="149">
        <f>'1-BaseTRR'!$F$2</f>
        <v>2022</v>
      </c>
      <c r="D51" s="209">
        <f t="shared" si="2"/>
        <v>-156453.08333333334</v>
      </c>
      <c r="E51" s="209">
        <f t="shared" si="3"/>
        <v>21879553.58333334</v>
      </c>
      <c r="F51" s="44">
        <v>31</v>
      </c>
      <c r="G51" s="44">
        <f t="shared" si="4"/>
        <v>215</v>
      </c>
      <c r="H51" s="309">
        <f>G51/G46</f>
        <v>0.58743169398907102</v>
      </c>
      <c r="I51" s="442">
        <f t="shared" si="5"/>
        <v>-91905.499772313298</v>
      </c>
      <c r="J51" s="33">
        <f t="shared" si="6"/>
        <v>22072341.399134792</v>
      </c>
      <c r="K51" s="131">
        <f t="shared" si="0"/>
        <v>405</v>
      </c>
    </row>
    <row r="52" spans="1:11">
      <c r="A52" s="131">
        <f t="shared" si="1"/>
        <v>406</v>
      </c>
      <c r="B52" s="306" t="s">
        <v>272</v>
      </c>
      <c r="C52" s="149">
        <f>'1-BaseTRR'!$F$2</f>
        <v>2022</v>
      </c>
      <c r="D52" s="209">
        <f t="shared" si="2"/>
        <v>-156453.08333333334</v>
      </c>
      <c r="E52" s="209">
        <f t="shared" si="3"/>
        <v>21723100.500000007</v>
      </c>
      <c r="F52" s="44">
        <v>30</v>
      </c>
      <c r="G52" s="44">
        <f t="shared" si="4"/>
        <v>185</v>
      </c>
      <c r="H52" s="309">
        <f>G52/G46</f>
        <v>0.50546448087431695</v>
      </c>
      <c r="I52" s="442">
        <f t="shared" si="5"/>
        <v>-79081.47654826958</v>
      </c>
      <c r="J52" s="33">
        <f t="shared" si="6"/>
        <v>21993259.922586523</v>
      </c>
      <c r="K52" s="131">
        <f t="shared" si="0"/>
        <v>406</v>
      </c>
    </row>
    <row r="53" spans="1:11">
      <c r="A53" s="131">
        <f t="shared" si="1"/>
        <v>407</v>
      </c>
      <c r="B53" s="306" t="s">
        <v>117</v>
      </c>
      <c r="C53" s="149">
        <f>'1-BaseTRR'!$F$2</f>
        <v>2022</v>
      </c>
      <c r="D53" s="209">
        <f t="shared" si="2"/>
        <v>-156453.08333333334</v>
      </c>
      <c r="E53" s="209">
        <f t="shared" si="3"/>
        <v>21566647.416666675</v>
      </c>
      <c r="F53" s="44">
        <v>31</v>
      </c>
      <c r="G53" s="44">
        <f t="shared" si="4"/>
        <v>154</v>
      </c>
      <c r="H53" s="309">
        <f>G53/G46</f>
        <v>0.42076502732240439</v>
      </c>
      <c r="I53" s="442">
        <f t="shared" si="5"/>
        <v>-65829.985883424422</v>
      </c>
      <c r="J53" s="33">
        <f t="shared" si="6"/>
        <v>21927429.936703097</v>
      </c>
      <c r="K53" s="131">
        <f t="shared" si="0"/>
        <v>407</v>
      </c>
    </row>
    <row r="54" spans="1:11">
      <c r="A54" s="131">
        <f t="shared" si="1"/>
        <v>408</v>
      </c>
      <c r="B54" s="306" t="s">
        <v>118</v>
      </c>
      <c r="C54" s="149">
        <f>'1-BaseTRR'!$F$2</f>
        <v>2022</v>
      </c>
      <c r="D54" s="209">
        <f t="shared" si="2"/>
        <v>-156453.08333333334</v>
      </c>
      <c r="E54" s="209">
        <f t="shared" si="3"/>
        <v>21410194.333333343</v>
      </c>
      <c r="F54" s="44">
        <v>31</v>
      </c>
      <c r="G54" s="44">
        <f t="shared" si="4"/>
        <v>123</v>
      </c>
      <c r="H54" s="309">
        <f>G54/G46</f>
        <v>0.33606557377049179</v>
      </c>
      <c r="I54" s="442">
        <f t="shared" si="5"/>
        <v>-52578.495218579235</v>
      </c>
      <c r="J54" s="33">
        <f t="shared" si="6"/>
        <v>21874851.441484518</v>
      </c>
      <c r="K54" s="131">
        <f t="shared" si="0"/>
        <v>408</v>
      </c>
    </row>
    <row r="55" spans="1:11">
      <c r="A55" s="131">
        <f t="shared" si="1"/>
        <v>409</v>
      </c>
      <c r="B55" s="306" t="s">
        <v>119</v>
      </c>
      <c r="C55" s="149">
        <f>'1-BaseTRR'!$F$2</f>
        <v>2022</v>
      </c>
      <c r="D55" s="209">
        <f t="shared" si="2"/>
        <v>-156453.08333333334</v>
      </c>
      <c r="E55" s="209">
        <f t="shared" si="3"/>
        <v>21253741.250000011</v>
      </c>
      <c r="F55" s="44">
        <v>30</v>
      </c>
      <c r="G55" s="44">
        <f t="shared" si="4"/>
        <v>93</v>
      </c>
      <c r="H55" s="309">
        <f>G55/G46</f>
        <v>0.25409836065573771</v>
      </c>
      <c r="I55" s="442">
        <f t="shared" si="5"/>
        <v>-39754.471994535525</v>
      </c>
      <c r="J55" s="33">
        <f t="shared" si="6"/>
        <v>21835096.969489984</v>
      </c>
      <c r="K55" s="131">
        <f t="shared" si="0"/>
        <v>409</v>
      </c>
    </row>
    <row r="56" spans="1:11">
      <c r="A56" s="131">
        <f t="shared" si="1"/>
        <v>410</v>
      </c>
      <c r="B56" s="306" t="s">
        <v>120</v>
      </c>
      <c r="C56" s="149">
        <f>'1-BaseTRR'!$F$2</f>
        <v>2022</v>
      </c>
      <c r="D56" s="209">
        <f t="shared" si="2"/>
        <v>-156453.08333333334</v>
      </c>
      <c r="E56" s="209">
        <f t="shared" si="3"/>
        <v>21097288.166666679</v>
      </c>
      <c r="F56" s="44">
        <v>31</v>
      </c>
      <c r="G56" s="44">
        <f t="shared" si="4"/>
        <v>62</v>
      </c>
      <c r="H56" s="309">
        <f>G56/G46</f>
        <v>0.16939890710382513</v>
      </c>
      <c r="I56" s="442">
        <f t="shared" si="5"/>
        <v>-26502.981329690349</v>
      </c>
      <c r="J56" s="33">
        <f t="shared" si="6"/>
        <v>21808593.988160294</v>
      </c>
      <c r="K56" s="131">
        <f t="shared" si="0"/>
        <v>410</v>
      </c>
    </row>
    <row r="57" spans="1:11">
      <c r="A57" s="131">
        <f t="shared" si="1"/>
        <v>411</v>
      </c>
      <c r="B57" s="306" t="s">
        <v>121</v>
      </c>
      <c r="C57" s="149">
        <f>'1-BaseTRR'!$F$2</f>
        <v>2022</v>
      </c>
      <c r="D57" s="209">
        <f t="shared" si="2"/>
        <v>-156453.08333333334</v>
      </c>
      <c r="E57" s="209">
        <f t="shared" si="3"/>
        <v>20940835.083333347</v>
      </c>
      <c r="F57" s="44">
        <v>30</v>
      </c>
      <c r="G57" s="44">
        <f t="shared" si="4"/>
        <v>32</v>
      </c>
      <c r="H57" s="309">
        <f>G57/G46</f>
        <v>8.7431693989071038E-2</v>
      </c>
      <c r="I57" s="442">
        <f t="shared" si="5"/>
        <v>-13678.95810564663</v>
      </c>
      <c r="J57" s="33">
        <f t="shared" si="6"/>
        <v>21794915.030054647</v>
      </c>
      <c r="K57" s="131">
        <f t="shared" si="0"/>
        <v>411</v>
      </c>
    </row>
    <row r="58" spans="1:11">
      <c r="A58" s="131">
        <f t="shared" si="1"/>
        <v>412</v>
      </c>
      <c r="B58" s="306" t="s">
        <v>111</v>
      </c>
      <c r="C58" s="149">
        <f>'1-BaseTRR'!$F$2</f>
        <v>2022</v>
      </c>
      <c r="D58" s="209">
        <f t="shared" si="2"/>
        <v>-156453.08333333334</v>
      </c>
      <c r="E58" s="209">
        <f t="shared" si="3"/>
        <v>20784382.000000015</v>
      </c>
      <c r="F58" s="44">
        <v>31</v>
      </c>
      <c r="G58" s="44">
        <f t="shared" si="4"/>
        <v>1</v>
      </c>
      <c r="H58" s="309">
        <f>G58/G46</f>
        <v>2.7322404371584699E-3</v>
      </c>
      <c r="I58" s="442">
        <f t="shared" si="5"/>
        <v>-427.4674408014572</v>
      </c>
      <c r="J58" s="443">
        <f t="shared" si="6"/>
        <v>21794487.562613845</v>
      </c>
      <c r="K58" s="131">
        <f t="shared" si="0"/>
        <v>412</v>
      </c>
    </row>
    <row r="59" spans="1:11">
      <c r="A59" s="131">
        <f t="shared" si="1"/>
        <v>413</v>
      </c>
      <c r="B59" s="306" t="s">
        <v>1078</v>
      </c>
      <c r="C59" s="306"/>
      <c r="D59" s="311"/>
      <c r="E59" s="209">
        <f>+D7</f>
        <v>20784382</v>
      </c>
      <c r="F59" s="286"/>
      <c r="G59" s="286"/>
      <c r="H59" s="286"/>
      <c r="I59" s="18"/>
      <c r="J59" s="208"/>
      <c r="K59" s="131">
        <f t="shared" si="0"/>
        <v>413</v>
      </c>
    </row>
    <row r="60" spans="1:11">
      <c r="A60" s="131">
        <f t="shared" si="1"/>
        <v>414</v>
      </c>
      <c r="B60" s="176"/>
      <c r="C60" s="176"/>
      <c r="D60" s="291"/>
      <c r="E60" s="291"/>
      <c r="F60" s="286"/>
      <c r="G60" s="286"/>
      <c r="H60" s="286"/>
      <c r="I60" s="361" t="s">
        <v>665</v>
      </c>
      <c r="J60" s="436">
        <f>+J58</f>
        <v>21794487.562613845</v>
      </c>
      <c r="K60" s="131">
        <f t="shared" si="0"/>
        <v>414</v>
      </c>
    </row>
    <row r="61" spans="1:11">
      <c r="A61" s="131"/>
      <c r="B61" s="176"/>
      <c r="C61" s="176"/>
      <c r="D61" s="291"/>
      <c r="E61" s="291"/>
      <c r="F61" s="286"/>
      <c r="G61" s="286"/>
      <c r="H61" s="286"/>
      <c r="I61" s="313"/>
      <c r="J61" s="207"/>
      <c r="K61" s="131"/>
    </row>
    <row r="62" spans="1:11">
      <c r="A62" s="131"/>
      <c r="C62" s="176"/>
      <c r="D62" s="360"/>
      <c r="E62" s="360"/>
      <c r="F62" s="285"/>
      <c r="G62" s="285"/>
      <c r="H62" s="359"/>
      <c r="I62" s="310"/>
      <c r="J62" s="131"/>
    </row>
    <row r="63" spans="1:11">
      <c r="B63" s="206" t="s">
        <v>125</v>
      </c>
    </row>
    <row r="64" spans="1:11">
      <c r="B64" t="s">
        <v>1302</v>
      </c>
    </row>
    <row r="65" spans="2:10">
      <c r="B65" t="s">
        <v>1303</v>
      </c>
    </row>
    <row r="66" spans="2:10">
      <c r="B66" t="s">
        <v>1304</v>
      </c>
    </row>
    <row r="67" spans="2:10">
      <c r="B67" s="817" t="s">
        <v>1300</v>
      </c>
      <c r="C67" s="817"/>
      <c r="D67" s="817"/>
      <c r="E67" s="817"/>
      <c r="F67" s="817"/>
      <c r="G67" s="817"/>
      <c r="H67" s="817"/>
      <c r="I67" s="817"/>
      <c r="J67" s="17"/>
    </row>
    <row r="68" spans="2:10">
      <c r="B68" s="817" t="s">
        <v>1301</v>
      </c>
      <c r="C68" s="817"/>
      <c r="D68" s="817"/>
      <c r="E68" s="817"/>
      <c r="F68" s="817"/>
      <c r="G68" s="817"/>
      <c r="H68" s="817"/>
      <c r="I68" s="817"/>
      <c r="J68" s="17"/>
    </row>
  </sheetData>
  <protectedRanges>
    <protectedRange password="F1C4" sqref="B8:C9 D9:E9" name="AAReport1_23_1_1_2"/>
    <protectedRange password="F1C4" sqref="E8" name="AAReport1_23_1_1_1_1_1"/>
    <protectedRange password="F1C4" sqref="F9 F22:F24 F38" name="AAReport1_23_1_1_2_3"/>
  </protectedRanges>
  <mergeCells count="2">
    <mergeCell ref="B67:I67"/>
    <mergeCell ref="B68:I68"/>
  </mergeCells>
  <printOptions horizontalCentered="1"/>
  <pageMargins left="1" right="1" top="1" bottom="1" header="0.5" footer="0.5"/>
  <pageSetup scale="57"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H69"/>
  <sheetViews>
    <sheetView tabSelected="1" view="pageBreakPreview" topLeftCell="A30" zoomScale="80" zoomScaleNormal="85" zoomScaleSheetLayoutView="80" workbookViewId="0">
      <selection activeCell="C59" activeCellId="1" sqref="L63 C59"/>
    </sheetView>
  </sheetViews>
  <sheetFormatPr defaultColWidth="9.1796875" defaultRowHeight="14.5"/>
  <cols>
    <col min="1" max="1" width="4.7265625" bestFit="1" customWidth="1"/>
    <col min="2" max="2" width="68.26953125" customWidth="1"/>
    <col min="3" max="3" width="18.81640625" customWidth="1"/>
    <col min="4" max="4" width="55.453125" bestFit="1" customWidth="1"/>
    <col min="5" max="5" width="19.1796875" bestFit="1" customWidth="1"/>
    <col min="6" max="6" width="4.7265625" bestFit="1" customWidth="1"/>
    <col min="7" max="7" width="23.7265625" bestFit="1" customWidth="1"/>
    <col min="8" max="8" width="13.81640625" bestFit="1" customWidth="1"/>
    <col min="9" max="9" width="10.1796875" bestFit="1" customWidth="1"/>
    <col min="10" max="10" width="9.453125" bestFit="1" customWidth="1"/>
  </cols>
  <sheetData>
    <row r="1" spans="1:6">
      <c r="B1" s="12" t="s">
        <v>906</v>
      </c>
      <c r="D1" s="15"/>
      <c r="E1" s="15" t="str">
        <f>CONCATENATE("Prior Year: ",'1-BaseTRR'!$F$2)</f>
        <v>Prior Year: 2022</v>
      </c>
    </row>
    <row r="2" spans="1:6">
      <c r="B2" s="117" t="s">
        <v>193</v>
      </c>
    </row>
    <row r="4" spans="1:6">
      <c r="A4" s="13" t="s">
        <v>122</v>
      </c>
      <c r="B4" s="13" t="s">
        <v>127</v>
      </c>
      <c r="C4" s="13" t="s">
        <v>871</v>
      </c>
      <c r="D4" s="13" t="s">
        <v>294</v>
      </c>
      <c r="E4" s="13" t="s">
        <v>11</v>
      </c>
      <c r="F4" s="13" t="str">
        <f>A4</f>
        <v>Line</v>
      </c>
    </row>
    <row r="5" spans="1:6">
      <c r="B5" s="57" t="s">
        <v>905</v>
      </c>
      <c r="C5" s="54"/>
      <c r="D5" s="54"/>
      <c r="E5" s="54"/>
    </row>
    <row r="6" spans="1:6">
      <c r="A6" s="8">
        <v>100</v>
      </c>
      <c r="B6" t="s">
        <v>904</v>
      </c>
      <c r="C6" s="352">
        <v>2321743464.4099998</v>
      </c>
      <c r="D6" s="4" t="s">
        <v>2000</v>
      </c>
      <c r="F6" s="8">
        <f>A6</f>
        <v>100</v>
      </c>
    </row>
    <row r="7" spans="1:6">
      <c r="A7" s="8">
        <f>A6+1</f>
        <v>101</v>
      </c>
      <c r="B7" t="s">
        <v>903</v>
      </c>
      <c r="C7" s="352">
        <v>-307482801</v>
      </c>
      <c r="D7" s="4" t="s">
        <v>2001</v>
      </c>
      <c r="F7" s="8">
        <f>A7</f>
        <v>101</v>
      </c>
    </row>
    <row r="8" spans="1:6">
      <c r="A8" s="8">
        <f>A7+1</f>
        <v>102</v>
      </c>
      <c r="B8" t="s">
        <v>902</v>
      </c>
      <c r="C8" s="352">
        <v>-145831063.22</v>
      </c>
      <c r="D8" s="4" t="s">
        <v>2002</v>
      </c>
      <c r="F8" s="8">
        <f>A8</f>
        <v>102</v>
      </c>
    </row>
    <row r="9" spans="1:6">
      <c r="A9" s="8">
        <f>A8+1</f>
        <v>103</v>
      </c>
      <c r="B9" t="s">
        <v>899</v>
      </c>
      <c r="C9" s="800">
        <v>-70773445.558300063</v>
      </c>
      <c r="D9" s="4" t="s">
        <v>1319</v>
      </c>
      <c r="F9" s="8">
        <f>A9</f>
        <v>103</v>
      </c>
    </row>
    <row r="10" spans="1:6">
      <c r="A10" s="8">
        <f>A9+1</f>
        <v>104</v>
      </c>
      <c r="B10" s="12" t="s">
        <v>1079</v>
      </c>
      <c r="C10" s="353">
        <f>C6+C7+C8+C9</f>
        <v>1797656154.6316998</v>
      </c>
      <c r="D10" s="4" t="s">
        <v>1080</v>
      </c>
      <c r="F10" s="8">
        <f>A10</f>
        <v>104</v>
      </c>
    </row>
    <row r="11" spans="1:6">
      <c r="A11" s="8"/>
      <c r="C11" s="33"/>
      <c r="D11" s="4"/>
      <c r="F11" s="8"/>
    </row>
    <row r="12" spans="1:6">
      <c r="A12" s="8">
        <f>A10+1</f>
        <v>105</v>
      </c>
      <c r="B12" t="s">
        <v>901</v>
      </c>
      <c r="C12" s="352">
        <v>1637751444.0499997</v>
      </c>
      <c r="D12" s="4" t="s">
        <v>2003</v>
      </c>
      <c r="F12" s="8">
        <f>A12</f>
        <v>105</v>
      </c>
    </row>
    <row r="13" spans="1:6">
      <c r="A13" s="8">
        <f>A12+1</f>
        <v>106</v>
      </c>
      <c r="B13" t="s">
        <v>900</v>
      </c>
      <c r="C13" s="33">
        <f>C7</f>
        <v>-307482801</v>
      </c>
      <c r="D13" s="4" t="str">
        <f>"Line "&amp;A7&amp;""</f>
        <v>Line 101</v>
      </c>
      <c r="F13" s="8">
        <f>A13</f>
        <v>106</v>
      </c>
    </row>
    <row r="14" spans="1:6">
      <c r="A14" s="8">
        <f>A13+1</f>
        <v>107</v>
      </c>
      <c r="B14" t="s">
        <v>899</v>
      </c>
      <c r="C14" s="800">
        <v>-58927169.118300065</v>
      </c>
      <c r="D14" s="4" t="s">
        <v>1423</v>
      </c>
      <c r="F14" s="8">
        <f>A14</f>
        <v>107</v>
      </c>
    </row>
    <row r="15" spans="1:6">
      <c r="A15" s="8">
        <f>A14+1</f>
        <v>108</v>
      </c>
      <c r="B15" s="12" t="s">
        <v>897</v>
      </c>
      <c r="C15" s="353">
        <f>C12+C13+C14</f>
        <v>1271341473.9316998</v>
      </c>
      <c r="D15" s="4" t="str">
        <f>"Line "&amp;A12&amp;" - Line "&amp;A13&amp;" + Line "&amp;A14&amp;""</f>
        <v>Line 105 - Line 106 + Line 107</v>
      </c>
      <c r="F15" s="8">
        <f>A15</f>
        <v>108</v>
      </c>
    </row>
    <row r="16" spans="1:6">
      <c r="A16" s="8"/>
      <c r="D16" s="4"/>
      <c r="F16" s="8"/>
    </row>
    <row r="17" spans="1:7">
      <c r="A17" s="8">
        <f>A15+1</f>
        <v>109</v>
      </c>
      <c r="B17" s="12" t="s">
        <v>898</v>
      </c>
      <c r="C17" s="368">
        <f>C15/C10</f>
        <v>0.7072217179331326</v>
      </c>
      <c r="D17" s="4" t="str">
        <f>"Line "&amp;A15&amp;" / Line "&amp;A10&amp;""</f>
        <v>Line 108 / Line 104</v>
      </c>
      <c r="F17" s="8">
        <f>A17</f>
        <v>109</v>
      </c>
      <c r="G17" s="801"/>
    </row>
    <row r="18" spans="1:7">
      <c r="F18" s="8"/>
      <c r="G18" s="801"/>
    </row>
    <row r="19" spans="1:7">
      <c r="B19" s="57" t="s">
        <v>1507</v>
      </c>
      <c r="C19" s="54"/>
      <c r="D19" s="54"/>
      <c r="E19" s="54"/>
      <c r="F19" s="8"/>
      <c r="G19" s="801"/>
    </row>
    <row r="20" spans="1:7">
      <c r="A20" s="8">
        <f>A17+1</f>
        <v>110</v>
      </c>
      <c r="B20" t="s">
        <v>897</v>
      </c>
      <c r="C20" s="33">
        <f>C15</f>
        <v>1271341473.9316998</v>
      </c>
      <c r="D20" s="4" t="str">
        <f>"Line "&amp;A15&amp;""</f>
        <v>Line 108</v>
      </c>
      <c r="F20" s="8">
        <f>A20</f>
        <v>110</v>
      </c>
      <c r="G20" s="801"/>
    </row>
    <row r="21" spans="1:7">
      <c r="A21" s="8">
        <f>A20+1</f>
        <v>111</v>
      </c>
      <c r="B21" t="s">
        <v>1508</v>
      </c>
      <c r="C21" s="33">
        <f>'18-OandM'!N10</f>
        <v>172133955.29521492</v>
      </c>
      <c r="D21" s="4" t="s">
        <v>1081</v>
      </c>
      <c r="F21" s="8">
        <f>A21</f>
        <v>111</v>
      </c>
      <c r="G21" s="801"/>
    </row>
    <row r="22" spans="1:7">
      <c r="A22" s="8"/>
      <c r="D22" s="6"/>
      <c r="F22" s="8"/>
      <c r="G22" s="801"/>
    </row>
    <row r="23" spans="1:7">
      <c r="A23" s="8">
        <f>A21+1</f>
        <v>112</v>
      </c>
      <c r="B23" s="12" t="s">
        <v>1509</v>
      </c>
      <c r="C23" s="368">
        <f>C21/C20</f>
        <v>0.13539553206179952</v>
      </c>
      <c r="D23" s="4" t="str">
        <f>"Line "&amp;A21&amp;" / Line "&amp;A20&amp;""</f>
        <v>Line 111 / Line 110</v>
      </c>
      <c r="F23" s="8">
        <f>A23</f>
        <v>112</v>
      </c>
      <c r="G23" s="801"/>
    </row>
    <row r="24" spans="1:7">
      <c r="A24" s="8">
        <f>+A23+1</f>
        <v>113</v>
      </c>
      <c r="B24" s="12" t="s">
        <v>1510</v>
      </c>
      <c r="C24" s="368">
        <f>C21/C10</f>
        <v>9.5754660785216397E-2</v>
      </c>
      <c r="D24" s="4" t="str">
        <f>"Line "&amp;A21&amp;" / Line "&amp;A10&amp;""</f>
        <v>Line 111 / Line 104</v>
      </c>
      <c r="F24" s="8">
        <f>A24</f>
        <v>113</v>
      </c>
      <c r="G24" s="801"/>
    </row>
    <row r="25" spans="1:7">
      <c r="A25" s="8"/>
      <c r="B25" s="12"/>
      <c r="C25" s="368"/>
      <c r="F25" s="8"/>
    </row>
    <row r="26" spans="1:7">
      <c r="B26" s="57" t="s">
        <v>896</v>
      </c>
      <c r="C26" s="54"/>
      <c r="D26" s="54"/>
      <c r="E26" s="54"/>
      <c r="F26" s="370"/>
    </row>
    <row r="27" spans="1:7">
      <c r="A27" s="8">
        <f>A24+1</f>
        <v>114</v>
      </c>
      <c r="B27" s="17" t="s">
        <v>1511</v>
      </c>
      <c r="C27" s="33">
        <f>+'7-PlantInService'!$P$24+'7-PlantInService'!$D$128</f>
        <v>17125301357.413162</v>
      </c>
      <c r="D27" s="217" t="s">
        <v>1082</v>
      </c>
      <c r="E27" s="412" t="s">
        <v>1088</v>
      </c>
      <c r="F27" s="8">
        <f>+A27</f>
        <v>114</v>
      </c>
    </row>
    <row r="28" spans="1:7">
      <c r="A28" s="8">
        <f>+A27+1</f>
        <v>115</v>
      </c>
      <c r="B28" s="17" t="s">
        <v>895</v>
      </c>
      <c r="C28" s="352">
        <v>106463636777.83</v>
      </c>
      <c r="D28" s="6" t="s">
        <v>1860</v>
      </c>
      <c r="E28" s="412" t="s">
        <v>1088</v>
      </c>
      <c r="F28" s="8">
        <f>+A28</f>
        <v>115</v>
      </c>
    </row>
    <row r="29" spans="1:7">
      <c r="A29" s="8">
        <f>+A28+1</f>
        <v>116</v>
      </c>
      <c r="B29" s="12"/>
      <c r="C29" s="239">
        <f>+C27/C28</f>
        <v>0.16085587413428787</v>
      </c>
      <c r="D29" s="4" t="str">
        <f>"Line "&amp;A27&amp;" / Line "&amp;A28&amp;""</f>
        <v>Line 114 / Line 115</v>
      </c>
      <c r="F29" s="8">
        <f>+A29</f>
        <v>116</v>
      </c>
    </row>
    <row r="30" spans="1:7">
      <c r="A30" s="8"/>
      <c r="C30" s="29"/>
      <c r="D30" s="4"/>
      <c r="F30" s="8"/>
    </row>
    <row r="31" spans="1:7">
      <c r="A31" s="8">
        <f>+A29+1</f>
        <v>117</v>
      </c>
      <c r="B31" s="17" t="s">
        <v>1511</v>
      </c>
      <c r="C31" s="33">
        <f>+'7-PlantInService'!$P$24+'7-PlantInService'!$D$128</f>
        <v>17125301357.413162</v>
      </c>
      <c r="D31" s="217" t="s">
        <v>1082</v>
      </c>
      <c r="E31" s="412" t="s">
        <v>1088</v>
      </c>
      <c r="F31" s="8">
        <f>+A31</f>
        <v>117</v>
      </c>
    </row>
    <row r="32" spans="1:7">
      <c r="A32" s="8">
        <f>+A31+1</f>
        <v>118</v>
      </c>
      <c r="B32" s="17" t="s">
        <v>894</v>
      </c>
      <c r="C32" s="352">
        <v>78950070330.678314</v>
      </c>
      <c r="D32" s="6" t="s">
        <v>1861</v>
      </c>
      <c r="E32" s="412" t="s">
        <v>1088</v>
      </c>
      <c r="F32" s="8">
        <f>+A32</f>
        <v>118</v>
      </c>
    </row>
    <row r="33" spans="1:8">
      <c r="A33" s="8">
        <f>+A32+1</f>
        <v>119</v>
      </c>
      <c r="B33" s="12" t="s">
        <v>1512</v>
      </c>
      <c r="C33" s="239">
        <f>+C31/C32</f>
        <v>0.21691306018708681</v>
      </c>
      <c r="D33" s="4" t="str">
        <f>"Line "&amp;A31&amp;" / Line "&amp;A32&amp;""</f>
        <v>Line 117 / Line 118</v>
      </c>
      <c r="F33" s="8">
        <f>+A33</f>
        <v>119</v>
      </c>
    </row>
    <row r="34" spans="1:8">
      <c r="A34" s="8"/>
      <c r="C34" s="29"/>
      <c r="D34" s="4"/>
      <c r="F34" s="8"/>
    </row>
    <row r="35" spans="1:8">
      <c r="A35" s="8">
        <f>+A33+1</f>
        <v>120</v>
      </c>
      <c r="B35" s="17" t="s">
        <v>1513</v>
      </c>
      <c r="C35" s="33">
        <f>'7-PlantInService'!$P$24</f>
        <v>15658655291.088451</v>
      </c>
      <c r="D35" s="4" t="s">
        <v>1000</v>
      </c>
      <c r="F35" s="8">
        <f>+A35</f>
        <v>120</v>
      </c>
    </row>
    <row r="36" spans="1:8">
      <c r="A36" s="8">
        <f>+A35+1</f>
        <v>121</v>
      </c>
      <c r="B36" s="17" t="s">
        <v>893</v>
      </c>
      <c r="C36" s="33">
        <f>'6-PlantJurisdiction'!D24+'6-PlantJurisdiction'!F24</f>
        <v>16454320106.219994</v>
      </c>
      <c r="D36" s="4" t="s">
        <v>1477</v>
      </c>
      <c r="F36" s="8">
        <f>+A36</f>
        <v>121</v>
      </c>
    </row>
    <row r="37" spans="1:8">
      <c r="A37" s="8">
        <f>+A36+1</f>
        <v>122</v>
      </c>
      <c r="B37" s="142" t="s">
        <v>1514</v>
      </c>
      <c r="C37" s="239">
        <f>C35/C36</f>
        <v>0.95164401749843386</v>
      </c>
      <c r="D37" s="4" t="str">
        <f>"Line "&amp;A35&amp;" / Line "&amp;A36&amp;""</f>
        <v>Line 120 / Line 121</v>
      </c>
      <c r="F37" s="8">
        <f>+A37</f>
        <v>122</v>
      </c>
    </row>
    <row r="38" spans="1:8">
      <c r="A38" s="8"/>
      <c r="C38" s="29"/>
      <c r="D38" s="17"/>
      <c r="F38" s="8"/>
    </row>
    <row r="39" spans="1:8">
      <c r="B39" s="118" t="s">
        <v>892</v>
      </c>
      <c r="C39" s="54"/>
      <c r="D39" s="54"/>
      <c r="E39" s="54"/>
      <c r="F39" s="20"/>
    </row>
    <row r="40" spans="1:8">
      <c r="A40" s="8">
        <f>+A37+1</f>
        <v>123</v>
      </c>
      <c r="B40" s="17" t="s">
        <v>1513</v>
      </c>
      <c r="C40" s="33">
        <f>'7-PlantInService'!$P$24</f>
        <v>15658655291.088451</v>
      </c>
      <c r="D40" s="4" t="s">
        <v>1000</v>
      </c>
      <c r="E40" s="412" t="s">
        <v>1088</v>
      </c>
      <c r="F40" s="8">
        <f>+A40</f>
        <v>123</v>
      </c>
    </row>
    <row r="41" spans="1:8">
      <c r="A41" s="8">
        <f>+A40+1</f>
        <v>124</v>
      </c>
      <c r="B41" s="17" t="s">
        <v>363</v>
      </c>
      <c r="C41" s="33">
        <f>+'7-PlantInService'!P49</f>
        <v>5366128911.051445</v>
      </c>
      <c r="D41" s="4" t="s">
        <v>1083</v>
      </c>
      <c r="E41" s="412" t="s">
        <v>1088</v>
      </c>
      <c r="F41" s="8">
        <f>+A41</f>
        <v>124</v>
      </c>
    </row>
    <row r="42" spans="1:8">
      <c r="A42" s="8">
        <f>+A41+1</f>
        <v>125</v>
      </c>
      <c r="B42" s="17" t="s">
        <v>364</v>
      </c>
      <c r="C42" s="33">
        <f>+'7-PlantInService'!P74</f>
        <v>10292526380.037006</v>
      </c>
      <c r="D42" s="4" t="s">
        <v>1084</v>
      </c>
      <c r="E42" s="412" t="s">
        <v>1088</v>
      </c>
      <c r="F42" s="8">
        <f>+A42</f>
        <v>125</v>
      </c>
    </row>
    <row r="43" spans="1:8">
      <c r="A43" s="8">
        <f>+A42+1</f>
        <v>126</v>
      </c>
      <c r="B43" s="142" t="s">
        <v>887</v>
      </c>
      <c r="C43" s="368">
        <f>+C41/C40</f>
        <v>0.34269410822941992</v>
      </c>
      <c r="D43" s="4" t="str">
        <f>"Line "&amp;A41&amp;" / Line "&amp;A40&amp;""</f>
        <v>Line 124 / Line 123</v>
      </c>
      <c r="F43" s="8">
        <f>+A43</f>
        <v>126</v>
      </c>
    </row>
    <row r="44" spans="1:8">
      <c r="A44" s="8">
        <f>+A43+1</f>
        <v>127</v>
      </c>
      <c r="B44" s="142" t="s">
        <v>886</v>
      </c>
      <c r="C44" s="368">
        <f>+C42/C40</f>
        <v>0.65730589177058008</v>
      </c>
      <c r="D44" s="4" t="str">
        <f>"Line "&amp;A42&amp;" / Line "&amp;A40&amp;""</f>
        <v>Line 125 / Line 123</v>
      </c>
      <c r="F44" s="8">
        <f>+A44</f>
        <v>127</v>
      </c>
    </row>
    <row r="46" spans="1:8">
      <c r="B46" s="118" t="s">
        <v>1518</v>
      </c>
      <c r="C46" s="54"/>
      <c r="D46" s="54"/>
      <c r="E46" s="54"/>
      <c r="F46" s="20"/>
    </row>
    <row r="47" spans="1:8">
      <c r="A47" s="8">
        <f>+A44+1</f>
        <v>128</v>
      </c>
      <c r="B47" s="17" t="s">
        <v>891</v>
      </c>
      <c r="C47" s="33">
        <f>+'9-PlantAdditions'!E75</f>
        <v>1295395110.4458194</v>
      </c>
      <c r="D47" s="4" t="s">
        <v>1085</v>
      </c>
      <c r="E47" s="412" t="s">
        <v>1089</v>
      </c>
      <c r="F47" s="8">
        <f t="shared" ref="F47:F53" si="0">+A47</f>
        <v>128</v>
      </c>
      <c r="H47" s="28"/>
    </row>
    <row r="48" spans="1:8">
      <c r="A48" s="8">
        <f t="shared" ref="A48:A53" si="1">+A47+1</f>
        <v>129</v>
      </c>
      <c r="B48" s="17" t="s">
        <v>890</v>
      </c>
      <c r="C48" s="33">
        <f>+'9-PlantAdditions'!E111</f>
        <v>1433225853.3862996</v>
      </c>
      <c r="D48" s="4" t="s">
        <v>1086</v>
      </c>
      <c r="E48" s="412" t="s">
        <v>1089</v>
      </c>
      <c r="F48" s="8">
        <f t="shared" si="0"/>
        <v>129</v>
      </c>
      <c r="H48" s="31"/>
    </row>
    <row r="49" spans="1:7">
      <c r="A49" s="8">
        <f t="shared" si="1"/>
        <v>130</v>
      </c>
      <c r="B49" s="17" t="s">
        <v>889</v>
      </c>
      <c r="C49" s="33">
        <f>+C47+C41</f>
        <v>6661524021.4972649</v>
      </c>
      <c r="D49" s="4" t="str">
        <f>"Line "&amp;A41&amp;" + Line "&amp;A47&amp;""</f>
        <v>Line 124 + Line 128</v>
      </c>
      <c r="E49" s="412" t="s">
        <v>1089</v>
      </c>
      <c r="F49" s="8">
        <f t="shared" si="0"/>
        <v>130</v>
      </c>
    </row>
    <row r="50" spans="1:7">
      <c r="A50" s="8">
        <f t="shared" si="1"/>
        <v>131</v>
      </c>
      <c r="B50" s="17" t="s">
        <v>888</v>
      </c>
      <c r="C50" s="33">
        <f>+C42+C48</f>
        <v>11725752233.423306</v>
      </c>
      <c r="D50" s="4" t="str">
        <f>"Line "&amp;A42&amp;" + Line "&amp;A48&amp;""</f>
        <v>Line 125 + Line 129</v>
      </c>
      <c r="E50" s="412" t="s">
        <v>1089</v>
      </c>
      <c r="F50" s="8">
        <f t="shared" si="0"/>
        <v>131</v>
      </c>
    </row>
    <row r="51" spans="1:7">
      <c r="A51" s="8">
        <f t="shared" si="1"/>
        <v>132</v>
      </c>
      <c r="B51" s="17" t="s">
        <v>1515</v>
      </c>
      <c r="C51" s="33">
        <f>+C50+C49</f>
        <v>18387276254.92057</v>
      </c>
      <c r="D51" s="6" t="str">
        <f>"Line "&amp;A49&amp;" + Line "&amp;A50&amp;""</f>
        <v>Line 130 + Line 131</v>
      </c>
      <c r="E51" s="412" t="s">
        <v>1089</v>
      </c>
      <c r="F51" s="8">
        <f t="shared" si="0"/>
        <v>132</v>
      </c>
    </row>
    <row r="52" spans="1:7">
      <c r="A52" s="8">
        <f t="shared" si="1"/>
        <v>133</v>
      </c>
      <c r="B52" s="142" t="s">
        <v>887</v>
      </c>
      <c r="C52" s="368">
        <f>+C49/C51</f>
        <v>0.36228987529975204</v>
      </c>
      <c r="D52" s="4" t="str">
        <f>"Line "&amp;A49&amp;" / Line "&amp;A51&amp;""</f>
        <v>Line 130 / Line 132</v>
      </c>
      <c r="E52" s="412" t="s">
        <v>1089</v>
      </c>
      <c r="F52" s="8">
        <f t="shared" si="0"/>
        <v>133</v>
      </c>
    </row>
    <row r="53" spans="1:7">
      <c r="A53" s="8">
        <f t="shared" si="1"/>
        <v>134</v>
      </c>
      <c r="B53" s="142" t="s">
        <v>886</v>
      </c>
      <c r="C53" s="368">
        <f>+C50/C51</f>
        <v>0.63771012470024802</v>
      </c>
      <c r="D53" s="4" t="str">
        <f>"Line "&amp;A50&amp;" / Line "&amp;A51&amp;""</f>
        <v>Line 131 / Line 132</v>
      </c>
      <c r="E53" s="412" t="s">
        <v>1089</v>
      </c>
      <c r="F53" s="8">
        <f t="shared" si="0"/>
        <v>134</v>
      </c>
    </row>
    <row r="55" spans="1:7">
      <c r="B55" s="57" t="s">
        <v>885</v>
      </c>
      <c r="C55" s="369"/>
      <c r="D55" s="54"/>
      <c r="E55" s="54"/>
    </row>
    <row r="56" spans="1:7" ht="29">
      <c r="A56" s="8">
        <f>A53+1</f>
        <v>135</v>
      </c>
      <c r="B56" s="692" t="s">
        <v>1685</v>
      </c>
      <c r="C56" s="368">
        <f>0.6*C24+0.4*C29</f>
        <v>0.12179514612484499</v>
      </c>
      <c r="D56" s="4" t="str">
        <f>"(60% * Line "&amp;A24&amp;") + (40% *Line "&amp;A29&amp;")"</f>
        <v>(60% * Line 113) + (40% *Line 116)</v>
      </c>
      <c r="F56" s="8">
        <f>A56</f>
        <v>135</v>
      </c>
    </row>
    <row r="57" spans="1:7" ht="29">
      <c r="A57" s="8">
        <f>A56+1</f>
        <v>136</v>
      </c>
      <c r="B57" s="692" t="s">
        <v>1686</v>
      </c>
      <c r="C57" s="368">
        <f>0.6*C23+0.4*C33</f>
        <v>0.16800254331191444</v>
      </c>
      <c r="D57" s="4" t="str">
        <f>"(60% * Line "&amp;A23&amp;") + (40% *Line "&amp;A33&amp;")"</f>
        <v>(60% * Line 112) + (40% *Line 119)</v>
      </c>
      <c r="F57" s="8">
        <f>A57</f>
        <v>136</v>
      </c>
      <c r="G57" s="695"/>
    </row>
    <row r="58" spans="1:7">
      <c r="A58" s="8"/>
      <c r="B58" s="12"/>
      <c r="C58" s="368"/>
    </row>
    <row r="59" spans="1:7">
      <c r="A59" s="8"/>
      <c r="B59" s="57" t="s">
        <v>884</v>
      </c>
      <c r="C59" s="369"/>
      <c r="D59" s="54"/>
      <c r="E59" s="54"/>
    </row>
    <row r="60" spans="1:7">
      <c r="A60" s="8">
        <f>A57+1</f>
        <v>137</v>
      </c>
      <c r="B60" t="s">
        <v>1516</v>
      </c>
      <c r="C60" s="32">
        <f>+'10-AccDep'!P26+'10-AccDep'!D128</f>
        <v>4199168502.7793026</v>
      </c>
      <c r="D60" s="217" t="s">
        <v>1087</v>
      </c>
      <c r="F60" s="8">
        <f>A60</f>
        <v>137</v>
      </c>
    </row>
    <row r="61" spans="1:7">
      <c r="A61" s="8">
        <f>+A60+1</f>
        <v>138</v>
      </c>
      <c r="B61" s="17" t="s">
        <v>883</v>
      </c>
      <c r="C61" s="352">
        <v>34449702125.000046</v>
      </c>
      <c r="D61" s="6" t="s">
        <v>1892</v>
      </c>
      <c r="F61" s="8">
        <f>A61</f>
        <v>138</v>
      </c>
    </row>
    <row r="62" spans="1:7">
      <c r="A62" s="8">
        <f>+A61+1</f>
        <v>139</v>
      </c>
      <c r="B62" t="s">
        <v>1517</v>
      </c>
      <c r="C62" s="33">
        <f>+C31-C60</f>
        <v>12926132854.63386</v>
      </c>
      <c r="D62" s="6" t="s">
        <v>1699</v>
      </c>
      <c r="F62" s="8">
        <f>A62</f>
        <v>139</v>
      </c>
    </row>
    <row r="63" spans="1:7">
      <c r="A63" s="8">
        <f>+A62+1</f>
        <v>140</v>
      </c>
      <c r="B63" s="17" t="s">
        <v>882</v>
      </c>
      <c r="C63" s="33">
        <f>+C32-C61</f>
        <v>44500368205.678268</v>
      </c>
      <c r="D63" s="6" t="s">
        <v>1700</v>
      </c>
      <c r="F63" s="8">
        <f>A63</f>
        <v>140</v>
      </c>
    </row>
    <row r="64" spans="1:7">
      <c r="A64" s="8">
        <f>+A63+1</f>
        <v>141</v>
      </c>
      <c r="B64" s="12" t="s">
        <v>1324</v>
      </c>
      <c r="C64" s="368">
        <f>C62/C63</f>
        <v>0.29047249215759252</v>
      </c>
      <c r="D64" s="4" t="s">
        <v>1701</v>
      </c>
      <c r="F64" s="8">
        <f>A64</f>
        <v>141</v>
      </c>
    </row>
    <row r="68" spans="3:3">
      <c r="C68" s="333"/>
    </row>
    <row r="69" spans="3:3">
      <c r="C69" s="333"/>
    </row>
  </sheetData>
  <printOptions horizontalCentered="1"/>
  <pageMargins left="1" right="1" top="1" bottom="1" header="0.5" footer="0.5"/>
  <pageSetup scale="67"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G28"/>
  <sheetViews>
    <sheetView tabSelected="1" view="pageBreakPreview" zoomScaleSheetLayoutView="100" workbookViewId="0">
      <selection activeCell="C59" activeCellId="1" sqref="L63 C59"/>
    </sheetView>
  </sheetViews>
  <sheetFormatPr defaultColWidth="9.1796875" defaultRowHeight="14.5"/>
  <cols>
    <col min="1" max="1" width="6.7265625" bestFit="1" customWidth="1"/>
    <col min="2" max="2" width="9.54296875" customWidth="1"/>
    <col min="3" max="3" width="8.54296875" customWidth="1"/>
    <col min="4" max="4" width="17.81640625" customWidth="1"/>
    <col min="5" max="5" width="19.453125" bestFit="1" customWidth="1"/>
    <col min="6" max="6" width="33.453125" bestFit="1" customWidth="1"/>
    <col min="7" max="7" width="4.7265625" bestFit="1" customWidth="1"/>
  </cols>
  <sheetData>
    <row r="1" spans="1:7">
      <c r="B1" s="12" t="s">
        <v>916</v>
      </c>
      <c r="E1" s="15"/>
      <c r="F1" s="15" t="str">
        <f>CONCATENATE("Prior Year: ",'1-BaseTRR'!$F$2)</f>
        <v>Prior Year: 2022</v>
      </c>
    </row>
    <row r="2" spans="1:7">
      <c r="B2" s="117" t="s">
        <v>193</v>
      </c>
      <c r="C2" s="49"/>
    </row>
    <row r="4" spans="1:7">
      <c r="A4" s="13" t="s">
        <v>122</v>
      </c>
      <c r="G4" s="13" t="str">
        <f>A4</f>
        <v>Line</v>
      </c>
    </row>
    <row r="5" spans="1:7">
      <c r="B5" s="57" t="s">
        <v>915</v>
      </c>
      <c r="C5" s="54"/>
      <c r="D5" s="54"/>
      <c r="E5" s="54"/>
      <c r="F5" s="54"/>
    </row>
    <row r="6" spans="1:7">
      <c r="B6" s="16" t="s">
        <v>912</v>
      </c>
      <c r="C6" s="16" t="s">
        <v>911</v>
      </c>
      <c r="D6" s="16" t="s">
        <v>910</v>
      </c>
      <c r="E6" s="16" t="s">
        <v>907</v>
      </c>
      <c r="F6" s="13" t="s">
        <v>294</v>
      </c>
    </row>
    <row r="7" spans="1:7">
      <c r="A7" s="8">
        <v>100</v>
      </c>
      <c r="B7" s="49"/>
      <c r="C7" s="49" t="s">
        <v>1939</v>
      </c>
      <c r="D7" s="49">
        <v>365</v>
      </c>
      <c r="E7" s="374">
        <v>7.6870000000000003E-3</v>
      </c>
      <c r="F7" s="373" t="s">
        <v>1320</v>
      </c>
      <c r="G7" s="8">
        <f>A7</f>
        <v>100</v>
      </c>
    </row>
    <row r="8" spans="1:7">
      <c r="A8" s="8">
        <f>A7+1</f>
        <v>101</v>
      </c>
      <c r="B8" s="372" t="s">
        <v>1393</v>
      </c>
      <c r="C8" s="49"/>
      <c r="D8" s="49"/>
      <c r="E8" s="374"/>
      <c r="F8" s="373"/>
      <c r="G8" s="8">
        <f>A8</f>
        <v>101</v>
      </c>
    </row>
    <row r="9" spans="1:7">
      <c r="A9" s="8"/>
      <c r="G9" s="8"/>
    </row>
    <row r="10" spans="1:7">
      <c r="A10" s="8"/>
      <c r="B10" s="57" t="s">
        <v>914</v>
      </c>
      <c r="C10" s="54"/>
      <c r="D10" s="54"/>
      <c r="E10" s="54"/>
      <c r="F10" s="54"/>
      <c r="G10" s="8"/>
    </row>
    <row r="11" spans="1:7">
      <c r="A11" s="8"/>
      <c r="B11" s="12" t="s">
        <v>912</v>
      </c>
      <c r="C11" s="12" t="s">
        <v>911</v>
      </c>
      <c r="D11" s="12" t="s">
        <v>910</v>
      </c>
      <c r="E11" s="12" t="s">
        <v>139</v>
      </c>
      <c r="F11" s="12" t="s">
        <v>294</v>
      </c>
      <c r="G11" s="8"/>
    </row>
    <row r="12" spans="1:7">
      <c r="A12" s="8">
        <v>200</v>
      </c>
      <c r="B12" s="49"/>
      <c r="C12" s="49" t="s">
        <v>1939</v>
      </c>
      <c r="D12" s="49">
        <v>365</v>
      </c>
      <c r="E12" s="374">
        <v>2.0782341986441631E-4</v>
      </c>
      <c r="F12" s="373" t="s">
        <v>1275</v>
      </c>
      <c r="G12" s="8">
        <f>A12</f>
        <v>200</v>
      </c>
    </row>
    <row r="13" spans="1:7">
      <c r="A13" s="8">
        <f>A12+1</f>
        <v>201</v>
      </c>
      <c r="B13" s="372" t="s">
        <v>1393</v>
      </c>
      <c r="C13" s="49"/>
      <c r="D13" s="49"/>
      <c r="E13" s="49"/>
      <c r="G13" s="8">
        <f>A13</f>
        <v>201</v>
      </c>
    </row>
    <row r="14" spans="1:7">
      <c r="A14" s="8"/>
      <c r="G14" s="8"/>
    </row>
    <row r="15" spans="1:7">
      <c r="A15" s="8"/>
      <c r="B15" s="57" t="s">
        <v>913</v>
      </c>
      <c r="C15" s="54"/>
      <c r="D15" s="54"/>
      <c r="E15" s="54"/>
      <c r="F15" s="54"/>
      <c r="G15" s="8"/>
    </row>
    <row r="16" spans="1:7">
      <c r="A16" s="8"/>
      <c r="B16" s="12" t="s">
        <v>912</v>
      </c>
      <c r="C16" s="12" t="s">
        <v>911</v>
      </c>
      <c r="D16" s="12" t="s">
        <v>910</v>
      </c>
      <c r="E16" s="12" t="s">
        <v>909</v>
      </c>
      <c r="F16" s="12" t="s">
        <v>294</v>
      </c>
      <c r="G16" s="8"/>
    </row>
    <row r="17" spans="1:7">
      <c r="A17" s="8">
        <v>300</v>
      </c>
      <c r="B17" s="49"/>
      <c r="C17" s="49" t="s">
        <v>1939</v>
      </c>
      <c r="D17" s="49">
        <v>365</v>
      </c>
      <c r="E17" s="374">
        <v>3.5142409364145128E-3</v>
      </c>
      <c r="F17" s="373" t="s">
        <v>1321</v>
      </c>
      <c r="G17" s="8">
        <f>A17</f>
        <v>300</v>
      </c>
    </row>
    <row r="18" spans="1:7">
      <c r="A18" s="8">
        <f>A17+1</f>
        <v>301</v>
      </c>
      <c r="B18" s="372" t="s">
        <v>1393</v>
      </c>
      <c r="C18" s="49"/>
      <c r="D18" s="49"/>
      <c r="E18" s="49"/>
      <c r="G18" s="8">
        <f>A18</f>
        <v>301</v>
      </c>
    </row>
    <row r="19" spans="1:7">
      <c r="A19" s="8"/>
      <c r="G19" s="8"/>
    </row>
    <row r="20" spans="1:7">
      <c r="A20" s="8"/>
      <c r="B20" s="57" t="s">
        <v>908</v>
      </c>
      <c r="C20" s="54"/>
      <c r="D20" s="54"/>
      <c r="E20" s="54"/>
      <c r="F20" s="54"/>
      <c r="G20" s="8"/>
    </row>
    <row r="21" spans="1:7">
      <c r="A21" s="8">
        <v>400</v>
      </c>
      <c r="B21" s="12" t="s">
        <v>907</v>
      </c>
      <c r="C21" s="12"/>
      <c r="D21" s="12"/>
      <c r="E21" s="19">
        <f>((E7*D7)+(E8*D8))/(D7+D8)</f>
        <v>7.6870000000000003E-3</v>
      </c>
      <c r="F21" s="19"/>
      <c r="G21" s="8">
        <f>A21</f>
        <v>400</v>
      </c>
    </row>
    <row r="22" spans="1:7">
      <c r="A22" s="8">
        <f>A21+1</f>
        <v>401</v>
      </c>
      <c r="B22" s="12"/>
      <c r="C22" s="12"/>
      <c r="D22" s="12"/>
      <c r="E22" s="19">
        <f>((E12*D12)+(E13*D13))/(D12+D13)</f>
        <v>2.0782341986441631E-4</v>
      </c>
      <c r="F22" s="19"/>
      <c r="G22" s="8">
        <f>A22</f>
        <v>401</v>
      </c>
    </row>
    <row r="23" spans="1:7">
      <c r="A23" s="8">
        <f>A22+1</f>
        <v>402</v>
      </c>
      <c r="B23" s="12" t="s">
        <v>157</v>
      </c>
      <c r="C23" s="12"/>
      <c r="D23" s="12"/>
      <c r="E23" s="19">
        <f>((E17*D17)+(E18*D18))/(D17+D18)</f>
        <v>3.5142409364145128E-3</v>
      </c>
      <c r="F23" s="19"/>
      <c r="G23" s="8">
        <f>A23</f>
        <v>402</v>
      </c>
    </row>
    <row r="28" spans="1:7">
      <c r="D28" s="17"/>
    </row>
  </sheetData>
  <printOptions horizontalCentered="1"/>
  <pageMargins left="1" right="1" top="1" bottom="1" header="0.5" footer="0.5"/>
  <pageSetup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61"/>
  <sheetViews>
    <sheetView tabSelected="1" view="pageBreakPreview" topLeftCell="A45" zoomScaleNormal="85" zoomScaleSheetLayoutView="100" zoomScalePageLayoutView="70" workbookViewId="0">
      <selection activeCell="C59" activeCellId="1" sqref="L63 C59"/>
    </sheetView>
  </sheetViews>
  <sheetFormatPr defaultColWidth="9.1796875" defaultRowHeight="14.5"/>
  <cols>
    <col min="1" max="1" width="4.7265625" bestFit="1" customWidth="1"/>
    <col min="2" max="2" width="55.54296875" bestFit="1" customWidth="1"/>
    <col min="3" max="3" width="2.54296875" customWidth="1"/>
    <col min="4" max="4" width="16.453125" bestFit="1" customWidth="1"/>
    <col min="5" max="5" width="18.81640625" bestFit="1" customWidth="1"/>
    <col min="6" max="6" width="15.54296875" bestFit="1" customWidth="1"/>
    <col min="7" max="7" width="47.453125" customWidth="1"/>
    <col min="8" max="8" width="7.7265625" customWidth="1"/>
    <col min="9" max="9" width="4.7265625" bestFit="1" customWidth="1"/>
    <col min="10" max="10" width="13.7265625" bestFit="1" customWidth="1"/>
    <col min="11" max="11" width="9.1796875" customWidth="1"/>
  </cols>
  <sheetData>
    <row r="1" spans="1:9">
      <c r="B1" s="12" t="s">
        <v>927</v>
      </c>
      <c r="F1" s="15"/>
      <c r="H1" s="15" t="str">
        <f>CONCATENATE("Rate Year: ",'1-BaseTRR'!$F$1)</f>
        <v>Rate Year: 2024</v>
      </c>
    </row>
    <row r="2" spans="1:9">
      <c r="B2" s="117" t="s">
        <v>193</v>
      </c>
      <c r="F2" s="15"/>
      <c r="H2" s="15"/>
    </row>
    <row r="3" spans="1:9">
      <c r="D3" s="13" t="s">
        <v>98</v>
      </c>
      <c r="E3" s="13" t="s">
        <v>99</v>
      </c>
      <c r="F3" s="13" t="s">
        <v>100</v>
      </c>
    </row>
    <row r="4" spans="1:9">
      <c r="D4" s="8" t="s">
        <v>926</v>
      </c>
      <c r="E4" s="8" t="s">
        <v>925</v>
      </c>
    </row>
    <row r="5" spans="1:9">
      <c r="A5" s="13" t="s">
        <v>122</v>
      </c>
      <c r="B5" s="13"/>
      <c r="D5" s="168" t="s">
        <v>924</v>
      </c>
      <c r="E5" s="168" t="s">
        <v>924</v>
      </c>
      <c r="F5" s="168" t="s">
        <v>294</v>
      </c>
      <c r="G5" s="13"/>
      <c r="H5" s="13"/>
      <c r="I5" s="13" t="str">
        <f>A5</f>
        <v>Line</v>
      </c>
    </row>
    <row r="6" spans="1:9">
      <c r="A6" s="8">
        <v>1</v>
      </c>
      <c r="D6" s="65">
        <f>'24-Allocators'!$C$52</f>
        <v>0.36228987529975204</v>
      </c>
      <c r="E6" s="65">
        <f>'24-Allocators'!$C$53</f>
        <v>0.63771012470024802</v>
      </c>
      <c r="F6" t="s">
        <v>1276</v>
      </c>
      <c r="G6" s="13"/>
      <c r="H6" s="13"/>
      <c r="I6" s="8">
        <f>A6</f>
        <v>1</v>
      </c>
    </row>
    <row r="7" spans="1:9">
      <c r="A7" s="8"/>
      <c r="G7" s="13"/>
      <c r="H7" s="13"/>
      <c r="I7" s="8"/>
    </row>
    <row r="8" spans="1:9">
      <c r="A8" s="13"/>
      <c r="B8" s="52" t="s">
        <v>0</v>
      </c>
      <c r="C8" s="54"/>
      <c r="D8" s="54"/>
      <c r="E8" s="54"/>
      <c r="F8" s="54"/>
      <c r="G8" s="354"/>
      <c r="H8" s="354"/>
      <c r="I8" s="8"/>
    </row>
    <row r="9" spans="1:9">
      <c r="A9" s="13" t="s">
        <v>122</v>
      </c>
      <c r="B9" s="13" t="s">
        <v>127</v>
      </c>
      <c r="D9" s="13" t="s">
        <v>363</v>
      </c>
      <c r="E9" s="13" t="s">
        <v>364</v>
      </c>
      <c r="F9" s="13" t="s">
        <v>354</v>
      </c>
      <c r="G9" s="13" t="s">
        <v>294</v>
      </c>
      <c r="H9" s="13" t="s">
        <v>11</v>
      </c>
      <c r="I9" s="13" t="s">
        <v>122</v>
      </c>
    </row>
    <row r="10" spans="1:9">
      <c r="A10" s="8"/>
      <c r="B10" s="11" t="s">
        <v>4</v>
      </c>
      <c r="C10" s="11"/>
      <c r="D10" s="376"/>
      <c r="E10" s="376"/>
      <c r="F10" s="376"/>
      <c r="I10" s="8"/>
    </row>
    <row r="11" spans="1:9">
      <c r="A11" s="8">
        <v>100</v>
      </c>
      <c r="B11" t="s">
        <v>1</v>
      </c>
      <c r="D11" s="32">
        <f>'7-PlantInService'!P49</f>
        <v>5366128911.051445</v>
      </c>
      <c r="E11" s="32">
        <f>'7-PlantInService'!P74</f>
        <v>10292526380.037006</v>
      </c>
      <c r="F11" s="32">
        <f>SUM(D11:E11)</f>
        <v>15658655291.088451</v>
      </c>
      <c r="G11" t="s">
        <v>1090</v>
      </c>
      <c r="I11" s="8">
        <f>A11</f>
        <v>100</v>
      </c>
    </row>
    <row r="12" spans="1:9">
      <c r="A12" s="8">
        <f>A11+1</f>
        <v>101</v>
      </c>
      <c r="B12" t="s">
        <v>2</v>
      </c>
      <c r="D12" s="32">
        <f>'7-PlantInService'!E128</f>
        <v>492290830.86311615</v>
      </c>
      <c r="E12" s="32">
        <f>'7-PlantInService'!F128</f>
        <v>974355235.46159589</v>
      </c>
      <c r="F12" s="32">
        <f>SUM(D12:E12)</f>
        <v>1466646066.324712</v>
      </c>
      <c r="G12" t="s">
        <v>1091</v>
      </c>
      <c r="I12" s="8">
        <f>A12</f>
        <v>101</v>
      </c>
    </row>
    <row r="13" spans="1:9">
      <c r="A13" s="8">
        <f>A12+1</f>
        <v>102</v>
      </c>
      <c r="B13" t="s">
        <v>3</v>
      </c>
      <c r="D13" s="26">
        <f ca="1">'8-AbandonedPlant'!M12</f>
        <v>0</v>
      </c>
      <c r="E13" s="26">
        <f ca="1">'8-AbandonedPlant'!M13</f>
        <v>0</v>
      </c>
      <c r="F13" s="26">
        <f ca="1">SUM(D13:E13)</f>
        <v>0</v>
      </c>
      <c r="G13" t="s">
        <v>1474</v>
      </c>
      <c r="I13" s="8">
        <f>A13</f>
        <v>102</v>
      </c>
    </row>
    <row r="14" spans="1:9">
      <c r="A14" s="8">
        <f>A13+1</f>
        <v>103</v>
      </c>
      <c r="B14" s="12" t="s">
        <v>12</v>
      </c>
      <c r="C14" s="12"/>
      <c r="D14" s="68">
        <f ca="1">SUM(D11:D13)</f>
        <v>5858419741.9145613</v>
      </c>
      <c r="E14" s="68">
        <f ca="1">SUM(E11:E13)</f>
        <v>11266881615.498602</v>
      </c>
      <c r="F14" s="68">
        <f ca="1">SUM(F11:F13)</f>
        <v>17125301357.413164</v>
      </c>
      <c r="G14" s="6" t="str">
        <f>"Sum of Lines "&amp;A11&amp;" to "&amp;A13&amp;""</f>
        <v>Sum of Lines 100 to 102</v>
      </c>
      <c r="H14" s="6"/>
      <c r="I14" s="8">
        <f>A14</f>
        <v>103</v>
      </c>
    </row>
    <row r="15" spans="1:9">
      <c r="A15" s="8"/>
      <c r="D15" s="33"/>
      <c r="E15" s="33"/>
      <c r="F15" s="33"/>
      <c r="I15" s="8"/>
    </row>
    <row r="16" spans="1:9">
      <c r="A16" s="8"/>
      <c r="B16" s="11" t="s">
        <v>5</v>
      </c>
      <c r="C16" s="11"/>
      <c r="D16" s="33"/>
      <c r="E16" s="33"/>
      <c r="F16" s="33"/>
      <c r="I16" s="8"/>
    </row>
    <row r="17" spans="1:9">
      <c r="A17" s="8">
        <f>A14+1</f>
        <v>104</v>
      </c>
      <c r="B17" t="s">
        <v>6</v>
      </c>
      <c r="D17" s="32">
        <f>'13-WorkCap'!F25</f>
        <v>36813315.60725645</v>
      </c>
      <c r="E17" s="32">
        <f>'13-WorkCap'!G25</f>
        <v>70609936.567862406</v>
      </c>
      <c r="F17" s="32">
        <f>SUM(D17:E17)</f>
        <v>107423252.17511886</v>
      </c>
      <c r="G17" t="s">
        <v>1092</v>
      </c>
      <c r="I17" s="8">
        <f>A17</f>
        <v>104</v>
      </c>
    </row>
    <row r="18" spans="1:9">
      <c r="A18" s="8">
        <f>A17+1</f>
        <v>105</v>
      </c>
      <c r="B18" t="s">
        <v>142</v>
      </c>
      <c r="D18" s="32">
        <f>'13-WorkCap'!$F$60*D6</f>
        <v>23276075.658820074</v>
      </c>
      <c r="E18" s="32">
        <f>'13-WorkCap'!$F$60*E6</f>
        <v>40971029.34117993</v>
      </c>
      <c r="F18" s="32">
        <f>SUM(D18:E18)</f>
        <v>64247105</v>
      </c>
      <c r="G18" t="s">
        <v>1093</v>
      </c>
      <c r="I18" s="8">
        <f>A18</f>
        <v>105</v>
      </c>
    </row>
    <row r="19" spans="1:9">
      <c r="A19" s="8">
        <f>A18+1</f>
        <v>106</v>
      </c>
      <c r="B19" t="s">
        <v>7</v>
      </c>
      <c r="D19" s="26">
        <f>(D36+D37)/10</f>
        <v>34295956.78015618</v>
      </c>
      <c r="E19" s="26">
        <f>(E36+E37)/10</f>
        <v>60143964.04234346</v>
      </c>
      <c r="F19" s="26">
        <f>SUM(D19:E19)</f>
        <v>94439920.822499633</v>
      </c>
      <c r="G19" t="str">
        <f>"(Line "&amp;A36&amp;" + Line "&amp;A37&amp;") / 10"</f>
        <v>(Line 200 + Line 201) / 10</v>
      </c>
      <c r="I19" s="8">
        <f>A19</f>
        <v>106</v>
      </c>
    </row>
    <row r="20" spans="1:9">
      <c r="A20" s="8">
        <f>A19+1</f>
        <v>107</v>
      </c>
      <c r="B20" s="12" t="s">
        <v>13</v>
      </c>
      <c r="C20" s="12"/>
      <c r="D20" s="68">
        <f>SUM(D17:D19)</f>
        <v>94385348.0462327</v>
      </c>
      <c r="E20" s="68">
        <f>SUM(E17:E19)</f>
        <v>171724929.9513858</v>
      </c>
      <c r="F20" s="68">
        <f>SUM(F17:F19)</f>
        <v>266110277.9976185</v>
      </c>
      <c r="G20" s="6" t="str">
        <f>"Sum of Lines "&amp;A17&amp;" to "&amp;A19&amp;""</f>
        <v>Sum of Lines 104 to 106</v>
      </c>
      <c r="H20" s="6"/>
      <c r="I20" s="8">
        <f>A20</f>
        <v>107</v>
      </c>
    </row>
    <row r="21" spans="1:9">
      <c r="A21" s="8"/>
      <c r="D21" s="33"/>
      <c r="E21" s="33"/>
      <c r="F21" s="33"/>
      <c r="I21" s="8"/>
    </row>
    <row r="22" spans="1:9">
      <c r="A22" s="8"/>
      <c r="B22" s="11"/>
      <c r="C22" s="11"/>
      <c r="D22" s="33"/>
      <c r="E22" s="33"/>
      <c r="F22" s="33"/>
      <c r="I22" s="8"/>
    </row>
    <row r="23" spans="1:9">
      <c r="A23" s="8">
        <f>A20+1</f>
        <v>108</v>
      </c>
      <c r="B23" t="s">
        <v>8</v>
      </c>
      <c r="D23" s="32">
        <f>-'10-AccDep'!P51</f>
        <v>-1335108848.002737</v>
      </c>
      <c r="E23" s="32">
        <f>-'10-AccDep'!P76</f>
        <v>-2339443379.2889447</v>
      </c>
      <c r="F23" s="32">
        <f>SUM(D23:E23)</f>
        <v>-3674552227.2916818</v>
      </c>
      <c r="G23" t="s">
        <v>1095</v>
      </c>
      <c r="I23" s="8">
        <f>A23</f>
        <v>108</v>
      </c>
    </row>
    <row r="24" spans="1:9">
      <c r="A24" s="8">
        <f>A23+1</f>
        <v>109</v>
      </c>
      <c r="B24" t="s">
        <v>17</v>
      </c>
      <c r="D24" s="26">
        <f>-'10-AccDep'!E128</f>
        <v>-182655892.50871676</v>
      </c>
      <c r="E24" s="26">
        <f>-'10-AccDep'!F128</f>
        <v>-341960382.97890395</v>
      </c>
      <c r="F24" s="26">
        <f>SUM(D24:E24)</f>
        <v>-524616275.48762071</v>
      </c>
      <c r="G24" t="s">
        <v>1094</v>
      </c>
      <c r="I24" s="8">
        <f>A24</f>
        <v>109</v>
      </c>
    </row>
    <row r="25" spans="1:9">
      <c r="A25" s="8">
        <f>A24+1</f>
        <v>110</v>
      </c>
      <c r="B25" s="12" t="s">
        <v>14</v>
      </c>
      <c r="C25" s="12"/>
      <c r="D25" s="68">
        <f>+D23+D24</f>
        <v>-1517764740.5114539</v>
      </c>
      <c r="E25" s="68">
        <f>+E23+E24</f>
        <v>-2681403762.2678485</v>
      </c>
      <c r="F25" s="68">
        <f>+F23+F24</f>
        <v>-4199168502.7793026</v>
      </c>
      <c r="G25" t="str">
        <f>"Line "&amp;A23&amp;" + Line "&amp;A24&amp;""</f>
        <v>Line 108 + Line 109</v>
      </c>
      <c r="I25" s="8">
        <f>A25</f>
        <v>110</v>
      </c>
    </row>
    <row r="26" spans="1:9">
      <c r="A26" s="8"/>
      <c r="D26" s="33"/>
      <c r="E26" s="33"/>
      <c r="F26" s="33"/>
      <c r="I26" s="8"/>
    </row>
    <row r="27" spans="1:9">
      <c r="A27" s="8">
        <f>A25+1</f>
        <v>111</v>
      </c>
      <c r="B27" s="14" t="s">
        <v>10</v>
      </c>
      <c r="C27" s="14"/>
      <c r="D27" s="32">
        <f>'1-BaseTRR'!D25*$D$6</f>
        <v>-753486807.42553961</v>
      </c>
      <c r="E27" s="32">
        <f>'1-BaseTRR'!D25*$E$6</f>
        <v>-1326303048.1483111</v>
      </c>
      <c r="F27" s="32">
        <f>SUM(D27:E27)</f>
        <v>-2079789855.5738506</v>
      </c>
      <c r="G27" t="s">
        <v>1569</v>
      </c>
      <c r="I27" s="8">
        <f>A27</f>
        <v>111</v>
      </c>
    </row>
    <row r="28" spans="1:9">
      <c r="A28" s="8">
        <f>A27+1</f>
        <v>112</v>
      </c>
      <c r="B28" s="12" t="s">
        <v>15</v>
      </c>
      <c r="C28" s="12"/>
      <c r="D28" s="32">
        <f>'1-BaseTRR'!D26*$D$6</f>
        <v>-57654718.237237081</v>
      </c>
      <c r="E28" s="32">
        <f>'1-BaseTRR'!D26*$E$6</f>
        <v>-101485026.39276291</v>
      </c>
      <c r="F28" s="32">
        <f>SUM(D28:E28)</f>
        <v>-159139744.63</v>
      </c>
      <c r="G28" t="s">
        <v>1096</v>
      </c>
      <c r="I28" s="8">
        <f>A28</f>
        <v>112</v>
      </c>
    </row>
    <row r="29" spans="1:9">
      <c r="A29" s="8">
        <f>A28+1</f>
        <v>113</v>
      </c>
      <c r="B29" s="12"/>
      <c r="C29" s="12"/>
      <c r="D29" s="32">
        <f>'1-BaseTRR'!D27*$D$6</f>
        <v>-47566214.310175836</v>
      </c>
      <c r="E29" s="32">
        <f>'1-BaseTRR'!D27*$E$6</f>
        <v>-83727033.315969989</v>
      </c>
      <c r="F29" s="32">
        <f>SUM(D29:E29)</f>
        <v>-131293247.62614582</v>
      </c>
      <c r="G29" t="s">
        <v>1097</v>
      </c>
      <c r="I29" s="8">
        <f>A29</f>
        <v>113</v>
      </c>
    </row>
    <row r="30" spans="1:9">
      <c r="A30" s="8">
        <f>A29+1</f>
        <v>114</v>
      </c>
      <c r="B30" s="12" t="s">
        <v>16</v>
      </c>
      <c r="C30" s="12"/>
      <c r="D30" s="32">
        <f>'1-BaseTRR'!D28*$D$6</f>
        <v>0</v>
      </c>
      <c r="E30" s="32">
        <f>'1-BaseTRR'!D28*$E$6</f>
        <v>0</v>
      </c>
      <c r="F30" s="32">
        <f>SUM(D30:E30)</f>
        <v>0</v>
      </c>
      <c r="G30" t="s">
        <v>1098</v>
      </c>
      <c r="I30" s="8">
        <f>A30</f>
        <v>114</v>
      </c>
    </row>
    <row r="31" spans="1:9">
      <c r="A31" s="8"/>
      <c r="D31" s="33"/>
      <c r="E31" s="33"/>
      <c r="F31" s="33"/>
      <c r="I31" s="8"/>
    </row>
    <row r="32" spans="1:9">
      <c r="A32" s="8">
        <f>A30+1</f>
        <v>115</v>
      </c>
      <c r="B32" s="12" t="s">
        <v>0</v>
      </c>
      <c r="C32" s="12"/>
      <c r="D32" s="68">
        <f ca="1">+D14+D20+D25+D27+D28+D30+D29</f>
        <v>3576332609.4763885</v>
      </c>
      <c r="E32" s="68">
        <f ca="1">+E14+E20+E25+E27+E28+E30+E29</f>
        <v>7245687675.3250933</v>
      </c>
      <c r="F32" s="68">
        <f ca="1">+F14+F20+F25+F27+F28+F30+F29</f>
        <v>10822020284.801483</v>
      </c>
      <c r="G32" t="str">
        <f>"Sum of Lines "&amp;A14&amp;", "&amp;A20&amp;", "&amp;A25&amp;" and Lines "&amp;A27&amp;" to "&amp;A30&amp;""</f>
        <v>Sum of Lines 103, 107, 110 and Lines 111 to 114</v>
      </c>
      <c r="I32" s="8">
        <f>A32</f>
        <v>115</v>
      </c>
    </row>
    <row r="33" spans="1:11">
      <c r="A33" s="8"/>
      <c r="B33" s="12"/>
      <c r="C33" s="12"/>
      <c r="D33" s="22"/>
      <c r="E33" s="22"/>
      <c r="F33" s="22"/>
      <c r="I33" s="8"/>
    </row>
    <row r="34" spans="1:11">
      <c r="A34" s="13"/>
      <c r="B34" s="52" t="s">
        <v>923</v>
      </c>
      <c r="C34" s="54"/>
      <c r="D34" s="54"/>
      <c r="E34" s="54"/>
      <c r="F34" s="54"/>
      <c r="G34" s="354"/>
      <c r="H34" s="354"/>
      <c r="I34" s="8"/>
    </row>
    <row r="35" spans="1:11">
      <c r="A35" s="13" t="s">
        <v>122</v>
      </c>
      <c r="B35" s="13" t="s">
        <v>127</v>
      </c>
      <c r="D35" s="13" t="s">
        <v>363</v>
      </c>
      <c r="E35" s="13" t="s">
        <v>364</v>
      </c>
      <c r="F35" s="13" t="s">
        <v>354</v>
      </c>
      <c r="G35" s="13" t="s">
        <v>294</v>
      </c>
      <c r="H35" s="13" t="s">
        <v>11</v>
      </c>
      <c r="I35" s="13" t="s">
        <v>122</v>
      </c>
    </row>
    <row r="36" spans="1:11" ht="43.5">
      <c r="A36" s="8">
        <v>200</v>
      </c>
      <c r="B36" t="s">
        <v>66</v>
      </c>
      <c r="D36" s="32">
        <f>D6*('18-OandM'!P10-'18-OandM'!P24)+'18-OandM'!P24</f>
        <v>230128375.0025017</v>
      </c>
      <c r="E36" s="32">
        <f>E6*('18-OandM'!P10-'18-OandM'!P24)</f>
        <v>402831843.36470288</v>
      </c>
      <c r="F36" s="32">
        <f t="shared" ref="F36:F48" si="0">SUM(D36:E36)</f>
        <v>632960218.36720455</v>
      </c>
      <c r="G36" s="44" t="s">
        <v>1111</v>
      </c>
      <c r="H36" s="44"/>
      <c r="I36" s="8">
        <f t="shared" ref="I36:I48" si="1">A36</f>
        <v>200</v>
      </c>
      <c r="J36" s="33"/>
    </row>
    <row r="37" spans="1:11">
      <c r="A37" s="8">
        <f t="shared" ref="A37:A48" si="2">A36+1</f>
        <v>201</v>
      </c>
      <c r="B37" t="s">
        <v>67</v>
      </c>
      <c r="D37" s="32">
        <f>D6*'1-BaseTRR'!D126</f>
        <v>112831192.79906017</v>
      </c>
      <c r="E37" s="32">
        <f>E6*'1-BaseTRR'!D126</f>
        <v>198607797.05873176</v>
      </c>
      <c r="F37" s="32">
        <f t="shared" si="0"/>
        <v>311438989.8577919</v>
      </c>
      <c r="G37" t="s">
        <v>1099</v>
      </c>
      <c r="I37" s="8">
        <f t="shared" si="1"/>
        <v>201</v>
      </c>
      <c r="J37" s="33"/>
    </row>
    <row r="38" spans="1:11">
      <c r="A38" s="8">
        <f t="shared" si="2"/>
        <v>202</v>
      </c>
      <c r="B38" t="s">
        <v>68</v>
      </c>
      <c r="D38" s="32">
        <f>D6*'1-BaseTRR'!D127</f>
        <v>632324.19894668355</v>
      </c>
      <c r="E38" s="32">
        <f>E6*'1-BaseTRR'!D127</f>
        <v>1113030.1210533166</v>
      </c>
      <c r="F38" s="32">
        <f t="shared" si="0"/>
        <v>1745354.3200000003</v>
      </c>
      <c r="G38" t="s">
        <v>1100</v>
      </c>
      <c r="I38" s="8">
        <f t="shared" si="1"/>
        <v>202</v>
      </c>
      <c r="J38" s="33"/>
    </row>
    <row r="39" spans="1:11" ht="29">
      <c r="A39" s="8">
        <f t="shared" si="2"/>
        <v>203</v>
      </c>
      <c r="B39" t="s">
        <v>140</v>
      </c>
      <c r="D39" s="32">
        <f>'11-Depreciation'!O13+'11-Depreciation'!D61</f>
        <v>176946222.89198396</v>
      </c>
      <c r="E39" s="32">
        <f>'11-Depreciation'!O14+'11-Depreciation'!E61</f>
        <v>360091452.50850856</v>
      </c>
      <c r="F39" s="32">
        <f t="shared" si="0"/>
        <v>537037675.40049255</v>
      </c>
      <c r="G39" s="44" t="s">
        <v>1110</v>
      </c>
      <c r="H39" s="44"/>
      <c r="I39" s="8">
        <f t="shared" si="1"/>
        <v>203</v>
      </c>
      <c r="J39" s="28"/>
      <c r="K39" s="31"/>
    </row>
    <row r="40" spans="1:11">
      <c r="A40" s="8">
        <f t="shared" si="2"/>
        <v>204</v>
      </c>
      <c r="B40" s="17" t="s">
        <v>922</v>
      </c>
      <c r="D40" s="32">
        <f>D6*'1-BaseTRR'!$D$129</f>
        <v>385340.89536987996</v>
      </c>
      <c r="E40" s="32">
        <f>E6*'1-BaseTRR'!$D$129</f>
        <v>678285.00654376298</v>
      </c>
      <c r="F40" s="32">
        <f t="shared" si="0"/>
        <v>1063625.9019136429</v>
      </c>
      <c r="G40" t="s">
        <v>1101</v>
      </c>
      <c r="I40" s="8">
        <f t="shared" si="1"/>
        <v>204</v>
      </c>
      <c r="J40" s="28"/>
      <c r="K40" s="31"/>
    </row>
    <row r="41" spans="1:11">
      <c r="A41" s="8">
        <f t="shared" si="2"/>
        <v>205</v>
      </c>
      <c r="B41" t="s">
        <v>69</v>
      </c>
      <c r="D41" s="32">
        <f ca="1">'8-AbandonedPlant'!I12</f>
        <v>0</v>
      </c>
      <c r="E41" s="32">
        <f ca="1">'8-AbandonedPlant'!I13</f>
        <v>0</v>
      </c>
      <c r="F41" s="32">
        <f t="shared" ca="1" si="0"/>
        <v>0</v>
      </c>
      <c r="G41" t="s">
        <v>1475</v>
      </c>
      <c r="I41" s="8">
        <f t="shared" si="1"/>
        <v>205</v>
      </c>
      <c r="J41" s="33"/>
    </row>
    <row r="42" spans="1:11" ht="29">
      <c r="A42" s="8">
        <f t="shared" si="2"/>
        <v>206</v>
      </c>
      <c r="B42" t="s">
        <v>71</v>
      </c>
      <c r="D42" s="32">
        <f ca="1">D32*'1-BaseTRR'!$D$66-('1-BaseTRR'!D69*'8-AbandonedPlant'!M12)</f>
        <v>256661975.54099113</v>
      </c>
      <c r="E42" s="32">
        <f ca="1">E32*'1-BaseTRR'!$D$66-('1-BaseTRR'!D69*'8-AbandonedPlant'!M13)</f>
        <v>519999875.8432672</v>
      </c>
      <c r="F42" s="32">
        <f t="shared" ca="1" si="0"/>
        <v>776661851.38425827</v>
      </c>
      <c r="G42" s="44" t="s">
        <v>1454</v>
      </c>
      <c r="I42" s="8">
        <f t="shared" si="1"/>
        <v>206</v>
      </c>
      <c r="J42" s="33"/>
    </row>
    <row r="43" spans="1:11">
      <c r="A43" s="8">
        <f t="shared" si="2"/>
        <v>207</v>
      </c>
      <c r="B43" t="s">
        <v>18</v>
      </c>
      <c r="D43" s="32">
        <f>$D$6*'1-BaseTRR'!D132</f>
        <v>52518916.290479414</v>
      </c>
      <c r="E43" s="32">
        <f>$E$6*'1-BaseTRR'!D132</f>
        <v>92444881.682141885</v>
      </c>
      <c r="F43" s="32">
        <f t="shared" si="0"/>
        <v>144963797.97262129</v>
      </c>
      <c r="G43" t="s">
        <v>1102</v>
      </c>
      <c r="I43" s="8">
        <f t="shared" si="1"/>
        <v>207</v>
      </c>
      <c r="J43" s="33"/>
    </row>
    <row r="44" spans="1:11">
      <c r="A44" s="8">
        <f t="shared" si="2"/>
        <v>208</v>
      </c>
      <c r="B44" t="s">
        <v>55</v>
      </c>
      <c r="D44" s="32">
        <f ca="1">$D$6*'1-BaseTRR'!D133</f>
        <v>70183021.769529045</v>
      </c>
      <c r="E44" s="32">
        <f ca="1">$E$6*'1-BaseTRR'!D133</f>
        <v>123537605.14962208</v>
      </c>
      <c r="F44" s="32">
        <f t="shared" ca="1" si="0"/>
        <v>193720626.91915113</v>
      </c>
      <c r="G44" t="s">
        <v>1103</v>
      </c>
      <c r="I44" s="8">
        <f t="shared" si="1"/>
        <v>208</v>
      </c>
      <c r="J44" s="33"/>
    </row>
    <row r="45" spans="1:11">
      <c r="A45" s="8">
        <f t="shared" si="2"/>
        <v>209</v>
      </c>
      <c r="B45" t="s">
        <v>70</v>
      </c>
      <c r="C45" s="333"/>
      <c r="D45" s="32">
        <f>-'20-RevenueCredits'!F10</f>
        <v>-8798136.9227079917</v>
      </c>
      <c r="E45" s="32">
        <f>-'20-RevenueCredits'!G10</f>
        <v>-5808351.8970920127</v>
      </c>
      <c r="F45" s="32">
        <f t="shared" si="0"/>
        <v>-14606488.819800004</v>
      </c>
      <c r="G45" t="s">
        <v>1476</v>
      </c>
      <c r="I45" s="8">
        <f t="shared" si="1"/>
        <v>209</v>
      </c>
      <c r="J45" s="33"/>
    </row>
    <row r="46" spans="1:11">
      <c r="A46" s="8">
        <f t="shared" si="2"/>
        <v>210</v>
      </c>
      <c r="B46" t="s">
        <v>130</v>
      </c>
      <c r="D46" s="32">
        <f>$D$6*'1-BaseTRR'!D135</f>
        <v>-7195293.0786696775</v>
      </c>
      <c r="E46" s="32">
        <f>$E$6*'1-BaseTRR'!D135</f>
        <v>-12665303.557425724</v>
      </c>
      <c r="F46" s="32">
        <f t="shared" si="0"/>
        <v>-19860596.636095401</v>
      </c>
      <c r="G46" t="s">
        <v>1104</v>
      </c>
      <c r="I46" s="8">
        <f t="shared" si="1"/>
        <v>210</v>
      </c>
      <c r="J46" s="33"/>
    </row>
    <row r="47" spans="1:11">
      <c r="A47" s="8">
        <f t="shared" si="2"/>
        <v>211</v>
      </c>
      <c r="B47" t="s">
        <v>72</v>
      </c>
      <c r="D47" s="26">
        <f>$D$6*'1-BaseTRR'!D136</f>
        <v>0</v>
      </c>
      <c r="E47" s="26">
        <f>$E$6*'1-BaseTRR'!D136</f>
        <v>0</v>
      </c>
      <c r="F47" s="26">
        <f t="shared" si="0"/>
        <v>0</v>
      </c>
      <c r="G47" t="s">
        <v>1105</v>
      </c>
      <c r="I47" s="8">
        <f t="shared" si="1"/>
        <v>211</v>
      </c>
      <c r="J47" s="33"/>
    </row>
    <row r="48" spans="1:11">
      <c r="A48" s="8">
        <f t="shared" si="2"/>
        <v>212</v>
      </c>
      <c r="B48" s="12" t="s">
        <v>78</v>
      </c>
      <c r="D48" s="68">
        <f ca="1">SUM(D36:D47)</f>
        <v>884293939.38748419</v>
      </c>
      <c r="E48" s="68">
        <f ca="1">SUM(E36:E47)</f>
        <v>1680831115.2800536</v>
      </c>
      <c r="F48" s="68">
        <f t="shared" ca="1" si="0"/>
        <v>2565125054.6675377</v>
      </c>
      <c r="G48" t="str">
        <f>"Sum of Lines "&amp;A36&amp;" to Line "&amp;A47&amp;""</f>
        <v>Sum of Lines 200 to Line 211</v>
      </c>
      <c r="I48" s="8">
        <f t="shared" si="1"/>
        <v>212</v>
      </c>
      <c r="J48" s="33"/>
    </row>
    <row r="49" spans="1:9">
      <c r="A49" s="8"/>
      <c r="I49" s="8"/>
    </row>
    <row r="50" spans="1:9">
      <c r="A50" s="8">
        <f>A48+1</f>
        <v>213</v>
      </c>
      <c r="B50" s="12" t="s">
        <v>145</v>
      </c>
      <c r="D50" s="32">
        <f ca="1">D48*('1-BaseTRR'!$D$140+'1-BaseTRR'!$D$141)</f>
        <v>6981344.5027204752</v>
      </c>
      <c r="E50" s="32">
        <f ca="1">E48*('1-BaseTRR'!$D$140+'1-BaseTRR'!$D$141)</f>
        <v>13269864.853749793</v>
      </c>
      <c r="F50" s="32">
        <f ca="1">SUM(D50:E50)</f>
        <v>20251209.356470268</v>
      </c>
      <c r="G50" t="s">
        <v>1106</v>
      </c>
      <c r="I50" s="8">
        <f>A50</f>
        <v>213</v>
      </c>
    </row>
    <row r="51" spans="1:9">
      <c r="A51" s="8"/>
      <c r="D51" s="33"/>
      <c r="E51" s="33"/>
      <c r="F51" s="33"/>
      <c r="I51" s="8"/>
    </row>
    <row r="52" spans="1:9">
      <c r="A52" s="8">
        <f>A50+1</f>
        <v>214</v>
      </c>
      <c r="B52" t="s">
        <v>147</v>
      </c>
      <c r="D52" s="32">
        <f ca="1">D6*'1-BaseTRR'!$D$149</f>
        <v>114234950.50616382</v>
      </c>
      <c r="E52" s="32">
        <f ca="1">E6*'1-BaseTRR'!$D$149</f>
        <v>201078720.38140354</v>
      </c>
      <c r="F52" s="32">
        <f ca="1">SUM(D52:E52)</f>
        <v>315313670.88756734</v>
      </c>
      <c r="G52" t="s">
        <v>1107</v>
      </c>
      <c r="I52" s="8">
        <f>A52</f>
        <v>214</v>
      </c>
    </row>
    <row r="53" spans="1:9">
      <c r="A53" s="8">
        <f>A52+1</f>
        <v>215</v>
      </c>
      <c r="B53" t="s">
        <v>921</v>
      </c>
      <c r="D53" s="26">
        <f>D6*'1-BaseTRR'!$D$150</f>
        <v>-53631045.279986523</v>
      </c>
      <c r="E53" s="26">
        <f>E6*'1-BaseTRR'!$D$150</f>
        <v>-94402474.11001347</v>
      </c>
      <c r="F53" s="26">
        <f>SUM(D53:E53)</f>
        <v>-148033519.38999999</v>
      </c>
      <c r="G53" t="s">
        <v>1108</v>
      </c>
      <c r="I53" s="8">
        <f>A53</f>
        <v>215</v>
      </c>
    </row>
    <row r="54" spans="1:9">
      <c r="A54" s="8"/>
      <c r="D54" s="33"/>
      <c r="E54" s="33"/>
      <c r="F54" s="33"/>
      <c r="I54" s="8"/>
    </row>
    <row r="55" spans="1:9">
      <c r="A55" s="8">
        <f>A53+1</f>
        <v>216</v>
      </c>
      <c r="B55" s="12" t="s">
        <v>920</v>
      </c>
      <c r="D55" s="68">
        <f ca="1">ROUND(SUM(D48:D53),2)</f>
        <v>951879189.12</v>
      </c>
      <c r="E55" s="68">
        <f ca="1">ROUND(SUM(E48:E53),2)</f>
        <v>1800777226.4100001</v>
      </c>
      <c r="F55" s="68">
        <f ca="1">SUM(D55:E55)</f>
        <v>2752656415.5300002</v>
      </c>
      <c r="G55" t="str">
        <f>"Sum of Lines "&amp;A48&amp;" to Line "&amp;A53&amp;""</f>
        <v>Sum of Lines 212 to Line 215</v>
      </c>
      <c r="I55" s="8">
        <f>A55</f>
        <v>216</v>
      </c>
    </row>
    <row r="56" spans="1:9">
      <c r="A56" s="8">
        <f>A55+1</f>
        <v>217</v>
      </c>
      <c r="B56" s="12" t="s">
        <v>919</v>
      </c>
      <c r="D56" s="51">
        <v>-286211944</v>
      </c>
      <c r="E56" s="51">
        <v>-131125662</v>
      </c>
      <c r="F56" s="32">
        <f>SUM(D56:E56)</f>
        <v>-417337606</v>
      </c>
      <c r="G56" s="375" t="s">
        <v>2004</v>
      </c>
      <c r="H56" s="154"/>
      <c r="I56" s="8">
        <f>A56</f>
        <v>217</v>
      </c>
    </row>
    <row r="57" spans="1:9">
      <c r="A57" s="8">
        <f>A56+1</f>
        <v>218</v>
      </c>
      <c r="B57" s="12" t="s">
        <v>918</v>
      </c>
      <c r="D57" s="26">
        <f ca="1">-ROUND(D6*'29-RetailRates-1'!F47*0.5,2)</f>
        <v>-3438028.47</v>
      </c>
      <c r="E57" s="26">
        <f ca="1">-ROUND(E6*'29-RetailRates-1'!F47*0.5,2)</f>
        <v>-6051688.7599999998</v>
      </c>
      <c r="F57" s="26">
        <f ca="1">SUM(D57:E57)</f>
        <v>-9489717.2300000004</v>
      </c>
      <c r="G57" t="s">
        <v>1109</v>
      </c>
      <c r="I57" s="8">
        <f>A57</f>
        <v>218</v>
      </c>
    </row>
    <row r="58" spans="1:9">
      <c r="A58" s="8"/>
      <c r="D58" s="33"/>
      <c r="E58" s="33"/>
      <c r="F58" s="33"/>
      <c r="I58" s="8"/>
    </row>
    <row r="59" spans="1:9">
      <c r="A59" s="8">
        <f>A57+1</f>
        <v>219</v>
      </c>
      <c r="B59" s="12" t="s">
        <v>917</v>
      </c>
      <c r="D59" s="555">
        <f ca="1">ROUND(D57+D56+D55,2)</f>
        <v>662229216.64999998</v>
      </c>
      <c r="E59" s="555">
        <f ca="1">ROUND(E57+E56+E55,2)</f>
        <v>1663599875.6500001</v>
      </c>
      <c r="F59" s="555">
        <f ca="1">ROUND(F57+F56+F55,2)</f>
        <v>2325829092.3000002</v>
      </c>
      <c r="G59" t="str">
        <f>"Sum of Lines "&amp;A55&amp;" to Line "&amp;A57&amp;""</f>
        <v>Sum of Lines 216 to Line 218</v>
      </c>
      <c r="I59" s="8">
        <f>A59</f>
        <v>219</v>
      </c>
    </row>
    <row r="61" spans="1:9">
      <c r="B61" s="16"/>
    </row>
  </sheetData>
  <printOptions horizontalCentered="1"/>
  <pageMargins left="1" right="1" top="1" bottom="1" header="0.5" footer="0.5"/>
  <pageSetup scale="66"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F28"/>
  <sheetViews>
    <sheetView tabSelected="1" view="pageBreakPreview" zoomScale="115" zoomScaleSheetLayoutView="115" workbookViewId="0">
      <selection activeCell="C59" activeCellId="1" sqref="L63 C59"/>
    </sheetView>
  </sheetViews>
  <sheetFormatPr defaultColWidth="9.1796875" defaultRowHeight="14.5"/>
  <cols>
    <col min="1" max="1" width="4.7265625" bestFit="1" customWidth="1"/>
    <col min="2" max="2" width="38.54296875" bestFit="1" customWidth="1"/>
    <col min="3" max="3" width="15.7265625" bestFit="1" customWidth="1"/>
    <col min="4" max="4" width="25" bestFit="1" customWidth="1"/>
    <col min="5" max="5" width="9.81640625" bestFit="1" customWidth="1"/>
    <col min="6" max="6" width="4.7265625" bestFit="1" customWidth="1"/>
  </cols>
  <sheetData>
    <row r="1" spans="1:6">
      <c r="B1" s="12" t="s">
        <v>935</v>
      </c>
      <c r="E1" s="15" t="str">
        <f>CONCATENATE("Rate Year: ",'1-BaseTRR'!$F$1)</f>
        <v>Rate Year: 2024</v>
      </c>
    </row>
    <row r="3" spans="1:6">
      <c r="A3" s="13" t="s">
        <v>122</v>
      </c>
      <c r="B3" s="13" t="s">
        <v>127</v>
      </c>
      <c r="C3" s="13" t="s">
        <v>79</v>
      </c>
      <c r="D3" s="13" t="s">
        <v>54</v>
      </c>
      <c r="E3" s="13" t="s">
        <v>11</v>
      </c>
      <c r="F3" s="13" t="str">
        <f>A3</f>
        <v>Line</v>
      </c>
    </row>
    <row r="4" spans="1:6">
      <c r="B4" s="57" t="s">
        <v>934</v>
      </c>
      <c r="C4" s="54"/>
      <c r="D4" s="54"/>
      <c r="E4" s="54"/>
    </row>
    <row r="5" spans="1:6">
      <c r="A5" s="8">
        <v>100</v>
      </c>
      <c r="B5" t="s">
        <v>933</v>
      </c>
      <c r="C5" s="333">
        <f ca="1">'26-WholesaleTRRs'!D59</f>
        <v>662229216.64999998</v>
      </c>
      <c r="D5" s="337" t="s">
        <v>1437</v>
      </c>
      <c r="F5" s="8">
        <f>A5</f>
        <v>100</v>
      </c>
    </row>
    <row r="6" spans="1:6">
      <c r="A6" s="8">
        <f>A5+1</f>
        <v>101</v>
      </c>
      <c r="B6" t="s">
        <v>929</v>
      </c>
      <c r="C6" s="21">
        <f>'28-GrossLoad'!$C$12/1000</f>
        <v>90745267.60060446</v>
      </c>
      <c r="D6" t="str">
        <f>CONCATENATE("28-GrossLoad, L. ",'28-GrossLoad'!$A$12," / 1000")</f>
        <v>28-GrossLoad, L. 104 / 1000</v>
      </c>
      <c r="F6" s="8">
        <f>A6</f>
        <v>101</v>
      </c>
    </row>
    <row r="7" spans="1:6">
      <c r="A7" s="8">
        <f>A6+1</f>
        <v>102</v>
      </c>
      <c r="B7" s="12" t="s">
        <v>932</v>
      </c>
      <c r="C7" s="558">
        <f ca="1">C5/C6</f>
        <v>7.2976721999945795</v>
      </c>
      <c r="D7" t="str">
        <f>"Line "&amp;A5&amp;" / Line "&amp;A6&amp;""</f>
        <v>Line 100 / Line 101</v>
      </c>
      <c r="F7" s="8">
        <f>A7</f>
        <v>102</v>
      </c>
    </row>
    <row r="8" spans="1:6">
      <c r="F8" s="8"/>
    </row>
    <row r="9" spans="1:6">
      <c r="B9" s="57" t="s">
        <v>931</v>
      </c>
      <c r="C9" s="54"/>
      <c r="D9" s="54"/>
      <c r="E9" s="54"/>
      <c r="F9" s="8"/>
    </row>
    <row r="10" spans="1:6">
      <c r="A10" s="8">
        <v>200</v>
      </c>
      <c r="B10" t="s">
        <v>930</v>
      </c>
      <c r="C10" s="333">
        <f ca="1">'26-WholesaleTRRs'!E59</f>
        <v>1663599875.6500001</v>
      </c>
      <c r="D10" s="337" t="s">
        <v>1438</v>
      </c>
      <c r="F10" s="8">
        <f>A10</f>
        <v>200</v>
      </c>
    </row>
    <row r="11" spans="1:6">
      <c r="A11" s="8">
        <f>A10+1</f>
        <v>201</v>
      </c>
      <c r="B11" t="s">
        <v>929</v>
      </c>
      <c r="C11" s="21">
        <f>C6</f>
        <v>90745267.60060446</v>
      </c>
      <c r="D11" t="str">
        <f>CONCATENATE("28-GrossLoad, L. ",'28-GrossLoad'!$A$12," / 1000")</f>
        <v>28-GrossLoad, L. 104 / 1000</v>
      </c>
      <c r="F11" s="8">
        <f>A11</f>
        <v>201</v>
      </c>
    </row>
    <row r="12" spans="1:6">
      <c r="A12" s="8">
        <f>A11+1</f>
        <v>202</v>
      </c>
      <c r="B12" s="12" t="s">
        <v>928</v>
      </c>
      <c r="C12" s="558">
        <f ca="1">C10/C11</f>
        <v>18.33263507439278</v>
      </c>
      <c r="D12" t="str">
        <f>"Line "&amp;A10&amp;" / Line "&amp;A11&amp;""</f>
        <v>Line 200 / Line 201</v>
      </c>
      <c r="F12" s="8">
        <f>A12</f>
        <v>202</v>
      </c>
    </row>
    <row r="14" spans="1:6">
      <c r="B14" s="12"/>
    </row>
    <row r="28" spans="4:4">
      <c r="D28" s="17"/>
    </row>
  </sheetData>
  <printOptions horizontalCentered="1"/>
  <pageMargins left="1" right="1" top="1" bottom="1" header="0.5" footer="0.5"/>
  <pageSetup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I32"/>
  <sheetViews>
    <sheetView tabSelected="1" view="pageBreakPreview" zoomScaleSheetLayoutView="100" workbookViewId="0">
      <selection activeCell="C59" activeCellId="1" sqref="L63 C59"/>
    </sheetView>
  </sheetViews>
  <sheetFormatPr defaultColWidth="9.1796875" defaultRowHeight="14.5"/>
  <cols>
    <col min="1" max="1" width="4.7265625" bestFit="1" customWidth="1"/>
    <col min="2" max="2" width="50" customWidth="1"/>
    <col min="3" max="3" width="18" bestFit="1" customWidth="1"/>
    <col min="4" max="4" width="31.1796875" bestFit="1" customWidth="1"/>
    <col min="5" max="5" width="9.453125" bestFit="1" customWidth="1"/>
    <col min="6" max="6" width="4.7265625" bestFit="1" customWidth="1"/>
    <col min="7" max="7" width="9.1796875" customWidth="1"/>
    <col min="8" max="8" width="21.7265625" bestFit="1" customWidth="1"/>
    <col min="9" max="9" width="13.26953125" bestFit="1" customWidth="1"/>
  </cols>
  <sheetData>
    <row r="1" spans="1:9">
      <c r="B1" s="12" t="s">
        <v>941</v>
      </c>
      <c r="E1" s="15" t="str">
        <f>CONCATENATE("Rate Year: ",'1-BaseTRR'!$F$1)</f>
        <v>Rate Year: 2024</v>
      </c>
    </row>
    <row r="2" spans="1:9">
      <c r="B2" s="117" t="s">
        <v>193</v>
      </c>
      <c r="E2" s="15"/>
    </row>
    <row r="3" spans="1:9">
      <c r="B3" s="142"/>
    </row>
    <row r="4" spans="1:9">
      <c r="B4" s="16" t="s">
        <v>133</v>
      </c>
    </row>
    <row r="5" spans="1:9">
      <c r="B5" t="s">
        <v>940</v>
      </c>
    </row>
    <row r="6" spans="1:9">
      <c r="B6" s="142"/>
    </row>
    <row r="7" spans="1:9">
      <c r="A7" s="13" t="s">
        <v>122</v>
      </c>
      <c r="B7" s="13" t="s">
        <v>127</v>
      </c>
      <c r="C7" s="13" t="s">
        <v>79</v>
      </c>
      <c r="D7" s="13" t="s">
        <v>54</v>
      </c>
      <c r="E7" s="13" t="s">
        <v>11</v>
      </c>
      <c r="F7" s="13" t="s">
        <v>122</v>
      </c>
    </row>
    <row r="8" spans="1:9">
      <c r="A8" s="8">
        <v>100</v>
      </c>
      <c r="B8" t="s">
        <v>939</v>
      </c>
      <c r="C8" s="129">
        <v>92949169392.098099</v>
      </c>
      <c r="D8" s="377" t="s">
        <v>1383</v>
      </c>
      <c r="E8" s="30"/>
      <c r="F8" s="8">
        <f>A8</f>
        <v>100</v>
      </c>
    </row>
    <row r="9" spans="1:9">
      <c r="A9" s="8">
        <f>A8+1</f>
        <v>101</v>
      </c>
      <c r="B9" t="s">
        <v>938</v>
      </c>
      <c r="C9" s="379">
        <v>0.96528000000000003</v>
      </c>
      <c r="D9" s="377" t="s">
        <v>1384</v>
      </c>
      <c r="E9" s="30"/>
      <c r="F9" s="8">
        <f>A9</f>
        <v>101</v>
      </c>
    </row>
    <row r="10" spans="1:9">
      <c r="A10" s="8">
        <f t="shared" ref="A10:A12" si="0">A9+1</f>
        <v>102</v>
      </c>
      <c r="B10" t="s">
        <v>937</v>
      </c>
      <c r="C10" s="21">
        <f>C8*C9</f>
        <v>89721974230.804459</v>
      </c>
      <c r="D10" s="21" t="str">
        <f>"Line "&amp;A8&amp;" * Line "&amp;A9&amp;""</f>
        <v>Line 100 * Line 101</v>
      </c>
      <c r="E10" s="30"/>
      <c r="F10" s="8">
        <f>A10</f>
        <v>102</v>
      </c>
    </row>
    <row r="11" spans="1:9">
      <c r="A11" s="8">
        <f t="shared" si="0"/>
        <v>103</v>
      </c>
      <c r="B11" t="s">
        <v>1139</v>
      </c>
      <c r="C11" s="378">
        <v>1023293369.8</v>
      </c>
      <c r="D11" s="377" t="s">
        <v>1385</v>
      </c>
      <c r="E11" s="30"/>
      <c r="F11" s="8">
        <f>A11</f>
        <v>103</v>
      </c>
    </row>
    <row r="12" spans="1:9">
      <c r="A12" s="8">
        <f t="shared" si="0"/>
        <v>104</v>
      </c>
      <c r="B12" s="12" t="s">
        <v>936</v>
      </c>
      <c r="C12" s="530">
        <f>C11+C10</f>
        <v>90745267600.604462</v>
      </c>
      <c r="D12" s="21" t="str">
        <f>"Line "&amp;A10&amp;" + Line "&amp;A11&amp;""</f>
        <v>Line 102 + Line 103</v>
      </c>
      <c r="E12" s="30"/>
      <c r="F12" s="8">
        <f>A12</f>
        <v>104</v>
      </c>
      <c r="H12" s="572"/>
      <c r="I12" s="572"/>
    </row>
    <row r="14" spans="1:9">
      <c r="B14" s="16"/>
    </row>
    <row r="32" spans="4:4">
      <c r="D32" s="17"/>
    </row>
  </sheetData>
  <printOptions horizontalCentered="1"/>
  <pageMargins left="1" right="1" top="1" bottom="1" header="0.5" footer="0.5"/>
  <pageSetup scale="97"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319E6-0B63-463F-8650-8636E69D782D}">
  <sheetPr>
    <pageSetUpPr fitToPage="1"/>
  </sheetPr>
  <dimension ref="A1:P57"/>
  <sheetViews>
    <sheetView tabSelected="1" view="pageBreakPreview" topLeftCell="A22" zoomScale="85" zoomScaleNormal="85" zoomScaleSheetLayoutView="85" workbookViewId="0">
      <selection activeCell="C59" activeCellId="1" sqref="L63 C59"/>
    </sheetView>
  </sheetViews>
  <sheetFormatPr defaultColWidth="8.81640625" defaultRowHeight="14.5"/>
  <cols>
    <col min="1" max="1" width="5.26953125" style="4" customWidth="1"/>
    <col min="2" max="2" width="8.81640625" style="17" customWidth="1"/>
    <col min="3" max="3" width="3.7265625" style="17" customWidth="1"/>
    <col min="4" max="4" width="16.7265625" style="17" customWidth="1"/>
    <col min="5" max="5" width="1.1796875" style="17" customWidth="1"/>
    <col min="6" max="6" width="16.453125" style="17" customWidth="1"/>
    <col min="7" max="7" width="2.7265625" style="381" hidden="1" customWidth="1"/>
    <col min="8" max="8" width="18" style="17" customWidth="1"/>
    <col min="9" max="9" width="7.7265625" style="17" customWidth="1"/>
    <col min="10" max="10" width="13.26953125" style="17" customWidth="1"/>
    <col min="11" max="11" width="15.54296875" style="380" customWidth="1"/>
    <col min="12" max="12" width="15.453125" style="17" customWidth="1"/>
    <col min="13" max="13" width="13.26953125" style="27" customWidth="1"/>
    <col min="14" max="14" width="7.1796875" style="27" customWidth="1"/>
    <col min="15" max="16384" width="8.81640625" style="17"/>
  </cols>
  <sheetData>
    <row r="1" spans="1:14">
      <c r="A1" s="201"/>
      <c r="B1" s="201" t="s">
        <v>1125</v>
      </c>
      <c r="M1" s="15" t="s">
        <v>1126</v>
      </c>
      <c r="N1" s="17"/>
    </row>
    <row r="2" spans="1:14">
      <c r="A2" s="201"/>
      <c r="B2" s="201" t="s">
        <v>1127</v>
      </c>
      <c r="C2" s="4"/>
      <c r="D2" s="388"/>
      <c r="E2" s="384"/>
      <c r="F2" s="4"/>
      <c r="L2" s="387"/>
      <c r="M2" s="386" t="s">
        <v>1128</v>
      </c>
      <c r="N2" s="17"/>
    </row>
    <row r="3" spans="1:14">
      <c r="A3" s="201"/>
      <c r="B3" s="414" t="s">
        <v>193</v>
      </c>
      <c r="C3" s="414"/>
      <c r="D3" s="414"/>
      <c r="E3" s="384"/>
      <c r="F3" s="4"/>
      <c r="M3" s="17"/>
      <c r="N3" s="17"/>
    </row>
    <row r="5" spans="1:14">
      <c r="D5" s="734"/>
      <c r="F5" s="122" t="s">
        <v>98</v>
      </c>
      <c r="G5" s="735"/>
      <c r="H5" s="122" t="s">
        <v>99</v>
      </c>
      <c r="I5" s="115"/>
      <c r="J5" s="122" t="s">
        <v>100</v>
      </c>
      <c r="K5" s="389"/>
      <c r="L5" s="122" t="s">
        <v>101</v>
      </c>
      <c r="M5" s="122" t="s">
        <v>102</v>
      </c>
      <c r="N5" s="17"/>
    </row>
    <row r="6" spans="1:14">
      <c r="D6" s="734"/>
      <c r="F6" s="122"/>
      <c r="G6" s="735"/>
      <c r="H6" s="122"/>
      <c r="I6" s="115"/>
      <c r="J6" s="122"/>
      <c r="K6" s="389"/>
      <c r="L6" s="122"/>
      <c r="M6" s="122"/>
      <c r="N6" s="17"/>
    </row>
    <row r="7" spans="1:14">
      <c r="F7" s="27" t="s">
        <v>123</v>
      </c>
      <c r="G7" s="27"/>
      <c r="H7" s="27" t="s">
        <v>124</v>
      </c>
      <c r="I7" s="391"/>
      <c r="J7" s="140" t="s">
        <v>1278</v>
      </c>
      <c r="K7" s="391"/>
      <c r="L7" s="385" t="s">
        <v>166</v>
      </c>
      <c r="M7" s="140" t="s">
        <v>1279</v>
      </c>
      <c r="N7" s="17"/>
    </row>
    <row r="8" spans="1:14">
      <c r="F8" s="27" t="s">
        <v>977</v>
      </c>
      <c r="H8" s="27" t="s">
        <v>976</v>
      </c>
      <c r="I8" s="27" t="s">
        <v>975</v>
      </c>
      <c r="J8" s="385" t="s">
        <v>190</v>
      </c>
      <c r="K8" s="385" t="s">
        <v>975</v>
      </c>
      <c r="L8" s="385" t="s">
        <v>974</v>
      </c>
      <c r="M8" s="27" t="s">
        <v>973</v>
      </c>
      <c r="N8" s="17"/>
    </row>
    <row r="9" spans="1:14">
      <c r="A9" s="119" t="s">
        <v>122</v>
      </c>
      <c r="B9" s="736" t="s">
        <v>972</v>
      </c>
      <c r="C9" s="115"/>
      <c r="D9" s="736" t="s">
        <v>971</v>
      </c>
      <c r="F9" s="736" t="s">
        <v>970</v>
      </c>
      <c r="G9" s="115"/>
      <c r="H9" s="736" t="s">
        <v>969</v>
      </c>
      <c r="I9" s="736" t="s">
        <v>968</v>
      </c>
      <c r="J9" s="736" t="s">
        <v>413</v>
      </c>
      <c r="K9" s="736" t="s">
        <v>968</v>
      </c>
      <c r="L9" s="736" t="s">
        <v>967</v>
      </c>
      <c r="M9" s="736" t="s">
        <v>966</v>
      </c>
      <c r="N9" s="119" t="str">
        <f>A9</f>
        <v>Line</v>
      </c>
    </row>
    <row r="10" spans="1:14">
      <c r="G10" s="17"/>
      <c r="I10" s="381"/>
      <c r="J10" s="142"/>
      <c r="K10" s="142"/>
      <c r="L10" s="380"/>
      <c r="M10" s="17"/>
      <c r="N10" s="4"/>
    </row>
    <row r="11" spans="1:14">
      <c r="A11" s="131">
        <v>100</v>
      </c>
      <c r="B11" s="221" t="s">
        <v>965</v>
      </c>
      <c r="C11" s="221"/>
      <c r="D11" s="737" t="s">
        <v>964</v>
      </c>
      <c r="E11" s="221"/>
      <c r="F11" s="486">
        <f ca="1">+'29-RetailRates-2'!M12</f>
        <v>1295825384.5268798</v>
      </c>
      <c r="G11" s="738"/>
      <c r="H11" s="739">
        <f>'29-RetailRates-2'!E12</f>
        <v>27666722782.354755</v>
      </c>
      <c r="I11" s="740" t="s">
        <v>953</v>
      </c>
      <c r="J11" s="741">
        <f ca="1">F11/(H11-'29-RetailRates-2'!$E$13)</f>
        <v>4.6837386297427466E-2</v>
      </c>
      <c r="K11" s="742" t="s">
        <v>948</v>
      </c>
      <c r="L11" s="739">
        <f>'29-RetailRates-2'!E12</f>
        <v>27666722782.354755</v>
      </c>
      <c r="M11" s="743">
        <f ca="1">F11/L11</f>
        <v>4.6836967092948559E-2</v>
      </c>
      <c r="N11" s="131">
        <f>A11</f>
        <v>100</v>
      </c>
    </row>
    <row r="12" spans="1:14">
      <c r="A12" s="131"/>
      <c r="D12" s="387"/>
      <c r="F12" s="164"/>
      <c r="G12" s="164"/>
      <c r="H12" s="380"/>
      <c r="I12" s="744"/>
      <c r="J12" s="745" t="s">
        <v>958</v>
      </c>
      <c r="K12" s="142"/>
      <c r="L12" s="380"/>
      <c r="N12" s="17"/>
    </row>
    <row r="13" spans="1:14">
      <c r="A13" s="131">
        <f>A11+1</f>
        <v>101</v>
      </c>
      <c r="B13" s="221" t="s">
        <v>1967</v>
      </c>
      <c r="C13" s="221"/>
      <c r="D13" s="737" t="s">
        <v>963</v>
      </c>
      <c r="E13" s="221"/>
      <c r="F13" s="486">
        <f ca="1">+'29-RetailRates-2'!M14</f>
        <v>264484383.15648741</v>
      </c>
      <c r="G13" s="738"/>
      <c r="H13" s="739">
        <f>'29-RetailRates-2'!E14</f>
        <v>8074913236.0832243</v>
      </c>
      <c r="I13" s="740" t="s">
        <v>953</v>
      </c>
      <c r="J13" s="741">
        <f ca="1">F13/H13</f>
        <v>3.2753835914251489E-2</v>
      </c>
      <c r="K13" s="742" t="s">
        <v>948</v>
      </c>
      <c r="L13" s="739">
        <f>'29-RetailRates-2'!E14</f>
        <v>8074913236.0832243</v>
      </c>
      <c r="M13" s="743">
        <f ca="1">F13/L13</f>
        <v>3.2753835914251489E-2</v>
      </c>
      <c r="N13" s="131">
        <f>A13</f>
        <v>101</v>
      </c>
    </row>
    <row r="14" spans="1:14">
      <c r="A14" s="131"/>
      <c r="D14" s="387"/>
      <c r="F14" s="164"/>
      <c r="G14" s="164"/>
      <c r="H14" s="380"/>
      <c r="I14" s="744"/>
      <c r="J14" s="745" t="s">
        <v>958</v>
      </c>
      <c r="K14" s="142"/>
      <c r="L14" s="380"/>
      <c r="N14" s="17"/>
    </row>
    <row r="15" spans="1:14">
      <c r="A15" s="131">
        <f>A13+1</f>
        <v>102</v>
      </c>
      <c r="B15" s="17" t="s">
        <v>1968</v>
      </c>
      <c r="D15" s="387" t="s">
        <v>962</v>
      </c>
      <c r="F15" s="164"/>
      <c r="G15" s="164"/>
      <c r="H15" s="746">
        <v>29336261.359636001</v>
      </c>
      <c r="I15" s="744" t="s">
        <v>943</v>
      </c>
      <c r="J15" s="747"/>
      <c r="K15" s="124"/>
      <c r="L15" s="380">
        <f>'29-RetailRates-2'!E16</f>
        <v>7953343254.7308159</v>
      </c>
      <c r="M15" s="748">
        <f ca="1">(H15*$J$23)/L15</f>
        <v>3.6621921100087752E-2</v>
      </c>
      <c r="N15" s="131">
        <f>A15</f>
        <v>102</v>
      </c>
    </row>
    <row r="16" spans="1:14">
      <c r="A16" s="131"/>
      <c r="D16" s="387"/>
      <c r="F16" s="164"/>
      <c r="G16" s="164"/>
      <c r="H16" s="380"/>
      <c r="I16" s="744"/>
      <c r="J16" s="747"/>
      <c r="K16" s="142"/>
      <c r="L16" s="380"/>
      <c r="N16" s="17"/>
    </row>
    <row r="17" spans="1:14">
      <c r="A17" s="131">
        <f>A15+1</f>
        <v>103</v>
      </c>
      <c r="B17" s="17" t="s">
        <v>1969</v>
      </c>
      <c r="D17" s="387" t="s">
        <v>952</v>
      </c>
      <c r="F17" s="164"/>
      <c r="G17" s="164"/>
      <c r="H17" s="746">
        <v>132961.99546900002</v>
      </c>
      <c r="I17" s="744" t="s">
        <v>943</v>
      </c>
      <c r="J17" s="747"/>
      <c r="K17" s="124"/>
      <c r="L17" s="380">
        <f>'29-RetailRates-2'!E18</f>
        <v>51486492.216999993</v>
      </c>
      <c r="M17" s="748">
        <f ca="1">(H17*$J$23)/L17</f>
        <v>2.5640134727950674E-2</v>
      </c>
      <c r="N17" s="131">
        <f>A17</f>
        <v>103</v>
      </c>
    </row>
    <row r="18" spans="1:14">
      <c r="A18" s="131"/>
      <c r="D18" s="387"/>
      <c r="F18" s="164"/>
      <c r="G18" s="164"/>
      <c r="H18" s="380"/>
      <c r="I18" s="744"/>
      <c r="J18" s="747"/>
      <c r="K18" s="142"/>
      <c r="L18" s="380"/>
      <c r="N18" s="17"/>
    </row>
    <row r="19" spans="1:14">
      <c r="A19" s="131">
        <f>A17+1</f>
        <v>104</v>
      </c>
      <c r="B19" s="17" t="s">
        <v>1969</v>
      </c>
      <c r="D19" s="387" t="s">
        <v>950</v>
      </c>
      <c r="F19" s="164"/>
      <c r="G19" s="164"/>
      <c r="H19" s="746">
        <v>3431810.236974</v>
      </c>
      <c r="I19" s="744" t="s">
        <v>943</v>
      </c>
      <c r="J19" s="747"/>
      <c r="K19" s="124"/>
      <c r="L19" s="380">
        <f>'29-RetailRates-2'!E20</f>
        <v>1313285738.5606451</v>
      </c>
      <c r="M19" s="748">
        <f ca="1">(H19*$J$23)/L19</f>
        <v>2.594478762890708E-2</v>
      </c>
      <c r="N19" s="131">
        <f>A19</f>
        <v>104</v>
      </c>
    </row>
    <row r="20" spans="1:14">
      <c r="A20" s="131"/>
      <c r="D20" s="387"/>
      <c r="F20" s="164"/>
      <c r="G20" s="164"/>
      <c r="H20" s="380"/>
      <c r="I20" s="744"/>
      <c r="J20" s="747" t="s">
        <v>958</v>
      </c>
      <c r="K20" s="142"/>
      <c r="L20" s="380"/>
      <c r="N20" s="17"/>
    </row>
    <row r="21" spans="1:14">
      <c r="A21" s="131">
        <f>A19+1</f>
        <v>105</v>
      </c>
      <c r="B21" s="17" t="s">
        <v>1969</v>
      </c>
      <c r="D21" s="387" t="s">
        <v>947</v>
      </c>
      <c r="F21" s="164"/>
      <c r="G21" s="164"/>
      <c r="H21" s="383">
        <v>33609672.577980995</v>
      </c>
      <c r="I21" s="744" t="s">
        <v>943</v>
      </c>
      <c r="J21" s="747"/>
      <c r="K21" s="124"/>
      <c r="L21" s="380">
        <f>'29-RetailRates-2'!E22</f>
        <v>12722209440.490993</v>
      </c>
      <c r="M21" s="748">
        <f ca="1">(H21*$J$23)/L21</f>
        <v>2.6229367834439066E-2</v>
      </c>
      <c r="N21" s="131">
        <f>A21</f>
        <v>105</v>
      </c>
    </row>
    <row r="22" spans="1:14">
      <c r="A22" s="131"/>
      <c r="D22" s="387"/>
      <c r="F22" s="164"/>
      <c r="G22" s="164"/>
      <c r="H22" s="380"/>
      <c r="I22" s="744"/>
      <c r="J22" s="745" t="s">
        <v>958</v>
      </c>
      <c r="K22" s="142"/>
      <c r="L22" s="380"/>
      <c r="N22" s="17"/>
    </row>
    <row r="23" spans="1:14">
      <c r="A23" s="131">
        <f>A21+1</f>
        <v>106</v>
      </c>
      <c r="B23" s="749" t="s">
        <v>961</v>
      </c>
      <c r="C23" s="221"/>
      <c r="D23" s="737"/>
      <c r="E23" s="221"/>
      <c r="F23" s="486">
        <f ca="1">+'29-RetailRates-2'!M24</f>
        <v>660355260.41822028</v>
      </c>
      <c r="G23" s="738"/>
      <c r="H23" s="739">
        <f>SUM(H15:H21)</f>
        <v>66510706.170059994</v>
      </c>
      <c r="I23" s="740" t="s">
        <v>943</v>
      </c>
      <c r="J23" s="750">
        <f ca="1">F23/H23</f>
        <v>9.928555843773033</v>
      </c>
      <c r="K23" s="742" t="s">
        <v>951</v>
      </c>
      <c r="L23" s="739"/>
      <c r="M23" s="751"/>
      <c r="N23" s="131">
        <f>A23</f>
        <v>106</v>
      </c>
    </row>
    <row r="24" spans="1:14">
      <c r="A24" s="131"/>
      <c r="D24" s="387"/>
      <c r="F24" s="164"/>
      <c r="G24" s="164"/>
      <c r="H24" s="380"/>
      <c r="I24" s="744"/>
      <c r="J24" s="745"/>
      <c r="K24" s="142"/>
      <c r="L24" s="380"/>
      <c r="N24" s="17"/>
    </row>
    <row r="25" spans="1:14">
      <c r="A25" s="131">
        <f>A23+1</f>
        <v>107</v>
      </c>
      <c r="B25" s="221" t="s">
        <v>960</v>
      </c>
      <c r="C25" s="221"/>
      <c r="D25" s="737" t="s">
        <v>959</v>
      </c>
      <c r="E25" s="221"/>
      <c r="F25" s="486">
        <f ca="1">+'29-RetailRates-2'!M26</f>
        <v>6943314.4805304911</v>
      </c>
      <c r="G25" s="738"/>
      <c r="H25" s="739">
        <f>'29-RetailRates-2'!E26</f>
        <v>253429732.82046798</v>
      </c>
      <c r="I25" s="740" t="s">
        <v>953</v>
      </c>
      <c r="J25" s="741">
        <f ca="1">F25/H25</f>
        <v>2.7397394943588567E-2</v>
      </c>
      <c r="K25" s="742" t="s">
        <v>948</v>
      </c>
      <c r="L25" s="739">
        <f>'29-RetailRates-2'!E26</f>
        <v>253429732.82046798</v>
      </c>
      <c r="M25" s="743">
        <f ca="1">F25/L25</f>
        <v>2.7397394943588567E-2</v>
      </c>
      <c r="N25" s="131">
        <f>A25</f>
        <v>107</v>
      </c>
    </row>
    <row r="26" spans="1:14">
      <c r="A26" s="131"/>
      <c r="D26" s="387"/>
      <c r="F26" s="164"/>
      <c r="G26" s="164"/>
      <c r="H26" s="380"/>
      <c r="I26" s="744"/>
      <c r="J26" s="745" t="s">
        <v>958</v>
      </c>
      <c r="K26" s="142"/>
      <c r="L26" s="380"/>
      <c r="N26" s="17"/>
    </row>
    <row r="27" spans="1:14">
      <c r="A27" s="131">
        <f>A25+1</f>
        <v>108</v>
      </c>
      <c r="B27" s="17" t="s">
        <v>957</v>
      </c>
      <c r="D27" s="387" t="s">
        <v>956</v>
      </c>
      <c r="F27" s="164"/>
      <c r="G27" s="164"/>
      <c r="H27" s="380">
        <f>'29-RetailRates-2'!E28</f>
        <v>115953240.106251</v>
      </c>
      <c r="I27" s="744" t="s">
        <v>953</v>
      </c>
      <c r="J27" s="745"/>
      <c r="K27" s="124"/>
      <c r="L27" s="380">
        <f>'29-RetailRates-2'!E28</f>
        <v>115953240.106251</v>
      </c>
      <c r="M27" s="748">
        <f ca="1">H27*$J$31/L27</f>
        <v>3.086974397373704E-2</v>
      </c>
      <c r="N27" s="131">
        <f>A27</f>
        <v>108</v>
      </c>
    </row>
    <row r="28" spans="1:14">
      <c r="A28" s="131"/>
      <c r="D28" s="387"/>
      <c r="F28" s="164"/>
      <c r="G28" s="164"/>
      <c r="H28" s="380"/>
      <c r="I28" s="744"/>
      <c r="J28" s="745"/>
      <c r="K28" s="142"/>
      <c r="L28" s="380"/>
      <c r="N28" s="17"/>
    </row>
    <row r="29" spans="1:14">
      <c r="A29" s="131">
        <f>A27+1</f>
        <v>109</v>
      </c>
      <c r="D29" s="387" t="s">
        <v>955</v>
      </c>
      <c r="F29" s="164"/>
      <c r="G29" s="164"/>
      <c r="H29" s="739">
        <f>'29-RetailRates-2'!E30</f>
        <v>5396087006.08675</v>
      </c>
      <c r="I29" s="744" t="s">
        <v>953</v>
      </c>
      <c r="J29" s="745"/>
      <c r="K29" s="124"/>
      <c r="L29" s="380">
        <f>'29-RetailRates-2'!E30</f>
        <v>5396087006.08675</v>
      </c>
      <c r="M29" s="748">
        <f ca="1">H29*$J$31/L29</f>
        <v>3.086974397373704E-2</v>
      </c>
      <c r="N29" s="131">
        <f>A29</f>
        <v>109</v>
      </c>
    </row>
    <row r="30" spans="1:14">
      <c r="A30" s="131"/>
      <c r="D30" s="387"/>
      <c r="F30" s="164"/>
      <c r="G30" s="164"/>
      <c r="H30" s="380"/>
      <c r="I30" s="744"/>
      <c r="J30" s="745"/>
      <c r="K30" s="124"/>
      <c r="L30" s="380"/>
      <c r="N30" s="17"/>
    </row>
    <row r="31" spans="1:14">
      <c r="A31" s="131">
        <f>A29+1</f>
        <v>110</v>
      </c>
      <c r="B31" s="749" t="s">
        <v>954</v>
      </c>
      <c r="C31" s="221"/>
      <c r="D31" s="737"/>
      <c r="E31" s="221"/>
      <c r="F31" s="486">
        <f ca="1">+'29-RetailRates-2'!M32</f>
        <v>170155271.17291242</v>
      </c>
      <c r="G31" s="738"/>
      <c r="H31" s="739">
        <f>SUM(H27:H29)</f>
        <v>5512040246.1930008</v>
      </c>
      <c r="I31" s="740" t="s">
        <v>953</v>
      </c>
      <c r="J31" s="741">
        <f ca="1">F31/H31</f>
        <v>3.086974397373704E-2</v>
      </c>
      <c r="K31" s="742" t="s">
        <v>948</v>
      </c>
      <c r="L31" s="739"/>
      <c r="M31" s="751"/>
      <c r="N31" s="131">
        <f>A31</f>
        <v>110</v>
      </c>
    </row>
    <row r="32" spans="1:14">
      <c r="A32" s="131"/>
      <c r="D32" s="387"/>
      <c r="F32" s="164"/>
      <c r="G32" s="164"/>
      <c r="H32" s="380"/>
      <c r="I32" s="744"/>
      <c r="J32" s="745"/>
      <c r="K32" s="142"/>
      <c r="L32" s="380"/>
      <c r="N32" s="17"/>
    </row>
    <row r="33" spans="1:16">
      <c r="A33" s="131">
        <f>A31+1</f>
        <v>111</v>
      </c>
      <c r="B33" s="17" t="s">
        <v>1971</v>
      </c>
      <c r="D33" s="387" t="s">
        <v>952</v>
      </c>
      <c r="F33" s="164"/>
      <c r="G33" s="164"/>
      <c r="H33" s="746">
        <v>11234365.299442999</v>
      </c>
      <c r="I33" s="744" t="s">
        <v>943</v>
      </c>
      <c r="J33" s="747"/>
      <c r="K33" s="124"/>
      <c r="L33" s="380">
        <f>'29-RetailRates-2'!E34</f>
        <v>5813304544.7361603</v>
      </c>
      <c r="M33" s="748">
        <f ca="1">+H33*$J$39/L33</f>
        <v>2.3250041568518613E-2</v>
      </c>
      <c r="N33" s="131">
        <f>A33</f>
        <v>111</v>
      </c>
    </row>
    <row r="34" spans="1:16">
      <c r="A34" s="131"/>
      <c r="D34" s="387"/>
      <c r="F34" s="164"/>
      <c r="G34" s="164"/>
      <c r="H34" s="380"/>
      <c r="I34" s="744"/>
      <c r="J34" s="747"/>
      <c r="K34" s="142"/>
      <c r="L34" s="380"/>
      <c r="N34" s="17"/>
    </row>
    <row r="35" spans="1:16">
      <c r="A35" s="131">
        <f>A33+1</f>
        <v>112</v>
      </c>
      <c r="B35" s="17" t="s">
        <v>1971</v>
      </c>
      <c r="D35" s="387" t="s">
        <v>950</v>
      </c>
      <c r="F35" s="164"/>
      <c r="G35" s="164"/>
      <c r="H35" s="746">
        <v>13735879.086199</v>
      </c>
      <c r="I35" s="744" t="s">
        <v>943</v>
      </c>
      <c r="J35" s="747"/>
      <c r="K35" s="124"/>
      <c r="L35" s="380">
        <f>'29-RetailRates-2'!E36</f>
        <v>6366762979.4000874</v>
      </c>
      <c r="M35" s="748">
        <f ca="1">+H35*$J$39/L35</f>
        <v>2.5955897132625898E-2</v>
      </c>
      <c r="N35" s="131">
        <f>A35</f>
        <v>112</v>
      </c>
    </row>
    <row r="36" spans="1:16">
      <c r="A36" s="131"/>
      <c r="D36" s="387"/>
      <c r="F36" s="164"/>
      <c r="G36" s="164"/>
      <c r="H36" s="380"/>
      <c r="I36" s="744"/>
      <c r="J36" s="747"/>
      <c r="K36" s="142"/>
      <c r="L36" s="380"/>
      <c r="N36" s="17"/>
    </row>
    <row r="37" spans="1:16">
      <c r="A37" s="131">
        <f>A35+1</f>
        <v>113</v>
      </c>
      <c r="B37" s="17" t="s">
        <v>1971</v>
      </c>
      <c r="D37" s="387" t="s">
        <v>947</v>
      </c>
      <c r="F37" s="164"/>
      <c r="G37" s="164"/>
      <c r="H37" s="383">
        <v>4130440.7981360005</v>
      </c>
      <c r="I37" s="744" t="s">
        <v>943</v>
      </c>
      <c r="J37" s="747"/>
      <c r="K37" s="124"/>
      <c r="L37" s="380">
        <f>'29-RetailRates-2'!E38</f>
        <v>1802238688.755214</v>
      </c>
      <c r="M37" s="748">
        <f ca="1">+H37*$J$39/L37</f>
        <v>2.7572894604681632E-2</v>
      </c>
      <c r="N37" s="131">
        <f>A37</f>
        <v>113</v>
      </c>
    </row>
    <row r="38" spans="1:16">
      <c r="A38" s="131"/>
      <c r="D38" s="387"/>
      <c r="F38" s="164"/>
      <c r="G38" s="380"/>
      <c r="H38" s="380"/>
      <c r="I38" s="408"/>
      <c r="J38" s="747"/>
      <c r="K38" s="124"/>
      <c r="L38" s="380"/>
      <c r="N38" s="17"/>
    </row>
    <row r="39" spans="1:16">
      <c r="A39" s="131">
        <f>A37+1</f>
        <v>114</v>
      </c>
      <c r="B39" s="749" t="s">
        <v>1972</v>
      </c>
      <c r="C39" s="221"/>
      <c r="D39" s="737"/>
      <c r="E39" s="221"/>
      <c r="F39" s="486">
        <f ca="1">+'29-RetailRates-2'!M40</f>
        <v>350107554.69422048</v>
      </c>
      <c r="G39" s="739"/>
      <c r="H39" s="739">
        <f>SUM(H33:H37)</f>
        <v>29100685.183777999</v>
      </c>
      <c r="I39" s="740" t="s">
        <v>943</v>
      </c>
      <c r="J39" s="750">
        <f ca="1">F39/H39</f>
        <v>12.0309041688608</v>
      </c>
      <c r="K39" s="742" t="s">
        <v>951</v>
      </c>
      <c r="L39" s="739"/>
      <c r="M39" s="751"/>
      <c r="N39" s="131">
        <f>A39</f>
        <v>114</v>
      </c>
    </row>
    <row r="40" spans="1:16">
      <c r="A40" s="131"/>
      <c r="D40" s="387"/>
      <c r="F40" s="164"/>
      <c r="G40" s="380"/>
      <c r="H40" s="380"/>
      <c r="I40" s="408"/>
      <c r="J40" s="407"/>
      <c r="K40" s="142"/>
      <c r="L40" s="380"/>
      <c r="N40" s="17"/>
    </row>
    <row r="41" spans="1:16">
      <c r="A41" s="131">
        <f>A39+1</f>
        <v>115</v>
      </c>
      <c r="B41" s="17" t="s">
        <v>1973</v>
      </c>
      <c r="D41" s="387" t="s">
        <v>952</v>
      </c>
      <c r="F41" s="752"/>
      <c r="G41" s="164"/>
      <c r="H41" s="746">
        <v>8514190.1340349987</v>
      </c>
      <c r="I41" s="744" t="s">
        <v>943</v>
      </c>
      <c r="J41" s="856"/>
      <c r="K41" s="856"/>
      <c r="L41" s="380">
        <f>'29-RetailRates-2'!E45</f>
        <v>509584663.90853697</v>
      </c>
      <c r="M41" s="753">
        <f ca="1">($J$46*H41*0.85+$J$44*L41)/L41</f>
        <v>3.3647631339840216E-2</v>
      </c>
      <c r="N41" s="131">
        <f>A41</f>
        <v>115</v>
      </c>
    </row>
    <row r="42" spans="1:16">
      <c r="A42" s="131"/>
      <c r="D42" s="387"/>
      <c r="F42" s="752"/>
      <c r="G42" s="164"/>
      <c r="H42" s="380"/>
      <c r="I42" s="744"/>
      <c r="J42" s="733"/>
      <c r="K42" s="754"/>
      <c r="L42" s="380"/>
      <c r="M42" s="755"/>
      <c r="N42" s="17"/>
    </row>
    <row r="43" spans="1:16">
      <c r="A43" s="131">
        <f>A41+1</f>
        <v>116</v>
      </c>
      <c r="B43" s="17" t="s">
        <v>1973</v>
      </c>
      <c r="D43" s="387" t="s">
        <v>950</v>
      </c>
      <c r="F43" s="752"/>
      <c r="G43" s="164"/>
      <c r="H43" s="746">
        <v>1279797.6705809999</v>
      </c>
      <c r="I43" s="744" t="s">
        <v>943</v>
      </c>
      <c r="J43" s="856" t="s">
        <v>949</v>
      </c>
      <c r="K43" s="856"/>
      <c r="L43" s="380">
        <f>'29-RetailRates-2'!E47</f>
        <v>17656940.444141999</v>
      </c>
      <c r="M43" s="753">
        <f ca="1">($J$46*H43*0.85+$J$44*L43)/L43</f>
        <v>8.7297376998829834E-2</v>
      </c>
      <c r="N43" s="131">
        <f>A43</f>
        <v>116</v>
      </c>
    </row>
    <row r="44" spans="1:16">
      <c r="A44" s="131"/>
      <c r="D44" s="387"/>
      <c r="F44" s="752"/>
      <c r="G44" s="164"/>
      <c r="H44" s="380"/>
      <c r="I44" s="744"/>
      <c r="J44" s="745">
        <f ca="1">(F47*0.5)/SUM(L41:L45)</f>
        <v>1.7575657293273969E-2</v>
      </c>
      <c r="K44" s="754" t="s">
        <v>948</v>
      </c>
      <c r="L44" s="380"/>
      <c r="M44" s="755"/>
      <c r="N44" s="17"/>
    </row>
    <row r="45" spans="1:16">
      <c r="A45" s="131">
        <f>A43+1</f>
        <v>117</v>
      </c>
      <c r="B45" s="17" t="s">
        <v>1973</v>
      </c>
      <c r="D45" s="387" t="s">
        <v>947</v>
      </c>
      <c r="F45" s="752"/>
      <c r="G45" s="164"/>
      <c r="H45" s="383">
        <v>71329.188691999996</v>
      </c>
      <c r="I45" s="744" t="s">
        <v>943</v>
      </c>
      <c r="J45" s="856" t="s">
        <v>946</v>
      </c>
      <c r="K45" s="856"/>
      <c r="L45" s="380">
        <f>'29-RetailRates-2'!E49</f>
        <v>12693663.914753001</v>
      </c>
      <c r="M45" s="753">
        <f ca="1">($J$46*H45*0.85+$J$44*L45)/L45</f>
        <v>2.298099106536429E-2</v>
      </c>
      <c r="N45" s="131">
        <f>A45</f>
        <v>117</v>
      </c>
    </row>
    <row r="46" spans="1:16">
      <c r="A46" s="131"/>
      <c r="D46" s="387"/>
      <c r="F46" s="752"/>
      <c r="G46" s="164"/>
      <c r="H46" s="380"/>
      <c r="I46" s="744"/>
      <c r="J46" s="747">
        <f ca="1">(F47*0.5)/(H47*0.85)</f>
        <v>1.1316791164389399</v>
      </c>
      <c r="K46" s="754" t="s">
        <v>945</v>
      </c>
      <c r="L46" s="380"/>
      <c r="M46" s="755"/>
      <c r="N46" s="17"/>
    </row>
    <row r="47" spans="1:16">
      <c r="A47" s="131">
        <f>A45+1</f>
        <v>118</v>
      </c>
      <c r="B47" s="749" t="s">
        <v>944</v>
      </c>
      <c r="C47" s="221"/>
      <c r="D47" s="737"/>
      <c r="E47" s="221"/>
      <c r="F47" s="486">
        <f ca="1">+'29-RetailRates-2'!M51</f>
        <v>18979434.471240655</v>
      </c>
      <c r="G47" s="739"/>
      <c r="H47" s="739">
        <f>SUM(H41:H45)</f>
        <v>9865316.9933079984</v>
      </c>
      <c r="I47" s="740" t="s">
        <v>943</v>
      </c>
      <c r="J47" s="221"/>
      <c r="K47" s="739"/>
      <c r="L47" s="739">
        <f>SUM(L41:L46)</f>
        <v>539935268.26743197</v>
      </c>
      <c r="M47" s="756">
        <f ca="1">($J$46*H47*0.85+$J$44*L47)/L47</f>
        <v>3.5151314586547938E-2</v>
      </c>
      <c r="N47" s="131">
        <f>A47</f>
        <v>118</v>
      </c>
      <c r="O47" s="27"/>
      <c r="P47" s="31"/>
    </row>
    <row r="48" spans="1:16">
      <c r="A48" s="131"/>
      <c r="C48" s="757"/>
      <c r="D48" s="758"/>
      <c r="E48" s="758"/>
      <c r="F48" s="758"/>
      <c r="G48" s="759"/>
      <c r="H48" s="752"/>
      <c r="J48" s="760"/>
      <c r="L48" s="380"/>
      <c r="M48" s="17"/>
      <c r="N48" s="17"/>
    </row>
    <row r="49" spans="1:14">
      <c r="A49" s="131">
        <f>A47+1</f>
        <v>119</v>
      </c>
      <c r="B49" s="142" t="s">
        <v>354</v>
      </c>
      <c r="D49" s="17" t="s">
        <v>942</v>
      </c>
      <c r="F49" s="463">
        <f ca="1">SUM(F10:F47)</f>
        <v>2766850602.9204912</v>
      </c>
      <c r="G49" s="380"/>
      <c r="L49" s="380">
        <f>SUM(L11:L45)</f>
        <v>78069672404.609802</v>
      </c>
      <c r="M49" s="748">
        <f ca="1">F49/L49</f>
        <v>3.5440786642229029E-2</v>
      </c>
      <c r="N49" s="131">
        <f>A49</f>
        <v>119</v>
      </c>
    </row>
    <row r="50" spans="1:14">
      <c r="B50" s="142"/>
      <c r="F50" s="761"/>
      <c r="G50" s="380"/>
      <c r="L50" s="380"/>
      <c r="M50" s="748"/>
      <c r="N50" s="17"/>
    </row>
    <row r="51" spans="1:14">
      <c r="F51" s="762"/>
      <c r="G51" s="380"/>
      <c r="H51" s="509"/>
      <c r="J51" s="509"/>
      <c r="L51" s="380"/>
      <c r="M51" s="748"/>
      <c r="N51" s="17"/>
    </row>
    <row r="52" spans="1:14">
      <c r="B52" s="206" t="s">
        <v>125</v>
      </c>
      <c r="E52" s="382"/>
      <c r="F52" s="217"/>
      <c r="G52" s="17"/>
      <c r="L52" s="380"/>
      <c r="M52" s="17"/>
      <c r="N52" s="17"/>
    </row>
    <row r="53" spans="1:14">
      <c r="B53" s="817" t="s">
        <v>1478</v>
      </c>
      <c r="C53" s="817"/>
      <c r="D53" s="817"/>
      <c r="E53" s="817"/>
      <c r="F53" s="817"/>
      <c r="G53" s="817"/>
      <c r="H53" s="817"/>
      <c r="I53" s="817"/>
      <c r="J53" s="817"/>
      <c r="K53" s="817"/>
      <c r="L53" s="817"/>
      <c r="M53" s="817"/>
      <c r="N53" s="17"/>
    </row>
    <row r="54" spans="1:14">
      <c r="B54" s="816" t="s">
        <v>1292</v>
      </c>
      <c r="C54" s="816"/>
      <c r="D54" s="816"/>
      <c r="E54" s="816"/>
      <c r="F54" s="816"/>
      <c r="G54" s="816"/>
      <c r="H54" s="816"/>
      <c r="I54" s="816"/>
      <c r="J54" s="816"/>
      <c r="K54" s="816"/>
      <c r="L54" s="816"/>
      <c r="M54" s="816"/>
      <c r="N54" s="17"/>
    </row>
    <row r="55" spans="1:14">
      <c r="B55" s="816"/>
      <c r="C55" s="816"/>
      <c r="D55" s="816"/>
      <c r="E55" s="816"/>
      <c r="F55" s="816"/>
      <c r="G55" s="816"/>
      <c r="H55" s="816"/>
      <c r="I55" s="816"/>
      <c r="J55" s="816"/>
      <c r="K55" s="816"/>
      <c r="L55" s="816"/>
      <c r="M55" s="816"/>
      <c r="N55" s="17"/>
    </row>
    <row r="56" spans="1:14">
      <c r="B56" s="816" t="s">
        <v>1277</v>
      </c>
      <c r="C56" s="816"/>
      <c r="D56" s="816"/>
      <c r="E56" s="816"/>
      <c r="F56" s="816"/>
      <c r="G56" s="816"/>
      <c r="H56" s="816"/>
      <c r="I56" s="816"/>
      <c r="J56" s="816"/>
      <c r="K56" s="816"/>
      <c r="L56" s="816"/>
      <c r="M56" s="816"/>
      <c r="N56" s="17"/>
    </row>
    <row r="57" spans="1:14" ht="29.5" customHeight="1">
      <c r="B57" s="816"/>
      <c r="C57" s="816"/>
      <c r="D57" s="816"/>
      <c r="E57" s="816"/>
      <c r="F57" s="816"/>
      <c r="G57" s="816"/>
      <c r="H57" s="816"/>
      <c r="I57" s="816"/>
      <c r="J57" s="816"/>
      <c r="K57" s="816"/>
      <c r="L57" s="816"/>
      <c r="M57" s="816"/>
      <c r="N57" s="17"/>
    </row>
  </sheetData>
  <mergeCells count="7">
    <mergeCell ref="B57:M57"/>
    <mergeCell ref="J41:K41"/>
    <mergeCell ref="J43:K43"/>
    <mergeCell ref="J45:K45"/>
    <mergeCell ref="B53:M53"/>
    <mergeCell ref="B54:M55"/>
    <mergeCell ref="B56:M56"/>
  </mergeCells>
  <printOptions horizontalCentered="1"/>
  <pageMargins left="1" right="1" top="1" bottom="1" header="0.5" footer="0.5"/>
  <pageSetup scale="80"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A349-CE99-416F-A270-8DC54C9D19D7}">
  <sheetPr>
    <pageSetUpPr fitToPage="1"/>
  </sheetPr>
  <dimension ref="A1:P83"/>
  <sheetViews>
    <sheetView view="pageBreakPreview" topLeftCell="A38" zoomScale="70" zoomScaleNormal="70" zoomScaleSheetLayoutView="70" workbookViewId="0">
      <selection activeCell="K69" sqref="K69"/>
    </sheetView>
  </sheetViews>
  <sheetFormatPr defaultColWidth="8.81640625" defaultRowHeight="14.5"/>
  <cols>
    <col min="1" max="1" width="5.7265625" style="17" customWidth="1"/>
    <col min="2" max="2" width="10.81640625" style="17" customWidth="1"/>
    <col min="3" max="3" width="18.453125" style="17" customWidth="1"/>
    <col min="4" max="4" width="19.81640625" style="380" customWidth="1"/>
    <col min="5" max="5" width="19.26953125" style="17" customWidth="1"/>
    <col min="6" max="6" width="16.7265625" style="17" customWidth="1"/>
    <col min="7" max="7" width="18.54296875" style="17" customWidth="1"/>
    <col min="8" max="8" width="10.453125" style="17" customWidth="1"/>
    <col min="9" max="9" width="18.54296875" style="17" customWidth="1"/>
    <col min="10" max="10" width="2" style="17" customWidth="1"/>
    <col min="11" max="12" width="16.54296875" style="385" customWidth="1"/>
    <col min="13" max="13" width="21.26953125" style="27" customWidth="1"/>
    <col min="14" max="14" width="6.7265625" style="17" customWidth="1"/>
    <col min="15" max="15" width="12.7265625" style="380" customWidth="1"/>
    <col min="16" max="16384" width="8.81640625" style="17"/>
  </cols>
  <sheetData>
    <row r="1" spans="1:16">
      <c r="B1" s="201" t="s">
        <v>996</v>
      </c>
      <c r="M1" s="15" t="s">
        <v>1126</v>
      </c>
    </row>
    <row r="2" spans="1:16">
      <c r="B2" s="201" t="s">
        <v>978</v>
      </c>
      <c r="C2" s="384"/>
      <c r="D2" s="406"/>
      <c r="E2" s="4"/>
      <c r="F2" s="4"/>
      <c r="K2" s="407"/>
      <c r="L2" s="407">
        <v>5</v>
      </c>
      <c r="M2" s="130" t="s">
        <v>995</v>
      </c>
    </row>
    <row r="3" spans="1:16">
      <c r="B3" s="414" t="s">
        <v>193</v>
      </c>
      <c r="C3" s="414"/>
      <c r="D3" s="414"/>
      <c r="E3" s="4"/>
      <c r="F3" s="4"/>
      <c r="K3" s="407"/>
      <c r="L3" s="407"/>
    </row>
    <row r="4" spans="1:16" ht="15" thickBot="1">
      <c r="B4" s="201"/>
      <c r="C4" s="384"/>
      <c r="D4" s="406"/>
      <c r="E4" s="408"/>
      <c r="F4" s="4"/>
      <c r="G4" s="27"/>
      <c r="H4" s="27"/>
      <c r="I4" s="27"/>
      <c r="K4" s="407"/>
      <c r="L4" s="407"/>
      <c r="M4" s="130"/>
    </row>
    <row r="5" spans="1:16">
      <c r="B5" s="201"/>
      <c r="C5" s="734"/>
      <c r="D5" s="501" t="s">
        <v>98</v>
      </c>
      <c r="E5" s="502" t="s">
        <v>99</v>
      </c>
      <c r="F5" s="122" t="s">
        <v>100</v>
      </c>
      <c r="G5" s="122" t="s">
        <v>101</v>
      </c>
      <c r="H5" s="122" t="s">
        <v>102</v>
      </c>
      <c r="I5" s="503" t="s">
        <v>103</v>
      </c>
      <c r="J5" s="206"/>
      <c r="K5" s="502" t="s">
        <v>104</v>
      </c>
      <c r="L5" s="579" t="s">
        <v>105</v>
      </c>
      <c r="M5" s="122" t="s">
        <v>106</v>
      </c>
    </row>
    <row r="6" spans="1:16">
      <c r="B6" s="201"/>
      <c r="C6" s="734"/>
      <c r="D6" s="501"/>
      <c r="E6" s="502"/>
      <c r="F6" s="122"/>
      <c r="G6" s="122"/>
      <c r="H6" s="122"/>
      <c r="I6" s="503"/>
      <c r="J6" s="206"/>
      <c r="K6" s="502"/>
      <c r="L6" s="580"/>
      <c r="M6" s="122"/>
    </row>
    <row r="7" spans="1:16">
      <c r="B7" s="4"/>
      <c r="C7" s="384"/>
      <c r="D7" s="385" t="s">
        <v>123</v>
      </c>
      <c r="E7" s="385" t="s">
        <v>124</v>
      </c>
      <c r="F7" s="385" t="s">
        <v>166</v>
      </c>
      <c r="G7" s="763" t="s">
        <v>1280</v>
      </c>
      <c r="H7" s="385" t="s">
        <v>214</v>
      </c>
      <c r="I7" s="763" t="s">
        <v>1281</v>
      </c>
      <c r="K7" s="763" t="s">
        <v>1282</v>
      </c>
      <c r="L7" s="764" t="s">
        <v>1503</v>
      </c>
      <c r="M7" s="140" t="s">
        <v>1430</v>
      </c>
    </row>
    <row r="8" spans="1:16">
      <c r="D8" s="385" t="s">
        <v>993</v>
      </c>
      <c r="E8" s="140" t="s">
        <v>994</v>
      </c>
      <c r="F8" s="385" t="s">
        <v>993</v>
      </c>
      <c r="G8" s="27" t="s">
        <v>991</v>
      </c>
      <c r="H8" s="403" t="s">
        <v>992</v>
      </c>
      <c r="I8" s="27" t="s">
        <v>991</v>
      </c>
      <c r="K8" s="404" t="s">
        <v>990</v>
      </c>
      <c r="L8" s="581" t="s">
        <v>1504</v>
      </c>
      <c r="M8" s="27" t="s">
        <v>977</v>
      </c>
      <c r="P8" s="99"/>
    </row>
    <row r="9" spans="1:16">
      <c r="D9" s="765" t="s">
        <v>1130</v>
      </c>
      <c r="E9" s="405" t="s">
        <v>989</v>
      </c>
      <c r="F9" s="765" t="str">
        <f>D9</f>
        <v>5-Year Historical</v>
      </c>
      <c r="G9" s="766" t="str">
        <f>CONCATENATE("Scaled to ",E4)</f>
        <v xml:space="preserve">Scaled to </v>
      </c>
      <c r="H9" s="403" t="s">
        <v>988</v>
      </c>
      <c r="I9" s="404" t="s">
        <v>987</v>
      </c>
      <c r="K9" s="404" t="s">
        <v>986</v>
      </c>
      <c r="L9" s="581" t="s">
        <v>1505</v>
      </c>
      <c r="M9" s="27" t="s">
        <v>970</v>
      </c>
      <c r="P9" s="99"/>
    </row>
    <row r="10" spans="1:16">
      <c r="A10" s="119" t="s">
        <v>122</v>
      </c>
      <c r="B10" s="736" t="s">
        <v>972</v>
      </c>
      <c r="C10" s="736" t="s">
        <v>971</v>
      </c>
      <c r="D10" s="767" t="s">
        <v>967</v>
      </c>
      <c r="E10" s="736" t="s">
        <v>967</v>
      </c>
      <c r="F10" s="736" t="s">
        <v>984</v>
      </c>
      <c r="G10" s="736" t="s">
        <v>984</v>
      </c>
      <c r="H10" s="768" t="s">
        <v>985</v>
      </c>
      <c r="I10" s="736" t="s">
        <v>984</v>
      </c>
      <c r="J10" s="115"/>
      <c r="K10" s="769" t="s">
        <v>983</v>
      </c>
      <c r="L10" s="582" t="s">
        <v>1506</v>
      </c>
      <c r="M10" s="736" t="s">
        <v>1131</v>
      </c>
      <c r="N10" s="119" t="str">
        <f>A10</f>
        <v>Line</v>
      </c>
      <c r="P10" s="99"/>
    </row>
    <row r="11" spans="1:16">
      <c r="H11" s="403"/>
      <c r="K11" s="402"/>
      <c r="L11" s="583"/>
      <c r="M11" s="142"/>
      <c r="P11" s="99"/>
    </row>
    <row r="12" spans="1:16">
      <c r="A12" s="131">
        <v>100</v>
      </c>
      <c r="B12" s="17" t="s">
        <v>965</v>
      </c>
      <c r="C12" s="17" t="s">
        <v>964</v>
      </c>
      <c r="D12" s="746">
        <v>28324881434</v>
      </c>
      <c r="E12" s="746">
        <v>27666722782.354755</v>
      </c>
      <c r="F12" s="395">
        <v>72804375.974709198</v>
      </c>
      <c r="G12" s="380">
        <f>(E12/D12)*F12</f>
        <v>71112689.107915446</v>
      </c>
      <c r="H12" s="770">
        <v>1.1384794179171955</v>
      </c>
      <c r="I12" s="771">
        <f>H12*G12</f>
        <v>80960332.902106062</v>
      </c>
      <c r="K12" s="772">
        <f>I12/I$42</f>
        <v>0.47157428608931956</v>
      </c>
      <c r="L12" s="773">
        <f>(I12/I$42)*L$42</f>
        <v>0.4683394843072114</v>
      </c>
      <c r="M12" s="463">
        <f ca="1">L12*$M$56</f>
        <v>1295825384.5268798</v>
      </c>
      <c r="N12" s="131">
        <f>A12</f>
        <v>100</v>
      </c>
      <c r="P12" s="99"/>
    </row>
    <row r="13" spans="1:16">
      <c r="A13" s="131"/>
      <c r="D13" s="771" t="s">
        <v>982</v>
      </c>
      <c r="E13" s="746">
        <v>247623</v>
      </c>
      <c r="F13" s="397"/>
      <c r="G13" s="380"/>
      <c r="H13" s="403"/>
      <c r="I13" s="380"/>
      <c r="K13" s="772"/>
      <c r="L13" s="773"/>
      <c r="M13" s="164"/>
      <c r="N13" s="131"/>
      <c r="P13" s="99"/>
    </row>
    <row r="14" spans="1:16">
      <c r="A14" s="131">
        <f>A12+1</f>
        <v>101</v>
      </c>
      <c r="B14" s="17" t="s">
        <v>1967</v>
      </c>
      <c r="C14" s="17" t="s">
        <v>963</v>
      </c>
      <c r="D14" s="746">
        <v>7894149034.75</v>
      </c>
      <c r="E14" s="746">
        <v>8074913236.0832243</v>
      </c>
      <c r="F14" s="395">
        <v>14189533.205500921</v>
      </c>
      <c r="G14" s="380">
        <f>(E14/D14)*F14</f>
        <v>14514452.284921983</v>
      </c>
      <c r="H14" s="403">
        <f>$H$12</f>
        <v>1.1384794179171955</v>
      </c>
      <c r="I14" s="771">
        <f>H14*G14</f>
        <v>16524405.188724888</v>
      </c>
      <c r="K14" s="772">
        <f>I14/I$42</f>
        <v>9.6250648936262923E-2</v>
      </c>
      <c r="L14" s="773">
        <f>(I14/I$42)*L$42</f>
        <v>9.5590409860697376E-2</v>
      </c>
      <c r="M14" s="463">
        <f ca="1">L14*$M$56</f>
        <v>264484383.15648741</v>
      </c>
      <c r="N14" s="131">
        <f>A14</f>
        <v>101</v>
      </c>
      <c r="P14" s="99"/>
    </row>
    <row r="15" spans="1:16">
      <c r="A15" s="131"/>
      <c r="E15" s="380"/>
      <c r="F15" s="397"/>
      <c r="G15" s="380"/>
      <c r="H15" s="403"/>
      <c r="I15" s="380"/>
      <c r="K15" s="772"/>
      <c r="L15" s="773"/>
      <c r="M15" s="761"/>
      <c r="N15" s="131"/>
      <c r="P15" s="99"/>
    </row>
    <row r="16" spans="1:16">
      <c r="A16" s="131">
        <f>A14+1</f>
        <v>102</v>
      </c>
      <c r="B16" s="17" t="s">
        <v>1968</v>
      </c>
      <c r="C16" s="17" t="s">
        <v>962</v>
      </c>
      <c r="D16" s="746">
        <v>7966618509.25</v>
      </c>
      <c r="E16" s="746">
        <v>7953343254.7308159</v>
      </c>
      <c r="F16" s="395">
        <v>13725150.206580797</v>
      </c>
      <c r="G16" s="380">
        <f>(E16/D16)*F16</f>
        <v>13702279.165110085</v>
      </c>
      <c r="H16" s="403">
        <f>$H$12</f>
        <v>1.1384794179171955</v>
      </c>
      <c r="I16" s="771">
        <f>H16*G16</f>
        <v>15599762.808033446</v>
      </c>
      <c r="K16" s="772"/>
      <c r="L16" s="773"/>
      <c r="M16" s="761"/>
      <c r="N16" s="131">
        <f>A16</f>
        <v>102</v>
      </c>
      <c r="P16" s="99"/>
    </row>
    <row r="17" spans="1:16">
      <c r="A17" s="131"/>
      <c r="E17" s="380"/>
      <c r="F17" s="397"/>
      <c r="G17" s="380"/>
      <c r="H17" s="403"/>
      <c r="I17" s="380"/>
      <c r="K17" s="772"/>
      <c r="L17" s="773"/>
      <c r="M17" s="761"/>
      <c r="N17" s="131"/>
      <c r="P17" s="99"/>
    </row>
    <row r="18" spans="1:16">
      <c r="A18" s="131">
        <f>A16+1</f>
        <v>103</v>
      </c>
      <c r="B18" s="17" t="s">
        <v>1969</v>
      </c>
      <c r="C18" s="17" t="s">
        <v>952</v>
      </c>
      <c r="D18" s="746">
        <v>34870989.200000003</v>
      </c>
      <c r="E18" s="400">
        <v>51486492.216999993</v>
      </c>
      <c r="F18" s="395">
        <v>53041.095714562609</v>
      </c>
      <c r="G18" s="380">
        <f>(E18/D18)*F18</f>
        <v>78314.381792443644</v>
      </c>
      <c r="H18" s="770">
        <v>1.0435094</v>
      </c>
      <c r="I18" s="771">
        <f>H18*G18</f>
        <v>81721.793555603799</v>
      </c>
      <c r="K18" s="772"/>
      <c r="L18" s="773"/>
      <c r="M18" s="761"/>
      <c r="N18" s="131">
        <f>A18</f>
        <v>103</v>
      </c>
      <c r="P18" s="99"/>
    </row>
    <row r="19" spans="1:16">
      <c r="A19" s="131"/>
      <c r="E19" s="401"/>
      <c r="F19" s="397"/>
      <c r="G19" s="380"/>
      <c r="H19" s="403"/>
      <c r="I19" s="380"/>
      <c r="K19" s="772"/>
      <c r="L19" s="773"/>
      <c r="M19" s="761"/>
      <c r="N19" s="131"/>
      <c r="P19" s="99"/>
    </row>
    <row r="20" spans="1:16">
      <c r="A20" s="131">
        <f>A18+1</f>
        <v>104</v>
      </c>
      <c r="B20" s="17" t="s">
        <v>1969</v>
      </c>
      <c r="C20" s="17" t="s">
        <v>950</v>
      </c>
      <c r="D20" s="746">
        <v>1093932618.8</v>
      </c>
      <c r="E20" s="400">
        <v>1313285738.5606451</v>
      </c>
      <c r="F20" s="395">
        <v>1728427.7438966297</v>
      </c>
      <c r="G20" s="380">
        <f>(E20/D20)*F20</f>
        <v>2075008.5217149891</v>
      </c>
      <c r="H20" s="770">
        <v>1.074143946010695</v>
      </c>
      <c r="I20" s="771">
        <f>H20*G20</f>
        <v>2228857.8415207574</v>
      </c>
      <c r="K20" s="772"/>
      <c r="L20" s="773"/>
      <c r="M20" s="761"/>
      <c r="N20" s="131">
        <f>A20</f>
        <v>104</v>
      </c>
      <c r="P20" s="99"/>
    </row>
    <row r="21" spans="1:16">
      <c r="A21" s="131"/>
      <c r="E21" s="401"/>
      <c r="F21" s="397"/>
      <c r="G21" s="380"/>
      <c r="H21" s="403"/>
      <c r="I21" s="380"/>
      <c r="K21" s="772"/>
      <c r="L21" s="773"/>
      <c r="M21" s="761"/>
      <c r="N21" s="131"/>
      <c r="P21" s="99"/>
    </row>
    <row r="22" spans="1:16">
      <c r="A22" s="131">
        <f>A20+1</f>
        <v>105</v>
      </c>
      <c r="C22" s="17" t="s">
        <v>947</v>
      </c>
      <c r="D22" s="746">
        <v>11986113745</v>
      </c>
      <c r="E22" s="400">
        <v>12722209440.490993</v>
      </c>
      <c r="F22" s="395">
        <v>19320823.384377472</v>
      </c>
      <c r="G22" s="380">
        <f>(E22/D22)*F22</f>
        <v>20507361.008594051</v>
      </c>
      <c r="H22" s="403">
        <f>$H$12</f>
        <v>1.1384794179171955</v>
      </c>
      <c r="I22" s="771">
        <f>H22*G22</f>
        <v>23347208.424081948</v>
      </c>
      <c r="K22" s="772"/>
      <c r="L22" s="773"/>
      <c r="M22" s="761"/>
      <c r="N22" s="131">
        <f>A22</f>
        <v>105</v>
      </c>
      <c r="P22" s="99"/>
    </row>
    <row r="23" spans="1:16">
      <c r="A23" s="131"/>
      <c r="E23" s="380"/>
      <c r="F23" s="397"/>
      <c r="G23" s="380"/>
      <c r="H23" s="403"/>
      <c r="I23" s="380"/>
      <c r="K23" s="772"/>
      <c r="L23" s="773"/>
      <c r="M23" s="761"/>
      <c r="N23" s="131"/>
      <c r="P23" s="99"/>
    </row>
    <row r="24" spans="1:16">
      <c r="A24" s="131">
        <f>A22+1</f>
        <v>106</v>
      </c>
      <c r="B24" s="17" t="s">
        <v>961</v>
      </c>
      <c r="D24" s="380">
        <f>SUM(D16:D22)</f>
        <v>21081535862.25</v>
      </c>
      <c r="E24" s="380">
        <f>SUM(E16:E22)</f>
        <v>22040324925.999454</v>
      </c>
      <c r="F24" s="380">
        <f>SUM(F16:F22)</f>
        <v>34827442.430569462</v>
      </c>
      <c r="G24" s="380">
        <f>SUM(G16:G22)</f>
        <v>36362963.077211566</v>
      </c>
      <c r="H24" s="380"/>
      <c r="I24" s="380">
        <f>SUM(I16:I22)</f>
        <v>41257550.867191754</v>
      </c>
      <c r="K24" s="772">
        <f>I24/I$42</f>
        <v>0.24031521855913243</v>
      </c>
      <c r="L24" s="773">
        <f>(I24/I$42)*L$42</f>
        <v>0.23866675696952921</v>
      </c>
      <c r="M24" s="463">
        <f ca="1">L24*$M$56</f>
        <v>660355260.41822028</v>
      </c>
      <c r="N24" s="131">
        <f>A24</f>
        <v>106</v>
      </c>
      <c r="P24" s="99"/>
    </row>
    <row r="25" spans="1:16">
      <c r="A25" s="131"/>
      <c r="E25" s="380"/>
      <c r="F25" s="397"/>
      <c r="G25" s="380"/>
      <c r="H25" s="403"/>
      <c r="I25" s="380"/>
      <c r="K25" s="772"/>
      <c r="L25" s="773"/>
      <c r="M25" s="761"/>
      <c r="N25" s="131"/>
      <c r="P25" s="99"/>
    </row>
    <row r="26" spans="1:16">
      <c r="A26" s="131">
        <f>A24+1</f>
        <v>107</v>
      </c>
      <c r="B26" s="17" t="s">
        <v>960</v>
      </c>
      <c r="C26" s="17" t="s">
        <v>959</v>
      </c>
      <c r="D26" s="746">
        <v>263068244.75</v>
      </c>
      <c r="E26" s="746">
        <v>253429732.82046798</v>
      </c>
      <c r="F26" s="395">
        <v>395528.9858932214</v>
      </c>
      <c r="G26" s="380">
        <f>(E26/D26)*F26</f>
        <v>381037.26777410577</v>
      </c>
      <c r="H26" s="403">
        <f>$H$12</f>
        <v>1.1384794179171955</v>
      </c>
      <c r="I26" s="771">
        <f>H26*G26</f>
        <v>433803.0868202225</v>
      </c>
      <c r="K26" s="772">
        <f>I26/I$42</f>
        <v>2.5267976753251212E-3</v>
      </c>
      <c r="L26" s="773">
        <f>(I26/I$42)*L$42</f>
        <v>2.5094649032375007E-3</v>
      </c>
      <c r="M26" s="463">
        <f ca="1">L26*$M$56</f>
        <v>6943314.4805304911</v>
      </c>
      <c r="N26" s="131">
        <f>A26</f>
        <v>107</v>
      </c>
      <c r="P26" s="99"/>
    </row>
    <row r="27" spans="1:16">
      <c r="A27" s="131"/>
      <c r="E27" s="380"/>
      <c r="F27" s="397"/>
      <c r="G27" s="380"/>
      <c r="H27" s="403"/>
      <c r="I27" s="380"/>
      <c r="K27" s="772"/>
      <c r="L27" s="773"/>
      <c r="M27" s="761"/>
      <c r="N27" s="131"/>
      <c r="P27" s="99"/>
    </row>
    <row r="28" spans="1:16">
      <c r="A28" s="131">
        <f>A26+1</f>
        <v>108</v>
      </c>
      <c r="B28" s="17" t="s">
        <v>957</v>
      </c>
      <c r="C28" s="17" t="s">
        <v>956</v>
      </c>
      <c r="D28" s="398">
        <v>506813497.5</v>
      </c>
      <c r="E28" s="746">
        <v>115953240.106251</v>
      </c>
      <c r="F28" s="395">
        <v>790422.33666477003</v>
      </c>
      <c r="G28" s="380">
        <f>(E28/D28)*F28</f>
        <v>180839.75947904593</v>
      </c>
      <c r="H28" s="403">
        <f>$H$12</f>
        <v>1.1384794179171955</v>
      </c>
      <c r="I28" s="771">
        <f>H28*G28</f>
        <v>205882.34410798986</v>
      </c>
      <c r="K28" s="772"/>
      <c r="L28" s="773"/>
      <c r="M28" s="761"/>
      <c r="N28" s="131">
        <f>A28</f>
        <v>108</v>
      </c>
      <c r="P28" s="99"/>
    </row>
    <row r="29" spans="1:16">
      <c r="A29" s="131"/>
      <c r="D29" s="399"/>
      <c r="E29" s="380"/>
      <c r="F29" s="397"/>
      <c r="G29" s="380"/>
      <c r="H29" s="403"/>
      <c r="I29" s="380"/>
      <c r="K29" s="772"/>
      <c r="L29" s="773"/>
      <c r="M29" s="761"/>
      <c r="N29" s="131"/>
      <c r="P29" s="99"/>
    </row>
    <row r="30" spans="1:16">
      <c r="A30" s="131">
        <f>A28+1</f>
        <v>109</v>
      </c>
      <c r="B30" s="17" t="s">
        <v>1970</v>
      </c>
      <c r="C30" s="17" t="s">
        <v>955</v>
      </c>
      <c r="D30" s="398">
        <v>5899743052.75</v>
      </c>
      <c r="E30" s="746">
        <v>5396087006.08675</v>
      </c>
      <c r="F30" s="395">
        <v>10011680.214909162</v>
      </c>
      <c r="G30" s="380">
        <f>(E30/D30)*F30</f>
        <v>9156991.5899278708</v>
      </c>
      <c r="H30" s="403">
        <f>$H$12</f>
        <v>1.1384794179171955</v>
      </c>
      <c r="I30" s="771">
        <f>H30*G30</f>
        <v>10425046.455173736</v>
      </c>
      <c r="K30" s="772"/>
      <c r="L30" s="773"/>
      <c r="M30" s="761"/>
      <c r="N30" s="131">
        <f>A30</f>
        <v>109</v>
      </c>
      <c r="P30" s="99"/>
    </row>
    <row r="31" spans="1:16">
      <c r="A31" s="131"/>
      <c r="D31" s="17"/>
      <c r="E31" s="380"/>
      <c r="F31" s="397"/>
      <c r="G31" s="380"/>
      <c r="H31" s="403"/>
      <c r="I31" s="380"/>
      <c r="K31" s="772"/>
      <c r="L31" s="773"/>
      <c r="M31" s="761"/>
      <c r="N31" s="131"/>
      <c r="P31" s="99"/>
    </row>
    <row r="32" spans="1:16">
      <c r="A32" s="131">
        <f>A30+1</f>
        <v>110</v>
      </c>
      <c r="B32" s="17" t="s">
        <v>954</v>
      </c>
      <c r="D32" s="380">
        <f>SUM(D28:D31)</f>
        <v>6406556550.25</v>
      </c>
      <c r="E32" s="380">
        <f>SUM(E28:E31)</f>
        <v>5512040246.1930008</v>
      </c>
      <c r="F32" s="380">
        <f>SUM(F28:F31)</f>
        <v>10802102.551573932</v>
      </c>
      <c r="G32" s="380">
        <f>SUM(G28:G31)</f>
        <v>9337831.3494069166</v>
      </c>
      <c r="H32" s="403"/>
      <c r="I32" s="380">
        <f>SUM(I28:I31)</f>
        <v>10630928.799281726</v>
      </c>
      <c r="K32" s="772">
        <f>I32/I$42</f>
        <v>6.1922579605119855E-2</v>
      </c>
      <c r="L32" s="773">
        <f>(I32/I$42)*L$42</f>
        <v>6.1497816684901091E-2</v>
      </c>
      <c r="M32" s="463">
        <f ca="1">L32*$M$56</f>
        <v>170155271.17291242</v>
      </c>
      <c r="N32" s="131">
        <f>A32</f>
        <v>110</v>
      </c>
      <c r="P32" s="99"/>
    </row>
    <row r="33" spans="1:16">
      <c r="A33" s="131"/>
      <c r="D33" s="17"/>
      <c r="E33" s="380"/>
      <c r="F33" s="397"/>
      <c r="G33" s="380"/>
      <c r="H33" s="403"/>
      <c r="I33" s="380"/>
      <c r="K33" s="772"/>
      <c r="L33" s="773"/>
      <c r="M33" s="761"/>
      <c r="N33" s="131"/>
      <c r="P33" s="99"/>
    </row>
    <row r="34" spans="1:16">
      <c r="A34" s="131">
        <f>A32+1</f>
        <v>111</v>
      </c>
      <c r="B34" s="17" t="s">
        <v>1971</v>
      </c>
      <c r="C34" s="17" t="s">
        <v>952</v>
      </c>
      <c r="D34" s="393">
        <v>5923307581.6000004</v>
      </c>
      <c r="E34" s="746">
        <v>5813304544.7361603</v>
      </c>
      <c r="F34" s="395">
        <v>8550470.6646293495</v>
      </c>
      <c r="G34" s="380">
        <f>(E34/D34)*F34</f>
        <v>8391678.0092139542</v>
      </c>
      <c r="H34" s="403">
        <f>$H$18</f>
        <v>1.0435094</v>
      </c>
      <c r="I34" s="771">
        <f>H34*G34</f>
        <v>8756794.8843880482</v>
      </c>
      <c r="K34" s="772"/>
      <c r="L34" s="773"/>
      <c r="M34" s="761"/>
      <c r="N34" s="131">
        <f>A34</f>
        <v>111</v>
      </c>
      <c r="P34" s="99"/>
    </row>
    <row r="35" spans="1:16">
      <c r="A35" s="131"/>
      <c r="D35" s="394"/>
      <c r="E35" s="380"/>
      <c r="F35" s="397"/>
      <c r="G35" s="380"/>
      <c r="H35" s="403"/>
      <c r="I35" s="380"/>
      <c r="K35" s="772"/>
      <c r="L35" s="773"/>
      <c r="M35" s="761"/>
      <c r="N35" s="131"/>
      <c r="P35" s="99"/>
    </row>
    <row r="36" spans="1:16">
      <c r="A36" s="131">
        <f>A34+1</f>
        <v>112</v>
      </c>
      <c r="B36" s="17" t="s">
        <v>1971</v>
      </c>
      <c r="C36" s="17" t="s">
        <v>950</v>
      </c>
      <c r="D36" s="393">
        <v>6422710754</v>
      </c>
      <c r="E36" s="746">
        <v>6366762979.4000874</v>
      </c>
      <c r="F36" s="395">
        <v>9540144.083956616</v>
      </c>
      <c r="G36" s="380">
        <f>(E36/D36)*F36</f>
        <v>9457040.5702996328</v>
      </c>
      <c r="H36" s="403">
        <f>$H$20</f>
        <v>1.074143946010695</v>
      </c>
      <c r="I36" s="771">
        <f>H36*G36</f>
        <v>10158222.87576488</v>
      </c>
      <c r="K36" s="772"/>
      <c r="L36" s="773"/>
      <c r="M36" s="761"/>
      <c r="N36" s="131">
        <f>A36</f>
        <v>112</v>
      </c>
      <c r="P36" s="99"/>
    </row>
    <row r="37" spans="1:16">
      <c r="A37" s="131"/>
      <c r="D37" s="394"/>
      <c r="E37" s="380"/>
      <c r="F37" s="397"/>
      <c r="G37" s="380"/>
      <c r="H37" s="403"/>
      <c r="I37" s="380"/>
      <c r="K37" s="772"/>
      <c r="L37" s="773"/>
      <c r="M37" s="761"/>
      <c r="N37" s="131"/>
      <c r="P37" s="99"/>
    </row>
    <row r="38" spans="1:16">
      <c r="A38" s="131">
        <f>A36+1</f>
        <v>113</v>
      </c>
      <c r="B38" s="17" t="s">
        <v>1971</v>
      </c>
      <c r="C38" s="17" t="s">
        <v>947</v>
      </c>
      <c r="D38" s="393">
        <v>2223333287.5999999</v>
      </c>
      <c r="E38" s="746">
        <v>1802238688.755214</v>
      </c>
      <c r="F38" s="395">
        <v>3206288.5848072348</v>
      </c>
      <c r="G38" s="380">
        <f>(E38/D38)*F38</f>
        <v>2599024.3420011313</v>
      </c>
      <c r="H38" s="403">
        <f>$H$12</f>
        <v>1.1384794179171955</v>
      </c>
      <c r="I38" s="771">
        <f>H38*G38</f>
        <v>2958935.7200340698</v>
      </c>
      <c r="K38" s="772"/>
      <c r="L38" s="773"/>
      <c r="M38" s="761"/>
      <c r="N38" s="131">
        <f>A38</f>
        <v>113</v>
      </c>
      <c r="P38" s="99"/>
    </row>
    <row r="39" spans="1:16">
      <c r="A39" s="131"/>
      <c r="D39" s="394"/>
      <c r="E39" s="380"/>
      <c r="F39" s="396"/>
      <c r="G39" s="380"/>
      <c r="H39" s="403"/>
      <c r="I39" s="380"/>
      <c r="K39" s="772"/>
      <c r="L39" s="773"/>
      <c r="M39" s="761"/>
      <c r="N39" s="131"/>
      <c r="P39" s="99"/>
    </row>
    <row r="40" spans="1:16">
      <c r="A40" s="131">
        <f>A38+1</f>
        <v>114</v>
      </c>
      <c r="B40" s="17" t="s">
        <v>1972</v>
      </c>
      <c r="D40" s="380">
        <f>SUM(D34:D39)</f>
        <v>14569351623.200001</v>
      </c>
      <c r="E40" s="380">
        <f>SUM(E34:E39)</f>
        <v>13982306212.891462</v>
      </c>
      <c r="F40" s="380">
        <f>SUM(F34:F39)</f>
        <v>21296903.333393201</v>
      </c>
      <c r="G40" s="380">
        <f>SUM(G34:G39)</f>
        <v>20447742.92151472</v>
      </c>
      <c r="H40" s="403"/>
      <c r="I40" s="380">
        <f>SUM(I34:I39)</f>
        <v>21873953.480186999</v>
      </c>
      <c r="K40" s="772">
        <f>I40/I$42</f>
        <v>0.12741046913484019</v>
      </c>
      <c r="L40" s="773">
        <f>(I40/I$42)*L$42</f>
        <v>0.12653648676393001</v>
      </c>
      <c r="M40" s="463">
        <f ca="1">L40*$M$56</f>
        <v>350107554.69422048</v>
      </c>
      <c r="N40" s="131">
        <f>A40</f>
        <v>114</v>
      </c>
      <c r="P40" s="99"/>
    </row>
    <row r="41" spans="1:16">
      <c r="A41" s="131"/>
      <c r="D41" s="394"/>
      <c r="E41" s="380"/>
      <c r="F41" s="396"/>
      <c r="G41" s="380"/>
      <c r="H41" s="403"/>
      <c r="I41" s="380"/>
      <c r="K41" s="774"/>
      <c r="L41" s="773"/>
      <c r="M41" s="761"/>
      <c r="N41" s="131"/>
      <c r="P41" s="99"/>
    </row>
    <row r="42" spans="1:16">
      <c r="A42" s="131">
        <f>A40+1</f>
        <v>115</v>
      </c>
      <c r="B42" s="142" t="s">
        <v>981</v>
      </c>
      <c r="C42" s="142"/>
      <c r="D42" s="407">
        <f>+D12+D14+D24+D26+D32+D40</f>
        <v>78539542749.199997</v>
      </c>
      <c r="E42" s="407">
        <f>+E12+E14+E24+E26+E32+E40</f>
        <v>77529737136.342361</v>
      </c>
      <c r="F42" s="407">
        <f>+F12+F14+F24+F26+F32+F40</f>
        <v>154315886.48163992</v>
      </c>
      <c r="G42" s="407">
        <f>+G12+G14+G24+G26+G32+G40</f>
        <v>152156716.00874472</v>
      </c>
      <c r="H42" s="142"/>
      <c r="I42" s="407">
        <f>+I12+I14+I24+I26+I32+I40</f>
        <v>171680974.32431164</v>
      </c>
      <c r="J42" s="142"/>
      <c r="K42" s="775">
        <f>SUM(K12:K41)</f>
        <v>1</v>
      </c>
      <c r="L42" s="776">
        <f>1-L51</f>
        <v>0.99314041948950649</v>
      </c>
      <c r="M42" s="463">
        <f ca="1">L42*$M$56</f>
        <v>2747871168.4492507</v>
      </c>
      <c r="N42" s="131">
        <f>A42</f>
        <v>115</v>
      </c>
      <c r="P42" s="99"/>
    </row>
    <row r="43" spans="1:16">
      <c r="A43" s="131"/>
      <c r="D43" s="394"/>
      <c r="E43" s="380"/>
      <c r="F43" s="396"/>
      <c r="G43" s="380"/>
      <c r="H43" s="403"/>
      <c r="I43" s="380"/>
      <c r="K43" s="774"/>
      <c r="L43" s="773"/>
      <c r="M43" s="761"/>
      <c r="N43" s="131"/>
      <c r="P43" s="99"/>
    </row>
    <row r="44" spans="1:16">
      <c r="A44" s="131"/>
      <c r="D44" s="394"/>
      <c r="E44" s="380"/>
      <c r="F44" s="396"/>
      <c r="G44" s="380"/>
      <c r="H44" s="403"/>
      <c r="I44" s="380"/>
      <c r="K44" s="774"/>
      <c r="L44" s="773"/>
      <c r="M44" s="761"/>
      <c r="N44" s="131"/>
      <c r="P44" s="99"/>
    </row>
    <row r="45" spans="1:16">
      <c r="A45" s="131">
        <f>A42+1</f>
        <v>116</v>
      </c>
      <c r="B45" s="17" t="s">
        <v>1973</v>
      </c>
      <c r="C45" s="17" t="s">
        <v>952</v>
      </c>
      <c r="D45" s="393">
        <v>495356255.59999996</v>
      </c>
      <c r="E45" s="746">
        <v>509584663.90853697</v>
      </c>
      <c r="F45" s="395">
        <v>598445.66095488984</v>
      </c>
      <c r="G45" s="380">
        <f>(E45/D45)*F45</f>
        <v>615635.16672629619</v>
      </c>
      <c r="H45" s="403">
        <f>$H$18</f>
        <v>1.0435094</v>
      </c>
      <c r="I45" s="771">
        <f>H45*G45</f>
        <v>642421.08344945731</v>
      </c>
      <c r="K45" s="777"/>
      <c r="L45" s="778"/>
      <c r="M45" s="761"/>
      <c r="N45" s="131">
        <f>A45</f>
        <v>116</v>
      </c>
      <c r="P45" s="99"/>
    </row>
    <row r="46" spans="1:16">
      <c r="A46" s="131"/>
      <c r="D46" s="394"/>
      <c r="E46" s="380"/>
      <c r="F46" s="394"/>
      <c r="G46" s="380"/>
      <c r="H46" s="403"/>
      <c r="I46" s="380"/>
      <c r="K46" s="777"/>
      <c r="L46" s="778"/>
      <c r="M46" s="761"/>
      <c r="N46" s="131"/>
      <c r="P46" s="99"/>
    </row>
    <row r="47" spans="1:16">
      <c r="A47" s="131">
        <f>A45+1</f>
        <v>117</v>
      </c>
      <c r="B47" s="17" t="s">
        <v>1973</v>
      </c>
      <c r="C47" s="17" t="s">
        <v>950</v>
      </c>
      <c r="D47" s="393">
        <v>21356209.800000001</v>
      </c>
      <c r="E47" s="746">
        <v>17656940.444141999</v>
      </c>
      <c r="F47" s="395">
        <v>29301.225131426872</v>
      </c>
      <c r="G47" s="380">
        <f>(E47/D47)*F47</f>
        <v>24225.74005083997</v>
      </c>
      <c r="H47" s="403">
        <f>$H$20</f>
        <v>1.074143946010695</v>
      </c>
      <c r="I47" s="771">
        <f>H47*G47</f>
        <v>26021.93201323858</v>
      </c>
      <c r="K47" s="777"/>
      <c r="L47" s="778"/>
      <c r="M47" s="761"/>
      <c r="N47" s="131">
        <f>A47</f>
        <v>117</v>
      </c>
      <c r="P47" s="99"/>
    </row>
    <row r="48" spans="1:16">
      <c r="A48" s="131"/>
      <c r="D48" s="394"/>
      <c r="E48" s="380"/>
      <c r="F48" s="394"/>
      <c r="G48" s="380"/>
      <c r="H48" s="403"/>
      <c r="I48" s="380"/>
      <c r="K48" s="777"/>
      <c r="L48" s="778"/>
      <c r="M48" s="761"/>
      <c r="N48" s="131"/>
      <c r="P48" s="99"/>
    </row>
    <row r="49" spans="1:16">
      <c r="A49" s="131">
        <f>A47+1</f>
        <v>118</v>
      </c>
      <c r="B49" s="17" t="s">
        <v>1973</v>
      </c>
      <c r="C49" s="17" t="s">
        <v>947</v>
      </c>
      <c r="D49" s="393">
        <v>2431135</v>
      </c>
      <c r="E49" s="746">
        <v>12693663.914753001</v>
      </c>
      <c r="F49" s="393">
        <v>3686.4911450691143</v>
      </c>
      <c r="G49" s="380">
        <f>(E49/D49)*F49</f>
        <v>19248.243976669452</v>
      </c>
      <c r="H49" s="403">
        <f>$H$12</f>
        <v>1.1384794179171955</v>
      </c>
      <c r="I49" s="771">
        <f>H49*G49</f>
        <v>21913.729598486803</v>
      </c>
      <c r="K49" s="777"/>
      <c r="L49" s="778"/>
      <c r="M49" s="761"/>
      <c r="N49" s="131">
        <f>A49</f>
        <v>118</v>
      </c>
      <c r="P49" s="99"/>
    </row>
    <row r="50" spans="1:16">
      <c r="A50" s="131"/>
      <c r="E50" s="380"/>
      <c r="F50" s="380"/>
      <c r="G50" s="380"/>
      <c r="H50" s="403"/>
      <c r="I50" s="380"/>
      <c r="K50" s="777"/>
      <c r="L50" s="778"/>
      <c r="M50" s="761"/>
      <c r="N50" s="131"/>
      <c r="P50" s="99"/>
    </row>
    <row r="51" spans="1:16">
      <c r="A51" s="131">
        <f>A49+1</f>
        <v>119</v>
      </c>
      <c r="B51" s="17" t="s">
        <v>980</v>
      </c>
      <c r="D51" s="380">
        <f>SUM(D45:D49)</f>
        <v>519143600.39999998</v>
      </c>
      <c r="E51" s="380">
        <f>SUM(E45:E49)</f>
        <v>539935268.26743197</v>
      </c>
      <c r="F51" s="380">
        <f>SUM(F45:F49)</f>
        <v>631433.37723138579</v>
      </c>
      <c r="G51" s="380">
        <f>SUM(G45:G49)</f>
        <v>659109.15075380565</v>
      </c>
      <c r="H51" s="380"/>
      <c r="I51" s="380">
        <f>SUM(I45:I49)</f>
        <v>690356.74506118265</v>
      </c>
      <c r="K51" s="779"/>
      <c r="L51" s="780">
        <v>6.859580510493523E-3</v>
      </c>
      <c r="M51" s="463">
        <f ca="1">L51*$M$56</f>
        <v>18979434.471240655</v>
      </c>
      <c r="N51" s="131">
        <f>A51</f>
        <v>119</v>
      </c>
      <c r="P51" s="99"/>
    </row>
    <row r="52" spans="1:16">
      <c r="A52" s="131"/>
      <c r="B52" s="402"/>
      <c r="E52" s="380"/>
      <c r="F52" s="380"/>
      <c r="G52" s="380"/>
      <c r="I52" s="380"/>
      <c r="K52" s="774"/>
      <c r="L52" s="781"/>
      <c r="M52" s="761"/>
      <c r="N52" s="131"/>
      <c r="P52" s="99"/>
    </row>
    <row r="53" spans="1:16" ht="15" thickBot="1">
      <c r="A53" s="131"/>
      <c r="K53" s="777"/>
      <c r="L53" s="782"/>
      <c r="M53" s="131"/>
      <c r="N53" s="131"/>
    </row>
    <row r="54" spans="1:16" ht="15" thickBot="1">
      <c r="A54" s="131">
        <f>A51+1</f>
        <v>120</v>
      </c>
      <c r="B54" s="392" t="s">
        <v>979</v>
      </c>
      <c r="C54" s="783"/>
      <c r="D54" s="784">
        <f>+D12+D14+D24+D26+D32+D40+D51</f>
        <v>79058686349.599991</v>
      </c>
      <c r="E54" s="784">
        <f>+E12+E14+E24+E26+E32+E40+E51</f>
        <v>78069672404.609787</v>
      </c>
      <c r="F54" s="784">
        <f>+F12+F14+F24+F26+F32+F40+F51</f>
        <v>154947319.85887131</v>
      </c>
      <c r="G54" s="784">
        <f>+G51++G42</f>
        <v>152815825.15949851</v>
      </c>
      <c r="H54" s="783"/>
      <c r="I54" s="784">
        <f>I42+I51</f>
        <v>172371331.06937283</v>
      </c>
      <c r="J54" s="783"/>
      <c r="K54" s="568"/>
      <c r="L54" s="584">
        <f>L42+L51</f>
        <v>1</v>
      </c>
      <c r="M54" s="785">
        <f ca="1">M42+M51</f>
        <v>2766850602.9204912</v>
      </c>
      <c r="N54" s="131">
        <f>A54</f>
        <v>120</v>
      </c>
    </row>
    <row r="55" spans="1:16" ht="15" thickBot="1">
      <c r="A55" s="131"/>
      <c r="D55" s="17"/>
      <c r="N55" s="131"/>
    </row>
    <row r="56" spans="1:16" ht="15" thickBot="1">
      <c r="A56" s="131">
        <f>A54+1</f>
        <v>121</v>
      </c>
      <c r="B56" s="857" t="s">
        <v>1283</v>
      </c>
      <c r="C56" s="858"/>
      <c r="D56" s="858"/>
      <c r="E56" s="858"/>
      <c r="F56" s="858"/>
      <c r="G56" s="858"/>
      <c r="H56" s="858"/>
      <c r="I56" s="858"/>
      <c r="J56" s="858"/>
      <c r="K56" s="858"/>
      <c r="L56" s="858"/>
      <c r="M56" s="785">
        <f ca="1">'1-BaseTRR'!D160</f>
        <v>2766850602.9204912</v>
      </c>
      <c r="N56" s="131">
        <f>A56</f>
        <v>121</v>
      </c>
    </row>
    <row r="57" spans="1:16">
      <c r="A57" s="131"/>
      <c r="B57" s="806"/>
      <c r="C57" s="806"/>
      <c r="D57" s="806"/>
      <c r="E57" s="806"/>
      <c r="F57" s="806"/>
      <c r="G57" s="806"/>
      <c r="H57" s="806"/>
      <c r="I57" s="806"/>
      <c r="J57" s="806"/>
      <c r="K57" s="806"/>
      <c r="L57" s="806"/>
      <c r="M57" s="463"/>
      <c r="N57" s="131"/>
    </row>
    <row r="58" spans="1:16">
      <c r="A58" s="131"/>
      <c r="B58" s="806"/>
      <c r="C58" s="806"/>
      <c r="D58" s="806"/>
      <c r="E58" s="806"/>
      <c r="F58" s="806"/>
      <c r="G58" s="806"/>
      <c r="H58" s="806"/>
      <c r="I58" s="806"/>
      <c r="J58" s="806"/>
      <c r="K58" s="806"/>
      <c r="L58" s="806"/>
      <c r="M58" s="463"/>
      <c r="N58" s="131"/>
    </row>
    <row r="59" spans="1:16">
      <c r="M59" s="391"/>
    </row>
    <row r="60" spans="1:16">
      <c r="B60" s="206" t="s">
        <v>125</v>
      </c>
      <c r="D60" s="17"/>
      <c r="E60" s="382"/>
      <c r="F60" s="217"/>
      <c r="K60" s="17"/>
      <c r="L60" s="17"/>
      <c r="M60" s="17"/>
      <c r="N60" s="380"/>
      <c r="O60" s="17"/>
    </row>
    <row r="61" spans="1:16">
      <c r="B61" s="817" t="s">
        <v>1294</v>
      </c>
      <c r="C61" s="817"/>
      <c r="D61" s="817"/>
      <c r="E61" s="817"/>
      <c r="F61" s="817"/>
      <c r="G61" s="817"/>
      <c r="H61" s="817"/>
      <c r="I61" s="817"/>
      <c r="J61" s="817"/>
      <c r="K61" s="817"/>
      <c r="L61" s="817"/>
      <c r="M61" s="817"/>
      <c r="N61" s="817"/>
      <c r="O61" s="817"/>
    </row>
    <row r="62" spans="1:16">
      <c r="B62" s="17" t="s">
        <v>1293</v>
      </c>
      <c r="D62" s="17"/>
      <c r="K62" s="17"/>
      <c r="L62" s="17"/>
      <c r="M62" s="17"/>
      <c r="O62" s="17"/>
    </row>
    <row r="63" spans="1:16">
      <c r="B63" s="817" t="s">
        <v>1295</v>
      </c>
      <c r="C63" s="817"/>
      <c r="D63" s="817"/>
      <c r="E63" s="817"/>
      <c r="F63" s="817"/>
      <c r="G63" s="817"/>
      <c r="H63" s="817"/>
      <c r="I63" s="817"/>
      <c r="J63" s="817"/>
      <c r="K63" s="817"/>
      <c r="L63" s="817"/>
      <c r="M63" s="817"/>
      <c r="N63" s="817"/>
      <c r="O63" s="817"/>
    </row>
    <row r="64" spans="1:16">
      <c r="B64" s="816" t="s">
        <v>1284</v>
      </c>
      <c r="C64" s="816"/>
      <c r="D64" s="816"/>
      <c r="E64" s="816"/>
      <c r="F64" s="816"/>
      <c r="G64" s="816"/>
      <c r="H64" s="816"/>
      <c r="I64" s="816"/>
      <c r="J64" s="816"/>
      <c r="K64" s="816"/>
      <c r="L64" s="816"/>
      <c r="M64" s="816"/>
      <c r="N64" s="816"/>
      <c r="O64" s="816"/>
    </row>
    <row r="65" spans="2:15" ht="33" customHeight="1">
      <c r="B65" s="816" t="s">
        <v>1482</v>
      </c>
      <c r="C65" s="816"/>
      <c r="D65" s="816"/>
      <c r="E65" s="816"/>
      <c r="F65" s="816"/>
      <c r="G65" s="816"/>
      <c r="H65" s="816"/>
      <c r="I65" s="816"/>
      <c r="J65" s="816"/>
      <c r="K65" s="816"/>
      <c r="L65" s="816"/>
      <c r="M65" s="816"/>
      <c r="N65" s="5"/>
      <c r="O65" s="5"/>
    </row>
    <row r="66" spans="2:15" ht="51.75" customHeight="1">
      <c r="B66" s="816"/>
      <c r="C66" s="816"/>
      <c r="D66" s="816"/>
      <c r="E66" s="816"/>
      <c r="F66" s="816"/>
      <c r="G66" s="816"/>
      <c r="H66" s="816"/>
      <c r="I66" s="816"/>
      <c r="J66" s="816"/>
      <c r="K66" s="816"/>
      <c r="L66" s="816"/>
      <c r="M66" s="816"/>
    </row>
    <row r="67" spans="2:15">
      <c r="E67" s="390"/>
      <c r="F67" s="390"/>
    </row>
    <row r="68" spans="2:15">
      <c r="F68" s="390"/>
    </row>
    <row r="69" spans="2:15">
      <c r="D69" s="389"/>
      <c r="F69" s="380"/>
    </row>
    <row r="70" spans="2:15">
      <c r="F70" s="380"/>
    </row>
    <row r="71" spans="2:15">
      <c r="F71" s="380"/>
    </row>
    <row r="72" spans="2:15">
      <c r="F72" s="380"/>
    </row>
    <row r="73" spans="2:15">
      <c r="F73" s="380"/>
    </row>
    <row r="74" spans="2:15">
      <c r="F74" s="390"/>
    </row>
    <row r="75" spans="2:15">
      <c r="F75" s="390"/>
    </row>
    <row r="76" spans="2:15">
      <c r="D76" s="389"/>
      <c r="F76" s="390"/>
    </row>
    <row r="77" spans="2:15">
      <c r="E77" s="380"/>
      <c r="F77" s="380"/>
    </row>
    <row r="78" spans="2:15">
      <c r="F78" s="390"/>
    </row>
    <row r="79" spans="2:15">
      <c r="F79" s="390"/>
    </row>
    <row r="80" spans="2:15">
      <c r="F80" s="390"/>
    </row>
    <row r="81" spans="4:6">
      <c r="F81" s="390"/>
    </row>
    <row r="83" spans="4:6">
      <c r="D83" s="389"/>
    </row>
  </sheetData>
  <mergeCells count="6">
    <mergeCell ref="B66:M66"/>
    <mergeCell ref="B56:L56"/>
    <mergeCell ref="B61:O61"/>
    <mergeCell ref="B63:O63"/>
    <mergeCell ref="B64:O64"/>
    <mergeCell ref="B65:M65"/>
  </mergeCells>
  <printOptions horizontalCentered="1"/>
  <pageMargins left="1" right="1" top="1" bottom="1" header="0.5" footer="0.5"/>
  <pageSetup scale="54" fitToHeight="0" orientation="landscape" r:id="rId1"/>
  <headerFooter>
    <oddHeader xml:space="preserve">&amp;C&amp;"-,Bold"Pacific Gas and Electric Company
Formula Rate Model
Schedule &amp;A&amp;R&amp;8Docket No. ER19-13-000- Annual Update RY2024
&amp;F
</oddHeader>
  </headerFooter>
  <customProperties>
    <customPr name="_pios_id" r:id="rId2"/>
  </customProperties>
  <ignoredErrors>
    <ignoredError sqref="M56" evalError="1" calculatedColumn="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N169"/>
  <sheetViews>
    <sheetView tabSelected="1" view="pageBreakPreview" topLeftCell="A130" zoomScale="80" zoomScaleSheetLayoutView="80" zoomScalePageLayoutView="70" workbookViewId="0">
      <selection activeCell="C59" activeCellId="1" sqref="L63 C59"/>
    </sheetView>
  </sheetViews>
  <sheetFormatPr defaultColWidth="9.1796875" defaultRowHeight="14.5"/>
  <cols>
    <col min="1" max="1" width="4.7265625" style="8" customWidth="1"/>
    <col min="2" max="2" width="2.1796875" style="8" bestFit="1" customWidth="1"/>
    <col min="3" max="3" width="72.54296875" customWidth="1"/>
    <col min="4" max="4" width="19.1796875" bestFit="1" customWidth="1"/>
    <col min="5" max="5" width="37.1796875" bestFit="1" customWidth="1"/>
    <col min="6" max="6" width="39.26953125" customWidth="1"/>
    <col min="7" max="7" width="4.54296875" bestFit="1" customWidth="1"/>
    <col min="8" max="8" width="2.7265625" customWidth="1"/>
    <col min="9" max="9" width="12.7265625" bestFit="1" customWidth="1"/>
    <col min="10" max="10" width="14.54296875" bestFit="1" customWidth="1"/>
    <col min="11" max="12" width="13.7265625" bestFit="1" customWidth="1"/>
    <col min="13" max="14" width="9.1796875" customWidth="1"/>
  </cols>
  <sheetData>
    <row r="1" spans="1:8">
      <c r="C1" s="12" t="s">
        <v>131</v>
      </c>
      <c r="E1" s="15" t="s">
        <v>161</v>
      </c>
      <c r="F1" s="47">
        <v>2024</v>
      </c>
    </row>
    <row r="2" spans="1:8">
      <c r="A2" s="14"/>
      <c r="B2" s="14"/>
      <c r="C2" s="46" t="s">
        <v>193</v>
      </c>
      <c r="E2" s="15" t="s">
        <v>126</v>
      </c>
      <c r="F2" s="14">
        <f>F1-2</f>
        <v>2022</v>
      </c>
      <c r="H2" s="15"/>
    </row>
    <row r="3" spans="1:8">
      <c r="A3" s="13"/>
      <c r="B3" s="13"/>
      <c r="F3" s="6"/>
      <c r="G3" s="13"/>
    </row>
    <row r="4" spans="1:8">
      <c r="C4" s="52" t="s">
        <v>172</v>
      </c>
      <c r="D4" s="54"/>
      <c r="E4" s="54"/>
      <c r="F4" s="54"/>
    </row>
    <row r="5" spans="1:8">
      <c r="A5" s="13" t="s">
        <v>122</v>
      </c>
      <c r="B5" s="13"/>
      <c r="C5" s="13" t="s">
        <v>127</v>
      </c>
      <c r="D5" s="13" t="s">
        <v>79</v>
      </c>
      <c r="E5" s="13" t="s">
        <v>54</v>
      </c>
      <c r="F5" s="13" t="s">
        <v>11</v>
      </c>
      <c r="G5" s="13" t="str">
        <f>A5</f>
        <v>Line</v>
      </c>
    </row>
    <row r="6" spans="1:8">
      <c r="C6" s="11" t="s">
        <v>4</v>
      </c>
    </row>
    <row r="7" spans="1:8">
      <c r="A7" s="8">
        <v>100</v>
      </c>
      <c r="C7" t="s">
        <v>1</v>
      </c>
      <c r="D7" s="32">
        <f>'7-PlantInService'!P24</f>
        <v>15658655291.088451</v>
      </c>
      <c r="E7" t="s">
        <v>1000</v>
      </c>
      <c r="F7" t="s">
        <v>158</v>
      </c>
      <c r="G7" s="8">
        <f>A7</f>
        <v>100</v>
      </c>
    </row>
    <row r="8" spans="1:8">
      <c r="A8" s="8">
        <f>A7+1</f>
        <v>101</v>
      </c>
      <c r="C8" t="s">
        <v>2</v>
      </c>
      <c r="D8" s="32">
        <f>'7-PlantInService'!D128</f>
        <v>1466646066.3247118</v>
      </c>
      <c r="E8" t="s">
        <v>1001</v>
      </c>
      <c r="F8" t="s">
        <v>158</v>
      </c>
      <c r="G8" s="8">
        <f>A8</f>
        <v>101</v>
      </c>
    </row>
    <row r="9" spans="1:8">
      <c r="A9" s="8">
        <f t="shared" ref="A9:A10" si="0">A8+1</f>
        <v>102</v>
      </c>
      <c r="C9" t="s">
        <v>3</v>
      </c>
      <c r="D9" s="26">
        <f ca="1">+'8-AbandonedPlant'!M14</f>
        <v>0</v>
      </c>
      <c r="E9" t="s">
        <v>1715</v>
      </c>
      <c r="F9" t="s">
        <v>158</v>
      </c>
      <c r="G9" s="8">
        <f>A9</f>
        <v>102</v>
      </c>
    </row>
    <row r="10" spans="1:8">
      <c r="A10" s="8">
        <f t="shared" si="0"/>
        <v>103</v>
      </c>
      <c r="C10" s="12" t="s">
        <v>12</v>
      </c>
      <c r="D10" s="68">
        <f ca="1">+D7+D8+D9</f>
        <v>17125301357.413162</v>
      </c>
      <c r="E10" s="6" t="str">
        <f>"Sum of Lines "&amp;A7&amp;" to "&amp;A9&amp;""</f>
        <v>Sum of Lines 100 to 102</v>
      </c>
      <c r="G10" s="8">
        <f>A10</f>
        <v>103</v>
      </c>
    </row>
    <row r="12" spans="1:8">
      <c r="C12" s="11" t="s">
        <v>5</v>
      </c>
    </row>
    <row r="13" spans="1:8">
      <c r="A13" s="8">
        <f>A10+1</f>
        <v>104</v>
      </c>
      <c r="C13" t="s">
        <v>6</v>
      </c>
      <c r="D13" s="32">
        <f>'13-WorkCap'!E25</f>
        <v>107423252.17511886</v>
      </c>
      <c r="E13" t="s">
        <v>1002</v>
      </c>
      <c r="F13" t="s">
        <v>158</v>
      </c>
      <c r="G13" s="8">
        <f>A13</f>
        <v>104</v>
      </c>
    </row>
    <row r="14" spans="1:8">
      <c r="A14" s="8">
        <f>A13+1</f>
        <v>105</v>
      </c>
      <c r="C14" t="s">
        <v>142</v>
      </c>
      <c r="D14" s="32">
        <f>'13-WorkCap'!F60</f>
        <v>64247105</v>
      </c>
      <c r="E14" t="s">
        <v>1003</v>
      </c>
      <c r="F14" t="s">
        <v>158</v>
      </c>
      <c r="G14" s="8">
        <f>A14</f>
        <v>105</v>
      </c>
    </row>
    <row r="15" spans="1:8">
      <c r="A15" s="8">
        <f t="shared" ref="A15:A16" si="1">A14+1</f>
        <v>106</v>
      </c>
      <c r="C15" t="s">
        <v>7</v>
      </c>
      <c r="D15" s="26">
        <f>(D125+D126)/10</f>
        <v>94439920.822499648</v>
      </c>
      <c r="E15" t="str">
        <f>"(Line "&amp;A125&amp;" + Line "&amp;A126&amp;") / 10"</f>
        <v>(Line 500 + Line 501) / 10</v>
      </c>
      <c r="G15" s="8">
        <f>A15</f>
        <v>106</v>
      </c>
    </row>
    <row r="16" spans="1:8">
      <c r="A16" s="8">
        <f t="shared" si="1"/>
        <v>107</v>
      </c>
      <c r="C16" s="12" t="s">
        <v>13</v>
      </c>
      <c r="D16" s="68">
        <f>+D13+D15+D14</f>
        <v>266110277.9976185</v>
      </c>
      <c r="E16" s="6" t="str">
        <f>"Sum of Lines "&amp;A13&amp;" to "&amp;A15&amp;""</f>
        <v>Sum of Lines 104 to 106</v>
      </c>
      <c r="G16" s="8">
        <f>A16</f>
        <v>107</v>
      </c>
    </row>
    <row r="18" spans="1:8">
      <c r="C18" s="11" t="s">
        <v>9</v>
      </c>
    </row>
    <row r="19" spans="1:8">
      <c r="A19" s="8">
        <f>A16+1</f>
        <v>108</v>
      </c>
      <c r="C19" t="s">
        <v>8</v>
      </c>
      <c r="D19" s="32">
        <f>-'10-AccDep'!P26</f>
        <v>-3674552227.2916818</v>
      </c>
      <c r="E19" t="s">
        <v>1004</v>
      </c>
      <c r="F19" t="s">
        <v>997</v>
      </c>
      <c r="G19" s="8">
        <f>A19</f>
        <v>108</v>
      </c>
    </row>
    <row r="20" spans="1:8">
      <c r="A20" s="8">
        <f>A19+1</f>
        <v>109</v>
      </c>
      <c r="C20" t="s">
        <v>17</v>
      </c>
      <c r="D20" s="26">
        <f>-'10-AccDep'!D128</f>
        <v>-524616275.48762077</v>
      </c>
      <c r="E20" t="s">
        <v>1005</v>
      </c>
      <c r="F20" t="s">
        <v>997</v>
      </c>
      <c r="G20" s="8">
        <f>A20</f>
        <v>109</v>
      </c>
    </row>
    <row r="21" spans="1:8">
      <c r="A21" s="8">
        <f>A20+1</f>
        <v>110</v>
      </c>
      <c r="C21" s="12" t="s">
        <v>14</v>
      </c>
      <c r="D21" s="68">
        <f>+D19+D20</f>
        <v>-4199168502.7793026</v>
      </c>
      <c r="E21" t="str">
        <f>"Line "&amp;A19&amp;" + Line "&amp;A20&amp;""</f>
        <v>Line 108 + Line 109</v>
      </c>
      <c r="G21" s="8">
        <f>A21</f>
        <v>110</v>
      </c>
    </row>
    <row r="23" spans="1:8">
      <c r="A23" s="8">
        <f>A21+1</f>
        <v>111</v>
      </c>
      <c r="B23" s="14" t="s">
        <v>1499</v>
      </c>
      <c r="C23" s="14" t="s">
        <v>10</v>
      </c>
      <c r="D23" s="32">
        <f>'14-ADIT'!D13</f>
        <v>-1565836048.5595448</v>
      </c>
      <c r="E23" t="s">
        <v>1339</v>
      </c>
      <c r="F23" t="s">
        <v>158</v>
      </c>
      <c r="G23" s="8">
        <f t="shared" ref="G23:G28" si="2">A23</f>
        <v>111</v>
      </c>
      <c r="H23" s="12" t="s">
        <v>1499</v>
      </c>
    </row>
    <row r="24" spans="1:8">
      <c r="A24" s="8">
        <v>111</v>
      </c>
      <c r="B24" s="14" t="s">
        <v>1500</v>
      </c>
      <c r="C24" s="201" t="s">
        <v>1720</v>
      </c>
      <c r="D24" s="26">
        <f>'17-RegAssets-1'!C47</f>
        <v>-513953807.01430571</v>
      </c>
      <c r="E24" t="s">
        <v>1566</v>
      </c>
      <c r="F24" t="s">
        <v>158</v>
      </c>
      <c r="G24" s="8">
        <f t="shared" si="2"/>
        <v>111</v>
      </c>
      <c r="H24" s="12" t="s">
        <v>1500</v>
      </c>
    </row>
    <row r="25" spans="1:8">
      <c r="A25" s="8">
        <v>111</v>
      </c>
      <c r="B25" s="14" t="s">
        <v>1501</v>
      </c>
      <c r="C25" s="201" t="s">
        <v>1721</v>
      </c>
      <c r="D25" s="68">
        <f>+D23+D24</f>
        <v>-2079789855.5738506</v>
      </c>
      <c r="E25" t="str">
        <f>"Line "&amp;A23&amp;"a + Line "&amp;A24&amp;"b"</f>
        <v>Line 111a + Line 111b</v>
      </c>
      <c r="F25" t="s">
        <v>158</v>
      </c>
      <c r="G25" s="8">
        <f t="shared" si="2"/>
        <v>111</v>
      </c>
      <c r="H25" s="12" t="s">
        <v>1501</v>
      </c>
    </row>
    <row r="26" spans="1:8">
      <c r="A26" s="8">
        <f>A23+1</f>
        <v>112</v>
      </c>
      <c r="C26" s="12" t="s">
        <v>225</v>
      </c>
      <c r="D26" s="32">
        <f>-'15-NUC'!C12</f>
        <v>-159139744.63</v>
      </c>
      <c r="E26" t="s">
        <v>1006</v>
      </c>
      <c r="F26" t="s">
        <v>997</v>
      </c>
      <c r="G26" s="8">
        <f t="shared" si="2"/>
        <v>112</v>
      </c>
    </row>
    <row r="27" spans="1:8">
      <c r="A27" s="8">
        <f>A26+1</f>
        <v>113</v>
      </c>
      <c r="C27" s="12" t="s">
        <v>1441</v>
      </c>
      <c r="D27" s="32">
        <f>'16-UnfundedReserves'!E6</f>
        <v>-131293247.62614582</v>
      </c>
      <c r="E27" t="s">
        <v>1600</v>
      </c>
      <c r="F27" t="s">
        <v>158</v>
      </c>
      <c r="G27" s="8">
        <f t="shared" si="2"/>
        <v>113</v>
      </c>
    </row>
    <row r="28" spans="1:8">
      <c r="A28" s="8">
        <f>A27+1</f>
        <v>114</v>
      </c>
      <c r="C28" s="12" t="s">
        <v>16</v>
      </c>
      <c r="D28" s="32">
        <f>'17-RegAssets-1'!E25</f>
        <v>0</v>
      </c>
      <c r="E28" t="s">
        <v>1611</v>
      </c>
      <c r="F28" t="s">
        <v>158</v>
      </c>
      <c r="G28" s="8">
        <f t="shared" si="2"/>
        <v>114</v>
      </c>
    </row>
    <row r="29" spans="1:8">
      <c r="D29" s="32"/>
      <c r="G29" s="8"/>
    </row>
    <row r="30" spans="1:8">
      <c r="A30" s="8">
        <f>A28+1</f>
        <v>115</v>
      </c>
      <c r="C30" s="12" t="s">
        <v>0</v>
      </c>
      <c r="D30" s="68">
        <f ca="1">+D10+D16+D21+D25+D26+D28+D27</f>
        <v>10822020284.801483</v>
      </c>
      <c r="E30" t="str">
        <f>"Sum of Lines "&amp;A10&amp;", "&amp;A16&amp;", "&amp;A21&amp;" and Lines "&amp;A25&amp;B25&amp;" to "&amp;A28&amp;""</f>
        <v>Sum of Lines 103, 107, 110 and Lines 111c to 114</v>
      </c>
      <c r="G30" s="8">
        <f>A30</f>
        <v>115</v>
      </c>
    </row>
    <row r="31" spans="1:8">
      <c r="D31" s="17"/>
      <c r="G31" s="8"/>
    </row>
    <row r="32" spans="1:8">
      <c r="C32" s="52" t="s">
        <v>173</v>
      </c>
      <c r="D32" s="54"/>
      <c r="E32" s="54"/>
      <c r="F32" s="54"/>
    </row>
    <row r="33" spans="1:7">
      <c r="A33" s="13" t="s">
        <v>122</v>
      </c>
      <c r="B33" s="13"/>
      <c r="C33" s="13" t="s">
        <v>127</v>
      </c>
      <c r="D33" s="13" t="s">
        <v>79</v>
      </c>
      <c r="E33" s="13" t="s">
        <v>54</v>
      </c>
      <c r="F33" s="13" t="s">
        <v>11</v>
      </c>
      <c r="G33" s="13" t="str">
        <f>A33</f>
        <v>Line</v>
      </c>
    </row>
    <row r="34" spans="1:7">
      <c r="C34" s="11" t="s">
        <v>30</v>
      </c>
    </row>
    <row r="35" spans="1:7">
      <c r="A35" s="8">
        <v>200</v>
      </c>
      <c r="C35" t="s">
        <v>31</v>
      </c>
      <c r="D35" s="788">
        <f>'5-CostofCap-1'!D16</f>
        <v>34920538386.664665</v>
      </c>
      <c r="E35" t="s">
        <v>1007</v>
      </c>
      <c r="G35" s="8">
        <f>A35</f>
        <v>200</v>
      </c>
    </row>
    <row r="36" spans="1:7">
      <c r="A36" s="8">
        <f>A35+1</f>
        <v>201</v>
      </c>
      <c r="C36" t="s">
        <v>32</v>
      </c>
      <c r="D36" s="411">
        <f>'5-CostofCap-3'!F24</f>
        <v>3.9199999999999999E-2</v>
      </c>
      <c r="E36" t="s">
        <v>1340</v>
      </c>
      <c r="G36" s="8">
        <f>A36</f>
        <v>201</v>
      </c>
    </row>
    <row r="37" spans="1:7">
      <c r="A37" s="8">
        <f>A36+1</f>
        <v>202</v>
      </c>
      <c r="C37" s="12" t="s">
        <v>33</v>
      </c>
      <c r="D37" s="68">
        <f>D35*D36</f>
        <v>1368885104.7572548</v>
      </c>
      <c r="E37" t="str">
        <f>"Line "&amp;A35&amp;" * Line "&amp;A36&amp;""</f>
        <v>Line 200 * Line 201</v>
      </c>
      <c r="G37" s="8">
        <f>A37</f>
        <v>202</v>
      </c>
    </row>
    <row r="39" spans="1:7">
      <c r="C39" s="11" t="s">
        <v>34</v>
      </c>
    </row>
    <row r="40" spans="1:7">
      <c r="A40" s="8">
        <f>A37+1</f>
        <v>203</v>
      </c>
      <c r="C40" t="s">
        <v>35</v>
      </c>
      <c r="D40" s="32">
        <f>'5-CostofCap-1'!D22</f>
        <v>252054300.31999999</v>
      </c>
      <c r="E40" t="s">
        <v>1008</v>
      </c>
      <c r="G40" s="8">
        <f>A40</f>
        <v>203</v>
      </c>
    </row>
    <row r="41" spans="1:7">
      <c r="A41" s="8">
        <f>A40+1</f>
        <v>204</v>
      </c>
      <c r="C41" t="s">
        <v>37</v>
      </c>
      <c r="D41" s="41">
        <f>'5-CostofCap-4'!E14</f>
        <v>5.5211589517762859E-2</v>
      </c>
      <c r="E41" t="s">
        <v>1009</v>
      </c>
      <c r="G41" s="8">
        <f>A41</f>
        <v>204</v>
      </c>
    </row>
    <row r="42" spans="1:7">
      <c r="A42" s="8">
        <f>A41+1</f>
        <v>205</v>
      </c>
      <c r="C42" s="12" t="s">
        <v>36</v>
      </c>
      <c r="D42" s="68">
        <f>D40*D41</f>
        <v>13916318.565454762</v>
      </c>
      <c r="E42" t="str">
        <f>"Line "&amp;A40&amp;" * Line "&amp;A41&amp;""</f>
        <v>Line 203 * Line 204</v>
      </c>
      <c r="G42" s="8">
        <f>A42</f>
        <v>205</v>
      </c>
    </row>
    <row r="44" spans="1:7">
      <c r="C44" s="11" t="s">
        <v>38</v>
      </c>
    </row>
    <row r="45" spans="1:7">
      <c r="A45" s="8">
        <f>A42+1</f>
        <v>206</v>
      </c>
      <c r="C45" t="s">
        <v>39</v>
      </c>
      <c r="D45" s="788">
        <f>'5-CostofCap-1'!D30</f>
        <v>29646672631.43</v>
      </c>
      <c r="E45" t="s">
        <v>1010</v>
      </c>
      <c r="G45" s="8">
        <f>A45</f>
        <v>206</v>
      </c>
    </row>
    <row r="46" spans="1:7">
      <c r="G46" s="8"/>
    </row>
    <row r="47" spans="1:7">
      <c r="A47" s="8">
        <f>A45+1</f>
        <v>207</v>
      </c>
      <c r="C47" s="12" t="s">
        <v>40</v>
      </c>
      <c r="D47" s="68">
        <f>D35+D40+D45</f>
        <v>64819265318.414665</v>
      </c>
      <c r="E47" t="str">
        <f>"Line "&amp;A35&amp;" + Line "&amp;A40&amp;" + Line "&amp;A45&amp;""</f>
        <v>Line 200 + Line 203 + Line 206</v>
      </c>
      <c r="G47" s="8">
        <f>A47</f>
        <v>207</v>
      </c>
    </row>
    <row r="49" spans="1:7">
      <c r="C49" s="11" t="s">
        <v>41</v>
      </c>
    </row>
    <row r="50" spans="1:7">
      <c r="A50" s="8">
        <f>A47+1</f>
        <v>208</v>
      </c>
      <c r="C50" t="s">
        <v>42</v>
      </c>
      <c r="D50" s="28">
        <v>0.4975</v>
      </c>
      <c r="E50" s="17" t="s">
        <v>1697</v>
      </c>
      <c r="F50" s="17" t="s">
        <v>1633</v>
      </c>
      <c r="G50" s="8">
        <f>A50</f>
        <v>208</v>
      </c>
    </row>
    <row r="51" spans="1:7">
      <c r="A51" s="8">
        <f>A50+1</f>
        <v>209</v>
      </c>
      <c r="C51" t="s">
        <v>43</v>
      </c>
      <c r="D51" s="28">
        <v>5.0000000000000001E-3</v>
      </c>
      <c r="E51" s="17" t="s">
        <v>1698</v>
      </c>
      <c r="F51" s="17" t="s">
        <v>1633</v>
      </c>
      <c r="G51" s="8">
        <f>A51</f>
        <v>209</v>
      </c>
    </row>
    <row r="52" spans="1:7">
      <c r="A52" s="8">
        <f>A51+1</f>
        <v>210</v>
      </c>
      <c r="C52" t="s">
        <v>44</v>
      </c>
      <c r="D52" s="28">
        <v>0.4975</v>
      </c>
      <c r="E52" s="17" t="s">
        <v>1697</v>
      </c>
      <c r="F52" s="17" t="s">
        <v>1633</v>
      </c>
      <c r="G52" s="8">
        <f>A52</f>
        <v>210</v>
      </c>
    </row>
    <row r="54" spans="1:7">
      <c r="C54" s="11" t="s">
        <v>45</v>
      </c>
      <c r="G54" s="8"/>
    </row>
    <row r="55" spans="1:7">
      <c r="A55" s="8">
        <f>A52+1</f>
        <v>211</v>
      </c>
      <c r="C55" t="s">
        <v>46</v>
      </c>
      <c r="D55" s="31">
        <f>D36</f>
        <v>3.9199999999999999E-2</v>
      </c>
      <c r="E55" t="str">
        <f>"Line "&amp;A36&amp;""</f>
        <v>Line 201</v>
      </c>
      <c r="G55" s="8">
        <f>A55</f>
        <v>211</v>
      </c>
    </row>
    <row r="56" spans="1:7">
      <c r="A56" s="8">
        <f>A55+1</f>
        <v>212</v>
      </c>
      <c r="C56" t="s">
        <v>37</v>
      </c>
      <c r="D56" s="31">
        <f>D41</f>
        <v>5.5211589517762859E-2</v>
      </c>
      <c r="E56" t="str">
        <f>"Line "&amp;A41&amp;""</f>
        <v>Line 204</v>
      </c>
      <c r="G56" s="8">
        <f>A56</f>
        <v>212</v>
      </c>
    </row>
    <row r="57" spans="1:7">
      <c r="D57" s="31"/>
      <c r="G57" s="8"/>
    </row>
    <row r="58" spans="1:7">
      <c r="A58" s="8">
        <f>A56+1</f>
        <v>213</v>
      </c>
      <c r="C58" s="12" t="s">
        <v>1330</v>
      </c>
      <c r="D58" s="505">
        <f>D59+D60</f>
        <v>0.1045</v>
      </c>
      <c r="E58" t="s">
        <v>1332</v>
      </c>
      <c r="G58" s="8">
        <f>A58</f>
        <v>213</v>
      </c>
    </row>
    <row r="59" spans="1:7">
      <c r="A59" s="8">
        <f t="shared" ref="A59:A60" si="3">A58+1</f>
        <v>214</v>
      </c>
      <c r="C59" t="s">
        <v>1331</v>
      </c>
      <c r="D59" s="29">
        <v>0.1045</v>
      </c>
      <c r="E59" t="s">
        <v>240</v>
      </c>
      <c r="F59" s="17" t="s">
        <v>123</v>
      </c>
      <c r="G59" s="8">
        <f>A59</f>
        <v>214</v>
      </c>
    </row>
    <row r="60" spans="1:7">
      <c r="A60" s="8">
        <f t="shared" si="3"/>
        <v>215</v>
      </c>
      <c r="C60" t="s">
        <v>1333</v>
      </c>
      <c r="D60" s="29">
        <v>0</v>
      </c>
      <c r="F60" t="s">
        <v>124</v>
      </c>
      <c r="G60" s="8">
        <f>A60</f>
        <v>215</v>
      </c>
    </row>
    <row r="62" spans="1:7">
      <c r="C62" s="11" t="s">
        <v>47</v>
      </c>
    </row>
    <row r="63" spans="1:7">
      <c r="A63" s="8">
        <f>A60+1</f>
        <v>216</v>
      </c>
      <c r="C63" t="s">
        <v>48</v>
      </c>
      <c r="D63" s="28">
        <f>D50*D55</f>
        <v>1.9501999999999999E-2</v>
      </c>
      <c r="E63" t="str">
        <f>"Line "&amp;A50&amp;" * Line "&amp;A55&amp;""</f>
        <v>Line 208 * Line 211</v>
      </c>
      <c r="G63" s="8">
        <f>A63</f>
        <v>216</v>
      </c>
    </row>
    <row r="64" spans="1:7">
      <c r="A64" s="8">
        <f>A63+1</f>
        <v>217</v>
      </c>
      <c r="C64" t="s">
        <v>49</v>
      </c>
      <c r="D64" s="28">
        <f>D51*D56</f>
        <v>2.7605794758881429E-4</v>
      </c>
      <c r="E64" t="str">
        <f>"Line "&amp;A51&amp;" * Line "&amp;A56&amp;""</f>
        <v>Line 209 * Line 212</v>
      </c>
      <c r="G64" s="8">
        <f>A64</f>
        <v>217</v>
      </c>
    </row>
    <row r="65" spans="1:7">
      <c r="A65" s="8">
        <f>A64+1</f>
        <v>218</v>
      </c>
      <c r="C65" t="s">
        <v>50</v>
      </c>
      <c r="D65" s="34">
        <f>D52*D58</f>
        <v>5.198875E-2</v>
      </c>
      <c r="E65" t="str">
        <f>"Line "&amp;A52&amp;" * Line "&amp;A58&amp;""</f>
        <v>Line 210 * Line 213</v>
      </c>
      <c r="G65" s="8">
        <f>A65</f>
        <v>218</v>
      </c>
    </row>
    <row r="66" spans="1:7">
      <c r="A66" s="8">
        <f>A65+1</f>
        <v>219</v>
      </c>
      <c r="C66" s="12" t="s">
        <v>51</v>
      </c>
      <c r="D66" s="371">
        <f>SUM(D63:D65)</f>
        <v>7.1766807947588815E-2</v>
      </c>
      <c r="E66" s="6" t="str">
        <f>"Sum of Lines "&amp;A63&amp;" to "&amp;A65&amp;""</f>
        <v>Sum of Lines 216 to 218</v>
      </c>
      <c r="G66" s="8">
        <f>A66</f>
        <v>219</v>
      </c>
    </row>
    <row r="68" spans="1:7">
      <c r="A68" s="8">
        <f>A66+1</f>
        <v>220</v>
      </c>
      <c r="C68" s="12" t="s">
        <v>52</v>
      </c>
      <c r="D68" s="31">
        <f>D64+D65</f>
        <v>5.2264807947588816E-2</v>
      </c>
      <c r="E68" t="str">
        <f>"Line "&amp;A64&amp;" + Line "&amp;A65&amp;""</f>
        <v>Line 217 + Line 218</v>
      </c>
      <c r="F68" s="17"/>
      <c r="G68" s="8">
        <f>A68</f>
        <v>220</v>
      </c>
    </row>
    <row r="69" spans="1:7">
      <c r="A69" s="8">
        <f>A68+1</f>
        <v>221</v>
      </c>
      <c r="C69" s="12" t="s">
        <v>1417</v>
      </c>
      <c r="D69" s="31">
        <f>D60*D52</f>
        <v>0</v>
      </c>
      <c r="E69" t="str">
        <f>"Line "&amp;A52&amp;" * Line "&amp;A60&amp;""</f>
        <v>Line 210 * Line 215</v>
      </c>
      <c r="F69" s="17"/>
      <c r="G69" s="8">
        <f>A69</f>
        <v>221</v>
      </c>
    </row>
    <row r="70" spans="1:7">
      <c r="G70" s="8"/>
    </row>
    <row r="71" spans="1:7">
      <c r="A71" s="8">
        <f>A69+1</f>
        <v>222</v>
      </c>
      <c r="C71" t="s">
        <v>53</v>
      </c>
      <c r="D71" s="32">
        <f ca="1">D66*D30</f>
        <v>776661851.38425851</v>
      </c>
      <c r="E71" t="str">
        <f>"Line "&amp;A66&amp;" * Line "&amp;A30&amp;""</f>
        <v>Line 219 * Line 115</v>
      </c>
      <c r="G71" s="8">
        <f>A71</f>
        <v>222</v>
      </c>
    </row>
    <row r="72" spans="1:7">
      <c r="A72" s="8">
        <f>A71+1</f>
        <v>223</v>
      </c>
      <c r="C72" t="s">
        <v>1419</v>
      </c>
      <c r="D72" s="32">
        <f ca="1">D69*D9</f>
        <v>0</v>
      </c>
      <c r="E72" t="str">
        <f>"Line "&amp;A9&amp;" * Line "&amp;A69&amp;""</f>
        <v>Line 102 * Line 221</v>
      </c>
      <c r="G72" s="8">
        <f>A72</f>
        <v>223</v>
      </c>
    </row>
    <row r="73" spans="1:7">
      <c r="A73" s="8">
        <f>A72+1</f>
        <v>224</v>
      </c>
      <c r="C73" s="12" t="s">
        <v>1418</v>
      </c>
      <c r="D73" s="68">
        <f ca="1">D71-D72</f>
        <v>776661851.38425851</v>
      </c>
      <c r="E73" t="str">
        <f>"Line "&amp;A71&amp;" - Line "&amp;A72&amp;""</f>
        <v>Line 222 - Line 223</v>
      </c>
      <c r="G73" s="8">
        <f>A73</f>
        <v>224</v>
      </c>
    </row>
    <row r="75" spans="1:7">
      <c r="C75" s="52" t="s">
        <v>174</v>
      </c>
      <c r="D75" s="54"/>
      <c r="E75" s="54"/>
      <c r="F75" s="54"/>
    </row>
    <row r="76" spans="1:7">
      <c r="A76" s="13" t="s">
        <v>122</v>
      </c>
      <c r="B76" s="13"/>
      <c r="C76" s="13" t="s">
        <v>127</v>
      </c>
      <c r="D76" s="13" t="s">
        <v>79</v>
      </c>
      <c r="E76" s="13" t="s">
        <v>54</v>
      </c>
      <c r="F76" s="13" t="s">
        <v>11</v>
      </c>
      <c r="G76" s="13" t="str">
        <f>A76</f>
        <v>Line</v>
      </c>
    </row>
    <row r="77" spans="1:7">
      <c r="C77" s="11" t="s">
        <v>19</v>
      </c>
    </row>
    <row r="78" spans="1:7">
      <c r="A78" s="8">
        <v>300</v>
      </c>
      <c r="C78" t="s">
        <v>20</v>
      </c>
      <c r="D78" s="51">
        <v>435557101</v>
      </c>
      <c r="E78" s="17" t="s">
        <v>1946</v>
      </c>
      <c r="G78" s="8">
        <f>A78</f>
        <v>300</v>
      </c>
    </row>
    <row r="79" spans="1:7">
      <c r="A79" s="8">
        <f>A78+1</f>
        <v>301</v>
      </c>
      <c r="C79" t="s">
        <v>188</v>
      </c>
      <c r="D79" s="41">
        <f>'24-Allocators'!C64</f>
        <v>0.29047249215759252</v>
      </c>
      <c r="E79" s="17" t="s">
        <v>1687</v>
      </c>
      <c r="G79" s="8">
        <f>A79</f>
        <v>301</v>
      </c>
    </row>
    <row r="80" spans="1:7">
      <c r="A80" s="8">
        <f>A79+1</f>
        <v>302</v>
      </c>
      <c r="C80" s="12" t="s">
        <v>29</v>
      </c>
      <c r="D80" s="68">
        <f>+D78*D79</f>
        <v>126517356.60440624</v>
      </c>
      <c r="E80" s="17" t="str">
        <f>"Line "&amp;A78&amp;" * Line "&amp;A79&amp;""</f>
        <v>Line 300 * Line 301</v>
      </c>
      <c r="G80" s="8">
        <f>A80</f>
        <v>302</v>
      </c>
    </row>
    <row r="81" spans="1:7">
      <c r="E81" s="17"/>
    </row>
    <row r="82" spans="1:7">
      <c r="C82" s="11" t="s">
        <v>21</v>
      </c>
      <c r="E82" s="17"/>
    </row>
    <row r="83" spans="1:7">
      <c r="A83" s="8">
        <f>A80+1</f>
        <v>303</v>
      </c>
      <c r="C83" t="s">
        <v>22</v>
      </c>
      <c r="D83" s="669">
        <v>102974934</v>
      </c>
      <c r="E83" s="17" t="s">
        <v>1947</v>
      </c>
      <c r="G83" s="8">
        <f t="shared" ref="G83:G88" si="4">A83</f>
        <v>303</v>
      </c>
    </row>
    <row r="84" spans="1:7">
      <c r="A84" s="8">
        <f>A83+1</f>
        <v>304</v>
      </c>
      <c r="C84" t="s">
        <v>23</v>
      </c>
      <c r="D84" s="669">
        <v>3527350</v>
      </c>
      <c r="E84" s="17" t="s">
        <v>1948</v>
      </c>
      <c r="G84" s="8">
        <f t="shared" si="4"/>
        <v>304</v>
      </c>
    </row>
    <row r="85" spans="1:7">
      <c r="A85" s="8">
        <f>A84+1</f>
        <v>305</v>
      </c>
      <c r="C85" t="s">
        <v>24</v>
      </c>
      <c r="D85" s="669">
        <v>814104</v>
      </c>
      <c r="E85" s="17" t="s">
        <v>1949</v>
      </c>
      <c r="G85" s="8">
        <f t="shared" si="4"/>
        <v>305</v>
      </c>
    </row>
    <row r="86" spans="1:7">
      <c r="A86" s="8">
        <f t="shared" ref="A86:A91" si="5">A85+1</f>
        <v>306</v>
      </c>
      <c r="C86" t="s">
        <v>156</v>
      </c>
      <c r="D86" s="669">
        <v>28924750</v>
      </c>
      <c r="E86" t="s">
        <v>1296</v>
      </c>
      <c r="F86" s="17" t="s">
        <v>1950</v>
      </c>
      <c r="G86" s="8">
        <f t="shared" si="4"/>
        <v>306</v>
      </c>
    </row>
    <row r="87" spans="1:7">
      <c r="A87" s="8">
        <f t="shared" si="5"/>
        <v>307</v>
      </c>
      <c r="C87" t="s">
        <v>25</v>
      </c>
      <c r="D87" s="791">
        <v>0</v>
      </c>
      <c r="E87" t="s">
        <v>1943</v>
      </c>
      <c r="F87" s="17" t="s">
        <v>1950</v>
      </c>
      <c r="G87" s="8">
        <f t="shared" si="4"/>
        <v>307</v>
      </c>
    </row>
    <row r="88" spans="1:7">
      <c r="A88" s="8">
        <f t="shared" si="5"/>
        <v>308</v>
      </c>
      <c r="C88" s="12" t="s">
        <v>26</v>
      </c>
      <c r="D88" s="68">
        <f>SUM(D83:D87)</f>
        <v>136241138</v>
      </c>
      <c r="E88" s="6" t="str">
        <f>"Sum of Lines "&amp;A83&amp;" to "&amp;A87&amp;""</f>
        <v>Sum of Lines 303 to 307</v>
      </c>
      <c r="G88" s="8">
        <f t="shared" si="4"/>
        <v>308</v>
      </c>
    </row>
    <row r="90" spans="1:7">
      <c r="A90" s="8">
        <f>A88+1</f>
        <v>309</v>
      </c>
      <c r="C90" t="s">
        <v>180</v>
      </c>
      <c r="D90" s="31">
        <f>'24-Allocators'!C23</f>
        <v>0.13539553206179952</v>
      </c>
      <c r="E90" t="s">
        <v>1011</v>
      </c>
      <c r="G90" s="8">
        <f>A90</f>
        <v>309</v>
      </c>
    </row>
    <row r="91" spans="1:7">
      <c r="A91" s="8">
        <f t="shared" si="5"/>
        <v>310</v>
      </c>
      <c r="C91" s="12" t="s">
        <v>28</v>
      </c>
      <c r="D91" s="68">
        <f>D88*D90</f>
        <v>18446441.368215054</v>
      </c>
      <c r="E91" s="17" t="str">
        <f>"Line "&amp;A90&amp;" *  Line "&amp;A88&amp;""</f>
        <v>Line 309 *  Line 308</v>
      </c>
      <c r="G91" s="8">
        <f>A91</f>
        <v>310</v>
      </c>
    </row>
    <row r="93" spans="1:7">
      <c r="A93" s="8">
        <f>A91+1</f>
        <v>311</v>
      </c>
      <c r="C93" s="12" t="s">
        <v>27</v>
      </c>
      <c r="D93" s="68">
        <f>D91+D80</f>
        <v>144963797.97262129</v>
      </c>
      <c r="E93" t="str">
        <f>"Line "&amp;A80&amp;" + Line "&amp;A91&amp;""</f>
        <v>Line 302 + Line 310</v>
      </c>
      <c r="F93" s="43"/>
      <c r="G93" s="8">
        <f>A93</f>
        <v>311</v>
      </c>
    </row>
    <row r="95" spans="1:7">
      <c r="A95"/>
      <c r="B95"/>
      <c r="C95" s="52" t="s">
        <v>175</v>
      </c>
      <c r="D95" s="54"/>
      <c r="E95" s="54"/>
      <c r="F95" s="54"/>
    </row>
    <row r="96" spans="1:7">
      <c r="A96" s="13" t="s">
        <v>122</v>
      </c>
      <c r="B96" s="13"/>
      <c r="C96" s="13" t="s">
        <v>127</v>
      </c>
      <c r="D96" s="13"/>
      <c r="E96" s="13" t="s">
        <v>54</v>
      </c>
      <c r="F96" s="13" t="s">
        <v>11</v>
      </c>
      <c r="G96" s="13" t="str">
        <f>A96</f>
        <v>Line</v>
      </c>
    </row>
    <row r="97" spans="1:7">
      <c r="A97" s="8">
        <v>400</v>
      </c>
      <c r="C97" t="s">
        <v>56</v>
      </c>
      <c r="D97" s="31">
        <f>'22-TaxRates'!C6</f>
        <v>0.21</v>
      </c>
      <c r="E97" t="s">
        <v>1012</v>
      </c>
      <c r="G97" s="8">
        <f>A97</f>
        <v>400</v>
      </c>
    </row>
    <row r="98" spans="1:7">
      <c r="A98" s="8">
        <f>A97+1</f>
        <v>401</v>
      </c>
      <c r="C98" t="s">
        <v>57</v>
      </c>
      <c r="D98" s="34">
        <f>'22-TaxRates'!C7</f>
        <v>8.8400000000000006E-2</v>
      </c>
      <c r="E98" t="s">
        <v>1013</v>
      </c>
      <c r="G98" s="8">
        <f>A98</f>
        <v>401</v>
      </c>
    </row>
    <row r="99" spans="1:7">
      <c r="A99" s="8">
        <f>A98+1</f>
        <v>402</v>
      </c>
      <c r="C99" s="12" t="s">
        <v>58</v>
      </c>
      <c r="D99" s="371">
        <f>(D97+D98)-(D97*D98)</f>
        <v>0.27983599999999997</v>
      </c>
      <c r="E99" s="17" t="str">
        <f>"(Line "&amp;A97&amp;" + Line "&amp;A98&amp;") - (Line "&amp;A97&amp;" * Line "&amp;A98&amp;")"</f>
        <v>(Line 400 + Line 401) - (Line 400 * Line 401)</v>
      </c>
      <c r="G99" s="8">
        <f>A99</f>
        <v>402</v>
      </c>
    </row>
    <row r="101" spans="1:7">
      <c r="C101" s="11" t="s">
        <v>237</v>
      </c>
      <c r="G101" s="8"/>
    </row>
    <row r="102" spans="1:7">
      <c r="A102" s="8">
        <f>A99+1</f>
        <v>403</v>
      </c>
      <c r="C102" t="s">
        <v>134</v>
      </c>
      <c r="D102" s="792">
        <v>11232945.326774467</v>
      </c>
      <c r="E102" s="445" t="s">
        <v>1705</v>
      </c>
      <c r="G102" s="8">
        <f>A102</f>
        <v>403</v>
      </c>
    </row>
    <row r="103" spans="1:7">
      <c r="A103" s="8">
        <f>A102+1</f>
        <v>404</v>
      </c>
      <c r="C103" s="12" t="s">
        <v>138</v>
      </c>
      <c r="D103" s="536">
        <f>SUM(D102:D102)</f>
        <v>11232945.326774467</v>
      </c>
      <c r="E103" t="str">
        <f>"Line "&amp;A102&amp;""</f>
        <v>Line 403</v>
      </c>
      <c r="G103" s="8">
        <f>A103</f>
        <v>404</v>
      </c>
    </row>
    <row r="104" spans="1:7">
      <c r="D104" s="21"/>
      <c r="G104" s="8"/>
    </row>
    <row r="105" spans="1:7">
      <c r="C105" s="11" t="s">
        <v>136</v>
      </c>
      <c r="D105" s="21"/>
    </row>
    <row r="106" spans="1:7">
      <c r="A106" s="8">
        <f>A103+1</f>
        <v>405</v>
      </c>
      <c r="C106" s="17" t="s">
        <v>1722</v>
      </c>
      <c r="D106" s="793">
        <v>-21208798.798968621</v>
      </c>
      <c r="E106" s="445" t="s">
        <v>1706</v>
      </c>
      <c r="F106" t="s">
        <v>166</v>
      </c>
      <c r="G106" s="8">
        <f>A106</f>
        <v>405</v>
      </c>
    </row>
    <row r="107" spans="1:7">
      <c r="A107" s="8">
        <f t="shared" ref="A107" si="6">A106+1</f>
        <v>406</v>
      </c>
      <c r="C107" t="s">
        <v>135</v>
      </c>
      <c r="D107" s="378">
        <v>-702229.25297428656</v>
      </c>
      <c r="E107" s="445" t="s">
        <v>1323</v>
      </c>
      <c r="G107" s="8">
        <f>A107</f>
        <v>406</v>
      </c>
    </row>
    <row r="108" spans="1:7">
      <c r="A108" s="8">
        <f>A107+1</f>
        <v>407</v>
      </c>
      <c r="C108" s="12" t="s">
        <v>59</v>
      </c>
      <c r="D108" s="68">
        <f>SUM(D106:D107)</f>
        <v>-21911028.051942907</v>
      </c>
      <c r="E108" t="str">
        <f>"Line "&amp;A106&amp;" + Line "&amp;A107&amp;""</f>
        <v>Line 405 + Line 406</v>
      </c>
      <c r="G108" s="8">
        <f>A108</f>
        <v>407</v>
      </c>
    </row>
    <row r="109" spans="1:7">
      <c r="D109" s="20"/>
    </row>
    <row r="110" spans="1:7">
      <c r="A110" s="8">
        <f>A108+1</f>
        <v>408</v>
      </c>
      <c r="C110" s="12" t="s">
        <v>60</v>
      </c>
      <c r="D110" s="68">
        <f ca="1">(((D115*D116)+D119-D120)*(D117/(1-D117)))+D118/(1-D117)</f>
        <v>193720626.91915113</v>
      </c>
      <c r="E110" t="str">
        <f>"Line "&amp;A112&amp;""</f>
        <v>Line 409</v>
      </c>
      <c r="G110" s="8">
        <f>A110</f>
        <v>408</v>
      </c>
    </row>
    <row r="112" spans="1:7">
      <c r="A112" s="8">
        <f>A110+1</f>
        <v>409</v>
      </c>
      <c r="C112" t="s">
        <v>1479</v>
      </c>
      <c r="G112" s="8">
        <f>A112</f>
        <v>409</v>
      </c>
    </row>
    <row r="114" spans="1:14">
      <c r="C114" t="s">
        <v>61</v>
      </c>
    </row>
    <row r="115" spans="1:14">
      <c r="A115" s="8">
        <f>A112+1</f>
        <v>410</v>
      </c>
      <c r="C115" s="35" t="s">
        <v>62</v>
      </c>
      <c r="D115" s="32">
        <f ca="1">+D30</f>
        <v>10822020284.801483</v>
      </c>
      <c r="E115" t="str">
        <f>"Line "&amp;A30&amp;""</f>
        <v>Line 115</v>
      </c>
      <c r="F115" s="21"/>
      <c r="G115" s="8">
        <f t="shared" ref="G115:G120" si="7">A115</f>
        <v>410</v>
      </c>
    </row>
    <row r="116" spans="1:14">
      <c r="A116" s="8">
        <f>A115+1</f>
        <v>411</v>
      </c>
      <c r="C116" s="18" t="s">
        <v>63</v>
      </c>
      <c r="D116" s="31">
        <f>+D68</f>
        <v>5.2264807947588816E-2</v>
      </c>
      <c r="E116" t="str">
        <f>"Line "&amp;A68&amp;""</f>
        <v>Line 220</v>
      </c>
      <c r="G116" s="8">
        <f t="shared" si="7"/>
        <v>411</v>
      </c>
    </row>
    <row r="117" spans="1:14">
      <c r="A117" s="8">
        <f t="shared" ref="A117:A120" si="8">A116+1</f>
        <v>412</v>
      </c>
      <c r="C117" s="35" t="s">
        <v>64</v>
      </c>
      <c r="D117" s="28">
        <f>+D99</f>
        <v>0.27983599999999997</v>
      </c>
      <c r="E117" t="str">
        <f>"Line "&amp;A99&amp;""</f>
        <v>Line 402</v>
      </c>
      <c r="G117" s="8">
        <f t="shared" si="7"/>
        <v>412</v>
      </c>
    </row>
    <row r="118" spans="1:14">
      <c r="A118" s="8">
        <f t="shared" si="8"/>
        <v>413</v>
      </c>
      <c r="C118" s="35" t="s">
        <v>65</v>
      </c>
      <c r="D118" s="32">
        <f>+D108</f>
        <v>-21911028.051942907</v>
      </c>
      <c r="E118" t="str">
        <f>"Line "&amp;A108&amp;""</f>
        <v>Line 407</v>
      </c>
      <c r="G118" s="8">
        <f t="shared" si="7"/>
        <v>413</v>
      </c>
    </row>
    <row r="119" spans="1:14">
      <c r="A119" s="8">
        <f t="shared" si="8"/>
        <v>414</v>
      </c>
      <c r="C119" s="35" t="s">
        <v>137</v>
      </c>
      <c r="D119" s="32">
        <f>+D103</f>
        <v>11232945.326774467</v>
      </c>
      <c r="E119" t="str">
        <f>"Line "&amp;A103&amp;""</f>
        <v>Line 404</v>
      </c>
      <c r="G119" s="8">
        <f t="shared" si="7"/>
        <v>414</v>
      </c>
    </row>
    <row r="120" spans="1:14">
      <c r="A120" s="8">
        <f t="shared" si="8"/>
        <v>415</v>
      </c>
      <c r="C120" s="35" t="s">
        <v>1428</v>
      </c>
      <c r="D120" s="32">
        <f ca="1">D72</f>
        <v>0</v>
      </c>
      <c r="E120" t="str">
        <f>"Line "&amp;A72&amp;""</f>
        <v>Line 223</v>
      </c>
      <c r="G120" s="8">
        <f t="shared" si="7"/>
        <v>415</v>
      </c>
    </row>
    <row r="121" spans="1:14">
      <c r="G121" s="8"/>
    </row>
    <row r="122" spans="1:14">
      <c r="C122" s="52" t="s">
        <v>176</v>
      </c>
      <c r="D122" s="54"/>
      <c r="E122" s="54"/>
      <c r="F122" s="54"/>
    </row>
    <row r="123" spans="1:14">
      <c r="A123" s="13" t="s">
        <v>122</v>
      </c>
      <c r="B123" s="13"/>
      <c r="C123" s="13" t="s">
        <v>127</v>
      </c>
      <c r="D123" s="13" t="s">
        <v>79</v>
      </c>
      <c r="E123" s="13" t="s">
        <v>54</v>
      </c>
      <c r="F123" s="13" t="s">
        <v>11</v>
      </c>
      <c r="G123" s="13" t="str">
        <f>A123</f>
        <v>Line</v>
      </c>
    </row>
    <row r="124" spans="1:14">
      <c r="C124" s="11" t="s">
        <v>128</v>
      </c>
    </row>
    <row r="125" spans="1:14">
      <c r="A125" s="8">
        <v>500</v>
      </c>
      <c r="C125" t="s">
        <v>66</v>
      </c>
      <c r="D125" s="32">
        <f>'18-OandM'!P10</f>
        <v>632960218.36720455</v>
      </c>
      <c r="E125" t="s">
        <v>1014</v>
      </c>
      <c r="G125" s="8">
        <f t="shared" ref="G125:G137" si="9">A125</f>
        <v>500</v>
      </c>
      <c r="J125" s="333"/>
      <c r="K125" s="33"/>
      <c r="L125" s="33"/>
      <c r="N125" s="28"/>
    </row>
    <row r="126" spans="1:14">
      <c r="A126" s="8">
        <f>A125+1</f>
        <v>501</v>
      </c>
      <c r="C126" t="s">
        <v>67</v>
      </c>
      <c r="D126" s="32">
        <f>'19-AandG'!F46</f>
        <v>311438989.8577919</v>
      </c>
      <c r="E126" t="s">
        <v>1429</v>
      </c>
      <c r="G126" s="8">
        <f t="shared" si="9"/>
        <v>501</v>
      </c>
      <c r="J126" s="333"/>
      <c r="K126" s="33"/>
      <c r="L126" s="33"/>
      <c r="N126" s="28"/>
    </row>
    <row r="127" spans="1:14">
      <c r="A127" s="8">
        <f t="shared" ref="A127:A137" si="10">A126+1</f>
        <v>502</v>
      </c>
      <c r="C127" t="s">
        <v>68</v>
      </c>
      <c r="D127" s="32">
        <f>'15-NUC'!C16</f>
        <v>1745354.32</v>
      </c>
      <c r="E127" t="s">
        <v>1015</v>
      </c>
      <c r="G127" s="8">
        <f t="shared" si="9"/>
        <v>502</v>
      </c>
      <c r="J127" s="333"/>
      <c r="K127" s="33"/>
      <c r="L127" s="33"/>
      <c r="N127" s="28"/>
    </row>
    <row r="128" spans="1:14">
      <c r="A128" s="8">
        <f t="shared" si="10"/>
        <v>503</v>
      </c>
      <c r="C128" t="s">
        <v>140</v>
      </c>
      <c r="D128" s="32">
        <f>'11-Depreciation'!O15+'11-Depreciation'!C61</f>
        <v>537037675.40049243</v>
      </c>
      <c r="E128" t="s">
        <v>1016</v>
      </c>
      <c r="G128" s="8">
        <f t="shared" si="9"/>
        <v>503</v>
      </c>
      <c r="J128" s="333"/>
      <c r="K128" s="33"/>
      <c r="L128" s="33"/>
      <c r="N128" s="28"/>
    </row>
    <row r="129" spans="1:14">
      <c r="A129" s="8">
        <f t="shared" si="10"/>
        <v>504</v>
      </c>
      <c r="C129" s="17" t="s">
        <v>167</v>
      </c>
      <c r="D129" s="32">
        <f>'11-Depreciation'!F131</f>
        <v>1063625.9019136429</v>
      </c>
      <c r="E129" t="s">
        <v>1017</v>
      </c>
      <c r="G129" s="8">
        <f t="shared" si="9"/>
        <v>504</v>
      </c>
      <c r="J129" s="333"/>
      <c r="K129" s="33"/>
      <c r="L129" s="33"/>
      <c r="N129" s="28"/>
    </row>
    <row r="130" spans="1:14">
      <c r="A130" s="8">
        <f t="shared" si="10"/>
        <v>505</v>
      </c>
      <c r="C130" t="s">
        <v>69</v>
      </c>
      <c r="D130" s="32">
        <f ca="1">'8-AbandonedPlant'!I14</f>
        <v>0</v>
      </c>
      <c r="E130" t="s">
        <v>1716</v>
      </c>
      <c r="G130" s="8">
        <f t="shared" si="9"/>
        <v>505</v>
      </c>
      <c r="J130" s="333"/>
      <c r="K130" s="33"/>
      <c r="L130" s="33"/>
      <c r="N130" s="28"/>
    </row>
    <row r="131" spans="1:14">
      <c r="A131" s="8">
        <f t="shared" si="10"/>
        <v>506</v>
      </c>
      <c r="C131" t="s">
        <v>71</v>
      </c>
      <c r="D131" s="32">
        <f ca="1">D73</f>
        <v>776661851.38425851</v>
      </c>
      <c r="E131" t="str">
        <f>"Line "&amp;A73&amp;""</f>
        <v>Line 224</v>
      </c>
      <c r="G131" s="8">
        <f t="shared" si="9"/>
        <v>506</v>
      </c>
      <c r="J131" s="333"/>
      <c r="K131" s="33"/>
      <c r="L131" s="33"/>
      <c r="N131" s="28"/>
    </row>
    <row r="132" spans="1:14">
      <c r="A132" s="8">
        <f t="shared" si="10"/>
        <v>507</v>
      </c>
      <c r="C132" t="s">
        <v>18</v>
      </c>
      <c r="D132" s="32">
        <f>D93</f>
        <v>144963797.97262129</v>
      </c>
      <c r="E132" t="str">
        <f>"Line "&amp;A93&amp;""</f>
        <v>Line 311</v>
      </c>
      <c r="G132" s="8">
        <f t="shared" si="9"/>
        <v>507</v>
      </c>
      <c r="J132" s="333"/>
      <c r="K132" s="33"/>
      <c r="L132" s="33"/>
      <c r="N132" s="28"/>
    </row>
    <row r="133" spans="1:14">
      <c r="A133" s="8">
        <f t="shared" si="10"/>
        <v>508</v>
      </c>
      <c r="C133" t="s">
        <v>55</v>
      </c>
      <c r="D133" s="32">
        <f ca="1">D110</f>
        <v>193720626.91915113</v>
      </c>
      <c r="E133" t="str">
        <f>"Line "&amp;A110&amp;""</f>
        <v>Line 408</v>
      </c>
      <c r="G133" s="8">
        <f t="shared" si="9"/>
        <v>508</v>
      </c>
      <c r="J133" s="333"/>
      <c r="K133" s="33"/>
      <c r="L133" s="33"/>
      <c r="N133" s="28"/>
    </row>
    <row r="134" spans="1:14">
      <c r="A134" s="8">
        <f t="shared" si="10"/>
        <v>509</v>
      </c>
      <c r="C134" t="s">
        <v>70</v>
      </c>
      <c r="D134" s="32">
        <f>-'20-RevenueCredits'!H10</f>
        <v>-14606488.819800004</v>
      </c>
      <c r="E134" t="s">
        <v>1341</v>
      </c>
      <c r="F134" t="s">
        <v>185</v>
      </c>
      <c r="G134" s="8">
        <f t="shared" si="9"/>
        <v>509</v>
      </c>
      <c r="J134" s="333"/>
      <c r="K134" s="33"/>
      <c r="L134" s="33"/>
      <c r="N134" s="28"/>
    </row>
    <row r="135" spans="1:14">
      <c r="A135" s="8">
        <f t="shared" si="10"/>
        <v>510</v>
      </c>
      <c r="C135" t="s">
        <v>130</v>
      </c>
      <c r="D135" s="32">
        <f>-'21-NPandS'!C39</f>
        <v>-19860596.636095401</v>
      </c>
      <c r="E135" t="s">
        <v>1018</v>
      </c>
      <c r="F135" t="s">
        <v>185</v>
      </c>
      <c r="G135" s="8">
        <f t="shared" si="9"/>
        <v>510</v>
      </c>
      <c r="J135" s="333"/>
      <c r="K135" s="33"/>
      <c r="L135" s="33"/>
      <c r="N135" s="28"/>
    </row>
    <row r="136" spans="1:14">
      <c r="A136" s="8">
        <f t="shared" si="10"/>
        <v>511</v>
      </c>
      <c r="C136" t="s">
        <v>72</v>
      </c>
      <c r="D136" s="26">
        <f>'17-RegAssets-1'!E27</f>
        <v>0</v>
      </c>
      <c r="E136" t="s">
        <v>1609</v>
      </c>
      <c r="F136" t="s">
        <v>214</v>
      </c>
      <c r="G136" s="8">
        <f t="shared" si="9"/>
        <v>511</v>
      </c>
      <c r="J136" s="333"/>
      <c r="K136" s="33"/>
      <c r="L136" s="33"/>
      <c r="N136" s="28"/>
    </row>
    <row r="137" spans="1:14">
      <c r="A137" s="8">
        <f t="shared" si="10"/>
        <v>512</v>
      </c>
      <c r="C137" s="12" t="s">
        <v>78</v>
      </c>
      <c r="D137" s="68">
        <f ca="1">SUM(D125:D136)</f>
        <v>2565125054.6675382</v>
      </c>
      <c r="E137" t="str">
        <f>"Sum of Lines "&amp;A125&amp;" to Line "&amp;A136&amp;""</f>
        <v>Sum of Lines 500 to Line 511</v>
      </c>
      <c r="G137" s="8">
        <f t="shared" si="9"/>
        <v>512</v>
      </c>
      <c r="J137" s="333"/>
      <c r="K137" s="33"/>
      <c r="L137" s="33"/>
      <c r="N137" s="28"/>
    </row>
    <row r="138" spans="1:14">
      <c r="G138" s="8"/>
      <c r="K138" s="33"/>
    </row>
    <row r="139" spans="1:14">
      <c r="C139" s="11" t="s">
        <v>73</v>
      </c>
      <c r="G139" s="8"/>
      <c r="K139" s="33"/>
    </row>
    <row r="140" spans="1:14">
      <c r="A140" s="8">
        <f>+A137+1</f>
        <v>513</v>
      </c>
      <c r="C140" t="s">
        <v>144</v>
      </c>
      <c r="D140" s="373">
        <f>'25-RFandUFactors'!E21</f>
        <v>7.6870000000000003E-3</v>
      </c>
      <c r="E140" t="s">
        <v>1019</v>
      </c>
      <c r="G140" s="8">
        <f>A140</f>
        <v>513</v>
      </c>
      <c r="J140" s="31"/>
      <c r="K140" s="33"/>
    </row>
    <row r="141" spans="1:14">
      <c r="A141" s="8">
        <f>A140+1</f>
        <v>514</v>
      </c>
      <c r="C141" t="s">
        <v>139</v>
      </c>
      <c r="D141" s="787">
        <f>'25-RFandUFactors'!E22</f>
        <v>2.0782341986441631E-4</v>
      </c>
      <c r="E141" t="s">
        <v>1020</v>
      </c>
      <c r="G141" s="8">
        <f>A141</f>
        <v>514</v>
      </c>
      <c r="J141" s="31"/>
      <c r="K141" s="33"/>
    </row>
    <row r="142" spans="1:14">
      <c r="A142" s="8">
        <f>A141+1</f>
        <v>515</v>
      </c>
      <c r="C142" s="12" t="s">
        <v>145</v>
      </c>
      <c r="D142" s="68">
        <f ca="1">(D140+D141)*D137</f>
        <v>20251209.356470272</v>
      </c>
      <c r="E142" s="17" t="str">
        <f>"Line "&amp;A137&amp;" * (Line "&amp;A140&amp;" + Line "&amp;A141&amp;")"</f>
        <v>Line 512 * (Line 513 + Line 514)</v>
      </c>
      <c r="G142" s="8">
        <f>A142</f>
        <v>515</v>
      </c>
      <c r="J142" s="333"/>
      <c r="K142" s="33"/>
    </row>
    <row r="143" spans="1:14">
      <c r="G143" s="8"/>
      <c r="K143" s="33"/>
    </row>
    <row r="144" spans="1:14">
      <c r="A144" s="8">
        <f>A142+1</f>
        <v>516</v>
      </c>
      <c r="C144" s="12" t="s">
        <v>129</v>
      </c>
      <c r="D144" s="68">
        <f ca="1">D142+D137</f>
        <v>2585376264.0240083</v>
      </c>
      <c r="E144" t="str">
        <f>"Line "&amp;A137&amp;" + Line "&amp;A142&amp;""</f>
        <v>Line 512 + Line 515</v>
      </c>
      <c r="G144" s="8">
        <f>A144</f>
        <v>516</v>
      </c>
      <c r="J144" s="333"/>
      <c r="K144" s="33"/>
    </row>
    <row r="145" spans="1:14">
      <c r="G145" s="8"/>
      <c r="K145" s="33"/>
    </row>
    <row r="146" spans="1:14">
      <c r="A146"/>
      <c r="B146"/>
      <c r="C146" s="52" t="s">
        <v>177</v>
      </c>
      <c r="D146" s="54"/>
      <c r="E146" s="54"/>
      <c r="F146" s="54"/>
      <c r="K146" s="33"/>
    </row>
    <row r="147" spans="1:14">
      <c r="A147" s="13" t="s">
        <v>122</v>
      </c>
      <c r="B147" s="13"/>
      <c r="C147" s="13" t="s">
        <v>127</v>
      </c>
      <c r="D147" s="13" t="s">
        <v>79</v>
      </c>
      <c r="E147" s="13" t="s">
        <v>54</v>
      </c>
      <c r="F147" s="13" t="s">
        <v>11</v>
      </c>
      <c r="G147" s="13" t="str">
        <f>A147</f>
        <v>Line</v>
      </c>
      <c r="K147" s="33"/>
    </row>
    <row r="148" spans="1:14">
      <c r="A148" s="8">
        <v>600</v>
      </c>
      <c r="C148" t="s">
        <v>129</v>
      </c>
      <c r="D148" s="32">
        <f ca="1">+D144</f>
        <v>2585376264.0240083</v>
      </c>
      <c r="E148" t="str">
        <f>"Line "&amp;A144&amp;""</f>
        <v>Line 516</v>
      </c>
      <c r="G148" s="8">
        <f>A148</f>
        <v>600</v>
      </c>
      <c r="J148" s="333"/>
      <c r="K148" s="33"/>
      <c r="L148" s="33"/>
      <c r="N148" s="28"/>
    </row>
    <row r="149" spans="1:14">
      <c r="A149" s="8">
        <f>A148+1</f>
        <v>601</v>
      </c>
      <c r="C149" t="s">
        <v>147</v>
      </c>
      <c r="D149" s="32">
        <f ca="1">'2-ITRR'!D34</f>
        <v>315313670.88756734</v>
      </c>
      <c r="E149" t="str">
        <f>CONCATENATE("2-ITRR, L. ",'2-ITRR'!A34)</f>
        <v>2-ITRR, L. 209</v>
      </c>
      <c r="G149" s="8">
        <f>A149</f>
        <v>601</v>
      </c>
      <c r="J149" s="333"/>
      <c r="K149" s="33"/>
      <c r="L149" s="33"/>
      <c r="N149" s="28"/>
    </row>
    <row r="150" spans="1:14">
      <c r="A150" s="8">
        <f>A149+1</f>
        <v>602</v>
      </c>
      <c r="C150" t="s">
        <v>165</v>
      </c>
      <c r="D150" s="26">
        <f>IF(F1&gt;2020,'4-ATA'!B95,0)</f>
        <v>-148033519.38999999</v>
      </c>
      <c r="E150" t="str">
        <f>CONCATENATE("4-ATA, L. ",'4-ATA'!A95)</f>
        <v>4-ATA, L. 400</v>
      </c>
      <c r="F150" s="43"/>
      <c r="G150" s="8">
        <f>A150</f>
        <v>602</v>
      </c>
      <c r="J150" s="333"/>
      <c r="K150" s="33"/>
      <c r="L150" s="33"/>
      <c r="N150" s="28"/>
    </row>
    <row r="151" spans="1:14">
      <c r="A151" s="8">
        <f>A150+1</f>
        <v>603</v>
      </c>
      <c r="C151" s="12" t="s">
        <v>148</v>
      </c>
      <c r="D151" s="68">
        <f ca="1">SUM(D148:D150)</f>
        <v>2752656415.5215759</v>
      </c>
      <c r="E151" t="str">
        <f>"Sum of Lines "&amp;A148&amp;" to Line "&amp;A150&amp;""</f>
        <v>Sum of Lines 600 to Line 602</v>
      </c>
      <c r="G151" s="8">
        <f>A151</f>
        <v>603</v>
      </c>
      <c r="J151" s="333"/>
      <c r="K151" s="33"/>
      <c r="L151" s="33"/>
      <c r="N151" s="28"/>
    </row>
    <row r="152" spans="1:14">
      <c r="G152" s="8"/>
      <c r="K152" s="33"/>
    </row>
    <row r="153" spans="1:14">
      <c r="A153"/>
      <c r="B153"/>
      <c r="C153" s="52" t="s">
        <v>178</v>
      </c>
      <c r="D153" s="54"/>
      <c r="E153" s="54"/>
      <c r="F153" s="54"/>
      <c r="K153" s="33"/>
    </row>
    <row r="154" spans="1:14">
      <c r="A154" s="13" t="s">
        <v>122</v>
      </c>
      <c r="B154" s="13"/>
      <c r="C154" s="13" t="s">
        <v>127</v>
      </c>
      <c r="D154" s="13" t="s">
        <v>79</v>
      </c>
      <c r="E154" s="13" t="s">
        <v>54</v>
      </c>
      <c r="F154" s="13" t="s">
        <v>11</v>
      </c>
      <c r="G154" s="13" t="str">
        <f>A154</f>
        <v>Line</v>
      </c>
      <c r="K154" s="33"/>
    </row>
    <row r="155" spans="1:14">
      <c r="A155" s="8">
        <v>700</v>
      </c>
      <c r="C155" t="s">
        <v>157</v>
      </c>
      <c r="D155" s="373">
        <f>'25-RFandUFactors'!E23</f>
        <v>3.5142409364145128E-3</v>
      </c>
      <c r="E155" t="s">
        <v>1021</v>
      </c>
      <c r="F155" s="13"/>
      <c r="G155" s="8">
        <f>A155</f>
        <v>700</v>
      </c>
      <c r="J155" s="31"/>
      <c r="K155" s="33"/>
    </row>
    <row r="156" spans="1:14">
      <c r="D156" s="373"/>
      <c r="E156" s="13"/>
      <c r="F156" s="13"/>
      <c r="G156" s="8"/>
      <c r="K156" s="33"/>
    </row>
    <row r="157" spans="1:14">
      <c r="A157" s="8">
        <f>A155+1</f>
        <v>701</v>
      </c>
      <c r="C157" t="s">
        <v>239</v>
      </c>
      <c r="D157" s="32">
        <f ca="1">D155*D151</f>
        <v>9673497.8593099602</v>
      </c>
      <c r="E157" t="str">
        <f>"Line "&amp;A155&amp;" * Line "&amp;A151&amp;""</f>
        <v>Line 700 * Line 603</v>
      </c>
      <c r="F157" s="13"/>
      <c r="G157" s="8">
        <f>A157</f>
        <v>701</v>
      </c>
      <c r="J157" s="333"/>
      <c r="K157" s="33"/>
    </row>
    <row r="158" spans="1:14">
      <c r="A158" s="8">
        <f t="shared" ref="A158:A160" si="11">A157+1</f>
        <v>702</v>
      </c>
      <c r="C158" t="s">
        <v>146</v>
      </c>
      <c r="D158" s="32">
        <f>'23-RetailSGTax'!D38</f>
        <v>4520689.5396053055</v>
      </c>
      <c r="E158" t="s">
        <v>1411</v>
      </c>
      <c r="G158" s="8">
        <f>A158</f>
        <v>702</v>
      </c>
      <c r="J158" s="333"/>
      <c r="K158" s="33"/>
      <c r="L158" s="33"/>
      <c r="M158" s="33"/>
      <c r="N158" s="33"/>
    </row>
    <row r="159" spans="1:14">
      <c r="A159" s="8">
        <f t="shared" si="11"/>
        <v>703</v>
      </c>
      <c r="C159" t="s">
        <v>148</v>
      </c>
      <c r="D159" s="26">
        <f ca="1">D151</f>
        <v>2752656415.5215759</v>
      </c>
      <c r="E159" t="str">
        <f>"Line "&amp;A151&amp;""</f>
        <v>Line 603</v>
      </c>
      <c r="G159" s="8">
        <f>A159</f>
        <v>703</v>
      </c>
      <c r="J159" s="333"/>
      <c r="K159" s="28"/>
      <c r="L159" s="28"/>
      <c r="M159" s="28"/>
      <c r="N159" s="28"/>
    </row>
    <row r="160" spans="1:14">
      <c r="A160" s="8">
        <f t="shared" si="11"/>
        <v>704</v>
      </c>
      <c r="C160" s="12" t="s">
        <v>171</v>
      </c>
      <c r="D160" s="68">
        <f ca="1">SUM(D157:D159)</f>
        <v>2766850602.9204912</v>
      </c>
      <c r="E160" t="str">
        <f>"Sum of Lines "&amp;A157&amp;" to Line "&amp;A159&amp;""</f>
        <v>Sum of Lines 701 to Line 703</v>
      </c>
      <c r="G160" s="8">
        <f>A160</f>
        <v>704</v>
      </c>
      <c r="J160" s="333"/>
      <c r="K160" s="33"/>
    </row>
    <row r="161" spans="3:9">
      <c r="D161" s="21"/>
      <c r="I161" s="33"/>
    </row>
    <row r="162" spans="3:9">
      <c r="D162" s="797"/>
      <c r="E162" s="28"/>
      <c r="F162" s="333"/>
    </row>
    <row r="163" spans="3:9">
      <c r="C163" s="16" t="s">
        <v>125</v>
      </c>
    </row>
    <row r="164" spans="3:9">
      <c r="C164" s="813" t="s">
        <v>1689</v>
      </c>
      <c r="D164" s="813"/>
      <c r="E164" s="813"/>
      <c r="F164" s="813"/>
    </row>
    <row r="165" spans="3:9">
      <c r="C165" s="814" t="s">
        <v>1690</v>
      </c>
      <c r="D165" s="814"/>
      <c r="E165" s="814"/>
      <c r="F165" s="814"/>
    </row>
    <row r="166" spans="3:9" ht="15" customHeight="1">
      <c r="C166" s="815" t="s">
        <v>1854</v>
      </c>
      <c r="D166" s="815"/>
      <c r="E166" s="815"/>
      <c r="F166" s="815"/>
    </row>
    <row r="167" spans="3:9">
      <c r="C167" s="815"/>
      <c r="D167" s="815"/>
      <c r="E167" s="815"/>
      <c r="F167" s="815"/>
    </row>
    <row r="168" spans="3:9">
      <c r="C168" s="815"/>
      <c r="D168" s="815"/>
      <c r="E168" s="815"/>
      <c r="F168" s="815"/>
    </row>
    <row r="169" spans="3:9">
      <c r="C169" s="813" t="s">
        <v>1691</v>
      </c>
      <c r="D169" s="813"/>
      <c r="E169" s="813"/>
      <c r="F169" s="813"/>
    </row>
  </sheetData>
  <mergeCells count="4">
    <mergeCell ref="C169:F169"/>
    <mergeCell ref="C164:F164"/>
    <mergeCell ref="C165:F165"/>
    <mergeCell ref="C166:F168"/>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&amp;A&amp;R&amp;8Docket No. ER19-13-000, et al- Annual Update RY2024
&amp;F
</oddHeader>
  </headerFooter>
  <rowBreaks count="1" manualBreakCount="1">
    <brk id="92" max="16383" man="1"/>
  </rowBreaks>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J38"/>
  <sheetViews>
    <sheetView tabSelected="1" view="pageBreakPreview" zoomScaleSheetLayoutView="100" zoomScalePageLayoutView="70" workbookViewId="0">
      <selection activeCell="C59" activeCellId="1" sqref="L63 C59"/>
    </sheetView>
  </sheetViews>
  <sheetFormatPr defaultColWidth="9.1796875" defaultRowHeight="14.5"/>
  <cols>
    <col min="1" max="1" width="4.54296875" bestFit="1" customWidth="1"/>
    <col min="2" max="2" width="45.453125" bestFit="1" customWidth="1"/>
    <col min="3" max="3" width="4.54296875" customWidth="1"/>
    <col min="4" max="4" width="15.54296875" bestFit="1" customWidth="1"/>
    <col min="5" max="5" width="62.1796875" bestFit="1" customWidth="1"/>
    <col min="6" max="6" width="27" customWidth="1"/>
    <col min="7" max="7" width="4.54296875" bestFit="1" customWidth="1"/>
    <col min="8" max="8" width="9.1796875" customWidth="1"/>
    <col min="9" max="9" width="14.54296875" bestFit="1" customWidth="1"/>
    <col min="10" max="10" width="12.81640625" bestFit="1" customWidth="1"/>
  </cols>
  <sheetData>
    <row r="1" spans="1:7">
      <c r="B1" s="12" t="s">
        <v>150</v>
      </c>
      <c r="F1" s="15" t="str">
        <f>CONCATENATE("Rate Year: ",'1-BaseTRR'!$F$1)</f>
        <v>Rate Year: 2024</v>
      </c>
    </row>
    <row r="2" spans="1:7">
      <c r="F2" s="15" t="str">
        <f>CONCATENATE("Prior Year: ",'1-BaseTRR'!$F$2)</f>
        <v>Prior Year: 2022</v>
      </c>
    </row>
    <row r="3" spans="1:7">
      <c r="B3" s="14"/>
      <c r="G3" s="13"/>
    </row>
    <row r="4" spans="1:7">
      <c r="B4" s="57" t="s">
        <v>179</v>
      </c>
      <c r="C4" s="57"/>
      <c r="D4" s="54"/>
      <c r="E4" s="54"/>
      <c r="F4" s="54"/>
    </row>
    <row r="5" spans="1:7">
      <c r="A5" s="13" t="s">
        <v>122</v>
      </c>
      <c r="B5" s="13" t="s">
        <v>127</v>
      </c>
      <c r="D5" s="13" t="s">
        <v>79</v>
      </c>
      <c r="E5" s="13" t="s">
        <v>54</v>
      </c>
      <c r="F5" s="13" t="s">
        <v>11</v>
      </c>
      <c r="G5" s="13" t="str">
        <f>A5</f>
        <v>Line</v>
      </c>
    </row>
    <row r="6" spans="1:7">
      <c r="A6" s="8">
        <v>100</v>
      </c>
      <c r="B6" t="s">
        <v>151</v>
      </c>
      <c r="C6" s="12"/>
      <c r="G6" s="8">
        <f>A6</f>
        <v>100</v>
      </c>
    </row>
    <row r="7" spans="1:7">
      <c r="A7" s="8"/>
      <c r="G7" s="8"/>
    </row>
    <row r="8" spans="1:7">
      <c r="A8" s="8"/>
      <c r="B8" s="16" t="s">
        <v>74</v>
      </c>
      <c r="C8" s="16"/>
      <c r="G8" s="8"/>
    </row>
    <row r="9" spans="1:7">
      <c r="A9" s="8">
        <f>A6+1</f>
        <v>101</v>
      </c>
      <c r="B9" t="s">
        <v>169</v>
      </c>
      <c r="D9" s="32">
        <f>'7-PlantInService'!P24</f>
        <v>15658655291.088451</v>
      </c>
      <c r="E9" t="s">
        <v>1000</v>
      </c>
      <c r="G9" s="8">
        <f t="shared" ref="G9:G34" si="0">A9</f>
        <v>101</v>
      </c>
    </row>
    <row r="10" spans="1:7">
      <c r="A10" s="8">
        <f>A9+1</f>
        <v>102</v>
      </c>
      <c r="B10" t="s">
        <v>170</v>
      </c>
      <c r="D10" s="26">
        <f>'10-AccDep'!P26</f>
        <v>3674552227.2916818</v>
      </c>
      <c r="E10" t="s">
        <v>1004</v>
      </c>
      <c r="G10" s="8">
        <f t="shared" si="0"/>
        <v>102</v>
      </c>
    </row>
    <row r="11" spans="1:7">
      <c r="A11" s="8">
        <f>A10+1</f>
        <v>103</v>
      </c>
      <c r="B11" s="12" t="s">
        <v>75</v>
      </c>
      <c r="D11" s="68">
        <f>D9-D10</f>
        <v>11984103063.79677</v>
      </c>
      <c r="E11" t="str">
        <f>"Line "&amp;A9&amp;" - Line "&amp;A10&amp;""</f>
        <v>Line 101 - Line 102</v>
      </c>
      <c r="G11" s="8">
        <f t="shared" si="0"/>
        <v>103</v>
      </c>
    </row>
    <row r="12" spans="1:7">
      <c r="A12" s="8"/>
      <c r="G12" s="8"/>
    </row>
    <row r="13" spans="1:7">
      <c r="A13" s="8"/>
      <c r="B13" s="16" t="s">
        <v>152</v>
      </c>
      <c r="C13" s="16"/>
      <c r="G13" s="8"/>
    </row>
    <row r="14" spans="1:7">
      <c r="A14" s="8">
        <f>A11+1</f>
        <v>104</v>
      </c>
      <c r="B14" t="s">
        <v>154</v>
      </c>
      <c r="D14" s="32">
        <f ca="1">'1-BaseTRR'!D137-(('1-BaseTRR'!D125+'1-BaseTRR'!D126)*0.75)</f>
        <v>1856825648.4987907</v>
      </c>
      <c r="E14" t="str">
        <f>CONCATENATE("1-BaseTRR, L. ",'1-BaseTRR'!A137," - [75%*(1-BaseTRR, L. 500 + L. 501 )]")</f>
        <v>1-BaseTRR, L. 512 - [75%*(1-BaseTRR, L. 500 + L. 501 )]</v>
      </c>
      <c r="G14" s="8">
        <f t="shared" si="0"/>
        <v>104</v>
      </c>
    </row>
    <row r="15" spans="1:7">
      <c r="A15" s="8">
        <f>+A14+1</f>
        <v>105</v>
      </c>
      <c r="B15" t="s">
        <v>1358</v>
      </c>
      <c r="C15" s="518"/>
      <c r="D15" s="32">
        <f>-+'1-BaseTRR'!D128+-'1-BaseTRR'!D129+'11-Depreciation'!C61</f>
        <v>-433352157.00727731</v>
      </c>
      <c r="E15" t="str">
        <f>CONCATENATE("1-BaseTRR, L. ",'1-BaseTRR'!A128," + L. ",'1-BaseTRR'!A129," - ","11-Depreciation, L. ",'11-Depreciation'!A61,", col 1 ")</f>
        <v xml:space="preserve">1-BaseTRR, L. 503 + L. 504 - 11-Depreciation, L. 500, col 1 </v>
      </c>
      <c r="F15" s="337"/>
      <c r="G15" s="8">
        <f t="shared" si="0"/>
        <v>105</v>
      </c>
    </row>
    <row r="16" spans="1:7" ht="30.75" customHeight="1">
      <c r="A16" s="8">
        <f t="shared" ref="A16:A17" si="1">+A15+1</f>
        <v>106</v>
      </c>
      <c r="B16" t="s">
        <v>1359</v>
      </c>
      <c r="D16" s="576">
        <f>-('1-BaseTRR'!D25*'1-BaseTRR'!D68)*(1+'1-BaseTRR'!D99/(1-'1-BaseTRR'!D99))-('1-BaseTRR'!D25*'1-BaseTRR'!D63)</f>
        <v>191497650.10843205</v>
      </c>
      <c r="E16" s="44" t="s">
        <v>1502</v>
      </c>
      <c r="F16" s="44"/>
      <c r="G16" s="8">
        <f t="shared" si="0"/>
        <v>106</v>
      </c>
    </row>
    <row r="17" spans="1:10">
      <c r="A17" s="8">
        <f t="shared" si="1"/>
        <v>107</v>
      </c>
      <c r="B17" s="12" t="s">
        <v>1360</v>
      </c>
      <c r="D17" s="68">
        <f ca="1">SUM(D14:D16)</f>
        <v>1614971141.5999455</v>
      </c>
      <c r="E17" s="17" t="str">
        <f>"Line "&amp;A14&amp;" + Line "&amp;A15&amp;" + Line "&amp;A16&amp;""</f>
        <v>Line 104 + Line 105 + Line 106</v>
      </c>
      <c r="G17" s="8">
        <f t="shared" si="0"/>
        <v>107</v>
      </c>
    </row>
    <row r="18" spans="1:10">
      <c r="A18" s="8">
        <f>+A17+1</f>
        <v>108</v>
      </c>
      <c r="B18" t="s">
        <v>76</v>
      </c>
      <c r="D18" s="28">
        <f ca="1">D17/D11</f>
        <v>0.13475945033205472</v>
      </c>
      <c r="E18" t="str">
        <f>"Line "&amp;A17&amp;" / Line "&amp;A11&amp;""</f>
        <v>Line 107 / Line 103</v>
      </c>
      <c r="G18" s="8">
        <f t="shared" si="0"/>
        <v>108</v>
      </c>
    </row>
    <row r="19" spans="1:10">
      <c r="A19" s="8"/>
      <c r="G19" s="8"/>
    </row>
    <row r="20" spans="1:10">
      <c r="B20" s="57" t="s">
        <v>149</v>
      </c>
      <c r="C20" s="57"/>
      <c r="D20" s="54"/>
      <c r="E20" s="54"/>
      <c r="F20" s="54"/>
    </row>
    <row r="21" spans="1:10">
      <c r="A21" s="13" t="s">
        <v>122</v>
      </c>
      <c r="B21" s="13" t="s">
        <v>127</v>
      </c>
      <c r="D21" s="13" t="s">
        <v>79</v>
      </c>
      <c r="E21" s="13" t="s">
        <v>54</v>
      </c>
      <c r="F21" s="13" t="s">
        <v>11</v>
      </c>
      <c r="G21" s="13" t="str">
        <f>A21</f>
        <v>Line</v>
      </c>
    </row>
    <row r="22" spans="1:10">
      <c r="A22" s="8">
        <v>200</v>
      </c>
      <c r="D22" s="32">
        <f>'9-PlantAdditions'!I39</f>
        <v>1914181408.0794706</v>
      </c>
      <c r="E22" t="s">
        <v>1022</v>
      </c>
      <c r="G22" s="8">
        <f t="shared" si="0"/>
        <v>200</v>
      </c>
      <c r="I22" s="333"/>
      <c r="J22" s="33"/>
    </row>
    <row r="23" spans="1:10">
      <c r="A23" s="8">
        <f t="shared" ref="A23" si="2">A22+1</f>
        <v>201</v>
      </c>
      <c r="B23" t="s">
        <v>76</v>
      </c>
      <c r="D23" s="28">
        <f ca="1">D18</f>
        <v>0.13475945033205472</v>
      </c>
      <c r="E23" t="str">
        <f>"Line "&amp;A18&amp;""</f>
        <v>Line 108</v>
      </c>
      <c r="G23" s="8">
        <f t="shared" si="0"/>
        <v>201</v>
      </c>
    </row>
    <row r="24" spans="1:10">
      <c r="A24" s="8"/>
      <c r="D24" s="28"/>
      <c r="G24" s="8"/>
    </row>
    <row r="25" spans="1:10">
      <c r="A25" s="8">
        <f>+A23+1</f>
        <v>202</v>
      </c>
      <c r="B25" t="s">
        <v>1361</v>
      </c>
      <c r="D25" s="32">
        <f ca="1">D22*D23</f>
        <v>257954034.38862798</v>
      </c>
      <c r="E25" t="str">
        <f>"Line "&amp;A22&amp;" * Line "&amp;A23&amp;""</f>
        <v>Line 200 * Line 201</v>
      </c>
      <c r="G25" s="8">
        <f t="shared" si="0"/>
        <v>202</v>
      </c>
    </row>
    <row r="26" spans="1:10">
      <c r="A26" s="8">
        <f t="shared" ref="A26:A27" si="3">+A25+1</f>
        <v>203</v>
      </c>
      <c r="B26" t="s">
        <v>1362</v>
      </c>
      <c r="C26" s="518"/>
      <c r="D26" s="32">
        <f>'9-PlantAdditions'!F40</f>
        <v>54557346.168243952</v>
      </c>
      <c r="E26" t="str">
        <f>CONCATENATE("9-PlantAdditions, L. ",'9-PlantAdditions'!A40,", ",'9-PlantAdditions'!F10)</f>
        <v>9-PlantAdditions, L. 125, Col 3</v>
      </c>
      <c r="G26" s="8">
        <f t="shared" si="0"/>
        <v>203</v>
      </c>
    </row>
    <row r="27" spans="1:10">
      <c r="A27" s="8">
        <f t="shared" si="3"/>
        <v>204</v>
      </c>
      <c r="B27" t="s">
        <v>1363</v>
      </c>
      <c r="D27" s="26">
        <f>+'14-ADIT'!M164</f>
        <v>332443.58113073406</v>
      </c>
      <c r="E27" t="str">
        <f>CONCATENATE("14-ADIT, L. ",'14-ADIT'!A164,", Col 11 ")</f>
        <v xml:space="preserve">14-ADIT, L. 728, Col 11 </v>
      </c>
      <c r="G27" s="8">
        <f t="shared" si="0"/>
        <v>204</v>
      </c>
    </row>
    <row r="28" spans="1:10">
      <c r="A28" s="8">
        <f>+A27+1</f>
        <v>205</v>
      </c>
      <c r="B28" s="12" t="s">
        <v>153</v>
      </c>
      <c r="D28" s="68">
        <f ca="1">SUM(D25:D27)</f>
        <v>312843824.13800269</v>
      </c>
      <c r="E28" t="str">
        <f>"Sum Line "&amp;A25&amp;" to Line "&amp;A27&amp;""</f>
        <v>Sum Line 202 to Line 204</v>
      </c>
      <c r="G28" s="8">
        <f t="shared" si="0"/>
        <v>205</v>
      </c>
    </row>
    <row r="29" spans="1:10">
      <c r="A29" s="8"/>
      <c r="D29" s="21"/>
      <c r="G29" s="8"/>
    </row>
    <row r="30" spans="1:10">
      <c r="A30" s="8">
        <f>A28+1</f>
        <v>206</v>
      </c>
      <c r="B30" t="s">
        <v>144</v>
      </c>
      <c r="D30" s="19">
        <f>'1-BaseTRR'!D140</f>
        <v>7.6870000000000003E-3</v>
      </c>
      <c r="E30" t="str">
        <f>CONCATENATE("1-BaseTRR, L. ",'1-BaseTRR'!A140)</f>
        <v>1-BaseTRR, L. 513</v>
      </c>
      <c r="G30" s="8">
        <f t="shared" si="0"/>
        <v>206</v>
      </c>
    </row>
    <row r="31" spans="1:10">
      <c r="A31" s="8">
        <f t="shared" ref="A31:A32" si="4">A30+1</f>
        <v>207</v>
      </c>
      <c r="B31" t="s">
        <v>139</v>
      </c>
      <c r="D31" s="42">
        <f>'1-BaseTRR'!D141</f>
        <v>2.0782341986441631E-4</v>
      </c>
      <c r="E31" t="str">
        <f>CONCATENATE("1-BaseTRR, L. ",'1-BaseTRR'!A141)</f>
        <v>1-BaseTRR, L. 514</v>
      </c>
      <c r="G31" s="8">
        <f t="shared" si="0"/>
        <v>207</v>
      </c>
    </row>
    <row r="32" spans="1:10">
      <c r="A32" s="8">
        <f t="shared" si="4"/>
        <v>208</v>
      </c>
      <c r="B32" s="12" t="s">
        <v>145</v>
      </c>
      <c r="D32" s="68">
        <f ca="1">(D30+D31)*D28</f>
        <v>2469846.7495646486</v>
      </c>
      <c r="E32" s="17" t="str">
        <f>"Line "&amp;A28&amp;" * (Line "&amp;A31&amp;" + Line "&amp;A30&amp;")"</f>
        <v>Line 205 * (Line 207 + Line 206)</v>
      </c>
      <c r="G32" s="8">
        <f t="shared" si="0"/>
        <v>208</v>
      </c>
    </row>
    <row r="33" spans="1:7">
      <c r="A33" s="8"/>
      <c r="D33" s="32"/>
      <c r="E33" s="17"/>
      <c r="G33" s="8"/>
    </row>
    <row r="34" spans="1:7">
      <c r="A34" s="8">
        <f>A32+1</f>
        <v>209</v>
      </c>
      <c r="B34" s="12" t="s">
        <v>77</v>
      </c>
      <c r="D34" s="68">
        <f ca="1">D32+D28</f>
        <v>315313670.88756734</v>
      </c>
      <c r="E34" t="str">
        <f>"Line "&amp;A28&amp;" + Line "&amp;A32&amp;""</f>
        <v>Line 205 + Line 208</v>
      </c>
      <c r="G34" s="8">
        <f t="shared" si="0"/>
        <v>209</v>
      </c>
    </row>
    <row r="36" spans="1:7">
      <c r="B36" s="16"/>
    </row>
    <row r="38" spans="1:7">
      <c r="D38" s="17"/>
    </row>
  </sheetData>
  <printOptions horizontalCentered="1"/>
  <pageMargins left="1" right="1" top="1" bottom="1" header="0.5" footer="0.5"/>
  <pageSetup scale="70"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M115"/>
  <sheetViews>
    <sheetView tabSelected="1" view="pageBreakPreview" topLeftCell="A74" zoomScale="89" zoomScaleNormal="85" zoomScaleSheetLayoutView="89" zoomScalePageLayoutView="70" workbookViewId="0">
      <selection activeCell="C59" activeCellId="1" sqref="L63 C59"/>
    </sheetView>
  </sheetViews>
  <sheetFormatPr defaultColWidth="9.1796875" defaultRowHeight="14.5"/>
  <cols>
    <col min="1" max="1" width="4.54296875" style="8" bestFit="1" customWidth="1"/>
    <col min="2" max="2" width="2.1796875" style="8" bestFit="1" customWidth="1"/>
    <col min="3" max="3" width="73.453125" bestFit="1" customWidth="1"/>
    <col min="4" max="4" width="4.54296875" customWidth="1"/>
    <col min="5" max="5" width="20.1796875" bestFit="1" customWidth="1"/>
    <col min="6" max="6" width="42.1796875" bestFit="1" customWidth="1"/>
    <col min="7" max="7" width="20.1796875" customWidth="1"/>
    <col min="8" max="8" width="4.54296875" bestFit="1" customWidth="1"/>
    <col min="9" max="9" width="2.1796875" customWidth="1"/>
    <col min="10" max="10" width="12.81640625" bestFit="1" customWidth="1"/>
    <col min="11" max="11" width="19" bestFit="1" customWidth="1"/>
    <col min="12" max="12" width="18.81640625" customWidth="1"/>
    <col min="13" max="13" width="12.81640625" bestFit="1" customWidth="1"/>
    <col min="15" max="15" width="14.54296875" bestFit="1" customWidth="1"/>
    <col min="16" max="16" width="12.54296875" bestFit="1" customWidth="1"/>
  </cols>
  <sheetData>
    <row r="1" spans="1:12">
      <c r="C1" s="14" t="s">
        <v>80</v>
      </c>
      <c r="F1" s="15"/>
      <c r="G1" s="15" t="str">
        <f>CONCATENATE("Prior Year: ",'1-BaseTRR'!$F$2)</f>
        <v>Prior Year: 2022</v>
      </c>
    </row>
    <row r="2" spans="1:12">
      <c r="C2" s="46" t="s">
        <v>193</v>
      </c>
      <c r="F2" s="15"/>
    </row>
    <row r="3" spans="1:12">
      <c r="A3" s="14"/>
      <c r="B3" s="14"/>
      <c r="C3" s="12"/>
      <c r="I3" s="15"/>
      <c r="J3" s="12"/>
    </row>
    <row r="4" spans="1:12">
      <c r="C4" s="52" t="s">
        <v>172</v>
      </c>
      <c r="D4" s="53"/>
      <c r="E4" s="54"/>
      <c r="F4" s="54"/>
      <c r="G4" s="54"/>
    </row>
    <row r="5" spans="1:12">
      <c r="A5" s="13" t="s">
        <v>122</v>
      </c>
      <c r="B5" s="13"/>
      <c r="C5" s="13" t="s">
        <v>127</v>
      </c>
      <c r="E5" s="13" t="s">
        <v>79</v>
      </c>
      <c r="F5" s="13" t="s">
        <v>54</v>
      </c>
      <c r="G5" s="13" t="s">
        <v>11</v>
      </c>
      <c r="H5" s="13" t="str">
        <f>A5</f>
        <v>Line</v>
      </c>
    </row>
    <row r="6" spans="1:12">
      <c r="A6"/>
      <c r="B6"/>
      <c r="C6" s="11" t="s">
        <v>4</v>
      </c>
      <c r="D6" s="11"/>
    </row>
    <row r="7" spans="1:12">
      <c r="A7" s="8">
        <v>100</v>
      </c>
      <c r="C7" t="s">
        <v>1</v>
      </c>
      <c r="E7" s="22">
        <f>'7-PlantInService'!P25</f>
        <v>15256619954.619112</v>
      </c>
      <c r="F7" t="s">
        <v>1023</v>
      </c>
      <c r="G7" t="s">
        <v>155</v>
      </c>
      <c r="H7" s="8">
        <f>A7</f>
        <v>100</v>
      </c>
      <c r="K7" s="36"/>
      <c r="L7" s="33"/>
    </row>
    <row r="8" spans="1:12">
      <c r="A8" s="8">
        <f>A7+1</f>
        <v>101</v>
      </c>
      <c r="C8" t="s">
        <v>2</v>
      </c>
      <c r="E8" s="22">
        <f>'7-PlantInService'!D129</f>
        <v>1393948853.0521536</v>
      </c>
      <c r="F8" t="s">
        <v>1024</v>
      </c>
      <c r="G8" t="s">
        <v>226</v>
      </c>
      <c r="H8" s="8">
        <f t="shared" ref="H8:H10" si="0">A8</f>
        <v>101</v>
      </c>
      <c r="K8" s="36"/>
      <c r="L8" s="33"/>
    </row>
    <row r="9" spans="1:12">
      <c r="A9" s="8">
        <f t="shared" ref="A9:A10" si="1">A8+1</f>
        <v>102</v>
      </c>
      <c r="C9" t="s">
        <v>3</v>
      </c>
      <c r="E9" s="23">
        <f ca="1">+'8-AbandonedPlant'!N14</f>
        <v>0</v>
      </c>
      <c r="F9" t="s">
        <v>1452</v>
      </c>
      <c r="G9" t="s">
        <v>226</v>
      </c>
      <c r="H9" s="8">
        <f t="shared" si="0"/>
        <v>102</v>
      </c>
      <c r="K9" s="36"/>
      <c r="L9" s="33"/>
    </row>
    <row r="10" spans="1:12">
      <c r="A10" s="8">
        <f t="shared" si="1"/>
        <v>103</v>
      </c>
      <c r="C10" s="12" t="s">
        <v>12</v>
      </c>
      <c r="D10" s="12"/>
      <c r="E10" s="24">
        <f ca="1">SUM(E7:E9)</f>
        <v>16650568807.671265</v>
      </c>
      <c r="F10" s="6" t="str">
        <f>"Sum of Lines "&amp;A7&amp;" to "&amp;A9&amp;""</f>
        <v>Sum of Lines 100 to 102</v>
      </c>
      <c r="H10" s="8">
        <f t="shared" si="0"/>
        <v>103</v>
      </c>
      <c r="K10" s="36"/>
      <c r="L10" s="33"/>
    </row>
    <row r="11" spans="1:12">
      <c r="E11" s="33"/>
      <c r="K11" s="36"/>
    </row>
    <row r="12" spans="1:12">
      <c r="C12" s="11" t="s">
        <v>5</v>
      </c>
      <c r="D12" s="11"/>
      <c r="E12" s="33"/>
      <c r="K12" s="36"/>
    </row>
    <row r="13" spans="1:12">
      <c r="A13" s="8">
        <f>A10+1</f>
        <v>104</v>
      </c>
      <c r="C13" t="s">
        <v>6</v>
      </c>
      <c r="E13" s="22">
        <f>'13-WorkCap'!E26</f>
        <v>94423361.419041246</v>
      </c>
      <c r="F13" t="s">
        <v>1025</v>
      </c>
      <c r="G13" t="s">
        <v>155</v>
      </c>
      <c r="H13" s="8">
        <f t="shared" ref="H13:H16" si="2">A13</f>
        <v>104</v>
      </c>
      <c r="K13" s="36"/>
      <c r="L13" s="33"/>
    </row>
    <row r="14" spans="1:12">
      <c r="A14" s="8">
        <f>A13+1</f>
        <v>105</v>
      </c>
      <c r="C14" t="s">
        <v>142</v>
      </c>
      <c r="E14" s="22">
        <f>'13-WorkCap'!F57</f>
        <v>74616856</v>
      </c>
      <c r="F14" t="s">
        <v>1026</v>
      </c>
      <c r="G14" t="s">
        <v>155</v>
      </c>
      <c r="H14" s="8">
        <f t="shared" si="2"/>
        <v>105</v>
      </c>
      <c r="K14" s="36"/>
      <c r="L14" s="33"/>
    </row>
    <row r="15" spans="1:12">
      <c r="A15" s="8">
        <f t="shared" ref="A15:A16" si="3">A14+1</f>
        <v>106</v>
      </c>
      <c r="C15" t="s">
        <v>7</v>
      </c>
      <c r="E15" s="26">
        <f>(E80+E81)/10</f>
        <v>94439920.822499648</v>
      </c>
      <c r="F15" t="str">
        <f>"(Line "&amp;A80&amp;" + Line "&amp;A81&amp;") / 10"</f>
        <v>(Line 400 + Line 401) / 10</v>
      </c>
      <c r="H15" s="8">
        <f t="shared" si="2"/>
        <v>106</v>
      </c>
      <c r="K15" s="36"/>
      <c r="L15" s="33"/>
    </row>
    <row r="16" spans="1:12">
      <c r="A16" s="8">
        <f t="shared" si="3"/>
        <v>107</v>
      </c>
      <c r="C16" s="12" t="s">
        <v>13</v>
      </c>
      <c r="D16" s="12"/>
      <c r="E16" s="24">
        <f>SUM(E13:E15)</f>
        <v>263480138.24154091</v>
      </c>
      <c r="F16" s="6" t="str">
        <f>"Sum of Lines "&amp;A13&amp;" to "&amp;A15&amp;""</f>
        <v>Sum of Lines 104 to 106</v>
      </c>
      <c r="H16" s="8">
        <f t="shared" si="2"/>
        <v>107</v>
      </c>
      <c r="K16" s="36"/>
      <c r="L16" s="33"/>
    </row>
    <row r="17" spans="1:12">
      <c r="E17" s="33"/>
      <c r="K17" s="36"/>
    </row>
    <row r="18" spans="1:12">
      <c r="C18" s="11" t="s">
        <v>9</v>
      </c>
      <c r="D18" s="11"/>
      <c r="E18" s="33"/>
      <c r="K18" s="36"/>
    </row>
    <row r="19" spans="1:12">
      <c r="A19" s="8">
        <f>A16+1</f>
        <v>108</v>
      </c>
      <c r="C19" t="s">
        <v>8</v>
      </c>
      <c r="E19" s="22">
        <f>-'10-AccDep'!P27</f>
        <v>-3573217596.6248989</v>
      </c>
      <c r="F19" t="s">
        <v>1027</v>
      </c>
      <c r="G19" t="s">
        <v>998</v>
      </c>
      <c r="H19" s="8">
        <f t="shared" ref="H19:H30" si="4">A19</f>
        <v>108</v>
      </c>
      <c r="K19" s="36"/>
      <c r="L19" s="33"/>
    </row>
    <row r="20" spans="1:12">
      <c r="A20" s="8">
        <f>A19+1</f>
        <v>109</v>
      </c>
      <c r="C20" t="s">
        <v>17</v>
      </c>
      <c r="E20" s="23">
        <f>-'10-AccDep'!D129</f>
        <v>-482743675.02472544</v>
      </c>
      <c r="F20" t="s">
        <v>1028</v>
      </c>
      <c r="G20" t="s">
        <v>999</v>
      </c>
      <c r="H20" s="8">
        <f t="shared" si="4"/>
        <v>109</v>
      </c>
      <c r="K20" s="36"/>
      <c r="L20" s="33"/>
    </row>
    <row r="21" spans="1:12">
      <c r="A21" s="8">
        <f>A20+1</f>
        <v>110</v>
      </c>
      <c r="C21" s="12" t="s">
        <v>14</v>
      </c>
      <c r="D21" s="12"/>
      <c r="E21" s="353">
        <f>E19+E20</f>
        <v>-4055961271.6496243</v>
      </c>
      <c r="F21" t="str">
        <f>"Line "&amp;A19&amp;" + Line "&amp;A20&amp;""</f>
        <v>Line 108 + Line 109</v>
      </c>
      <c r="H21" s="8">
        <f t="shared" si="4"/>
        <v>110</v>
      </c>
      <c r="K21" s="36"/>
      <c r="L21" s="33"/>
    </row>
    <row r="22" spans="1:12">
      <c r="E22" s="33"/>
      <c r="K22" s="36"/>
    </row>
    <row r="23" spans="1:12">
      <c r="A23" s="8">
        <f>A21+1</f>
        <v>111</v>
      </c>
      <c r="B23" s="8" t="s">
        <v>1499</v>
      </c>
      <c r="C23" s="14" t="s">
        <v>10</v>
      </c>
      <c r="D23" s="14"/>
      <c r="E23" s="32">
        <f>'14-ADIT'!D23</f>
        <v>-1535183351.7320898</v>
      </c>
      <c r="F23" t="s">
        <v>1629</v>
      </c>
      <c r="G23" t="s">
        <v>227</v>
      </c>
      <c r="H23" s="8">
        <f t="shared" si="4"/>
        <v>111</v>
      </c>
      <c r="I23" t="s">
        <v>1499</v>
      </c>
      <c r="K23" s="36"/>
      <c r="L23" s="33"/>
    </row>
    <row r="24" spans="1:12">
      <c r="A24" s="8">
        <v>111</v>
      </c>
      <c r="B24" s="8" t="s">
        <v>1500</v>
      </c>
      <c r="C24" s="201" t="s">
        <v>1720</v>
      </c>
      <c r="D24" s="14"/>
      <c r="E24" s="32">
        <f>+'17-RegAssets-1'!C48</f>
        <v>-525337799.23584288</v>
      </c>
      <c r="F24" t="s">
        <v>1567</v>
      </c>
      <c r="G24" t="s">
        <v>227</v>
      </c>
      <c r="H24" s="8">
        <f t="shared" si="4"/>
        <v>111</v>
      </c>
      <c r="I24" t="s">
        <v>1500</v>
      </c>
      <c r="K24" s="36"/>
      <c r="L24" s="33"/>
    </row>
    <row r="25" spans="1:12">
      <c r="A25" s="8">
        <v>111</v>
      </c>
      <c r="B25" s="8" t="s">
        <v>1501</v>
      </c>
      <c r="C25" s="201" t="s">
        <v>1721</v>
      </c>
      <c r="D25" s="14"/>
      <c r="E25" s="32">
        <f>+E23+E24</f>
        <v>-2060521150.9679327</v>
      </c>
      <c r="F25" t="str">
        <f>"Line "&amp;A23&amp;"a + Line "&amp;A24&amp;"b"</f>
        <v>Line 111a + Line 111b</v>
      </c>
      <c r="G25" t="s">
        <v>227</v>
      </c>
      <c r="H25" s="8">
        <f t="shared" si="4"/>
        <v>111</v>
      </c>
      <c r="I25" t="s">
        <v>1501</v>
      </c>
      <c r="K25" s="36"/>
      <c r="L25" s="33"/>
    </row>
    <row r="26" spans="1:12">
      <c r="A26" s="8">
        <f>A23+1</f>
        <v>112</v>
      </c>
      <c r="C26" s="12" t="s">
        <v>15</v>
      </c>
      <c r="D26" s="12"/>
      <c r="E26" s="32">
        <f>-'15-NUC'!C20</f>
        <v>-142863173.063247</v>
      </c>
      <c r="F26" t="s">
        <v>1029</v>
      </c>
      <c r="G26" t="s">
        <v>999</v>
      </c>
      <c r="H26" s="8">
        <f t="shared" si="4"/>
        <v>112</v>
      </c>
      <c r="K26" s="36"/>
      <c r="L26" s="33"/>
    </row>
    <row r="27" spans="1:12">
      <c r="A27" s="8">
        <f>A26+1</f>
        <v>113</v>
      </c>
      <c r="C27" s="12" t="str">
        <f>+'1-BaseTRR'!C27</f>
        <v>Unfunded Reserves</v>
      </c>
      <c r="D27" s="12"/>
      <c r="E27" s="32">
        <f>'16-UnfundedReserves'!E5</f>
        <v>-125198867</v>
      </c>
      <c r="F27" t="s">
        <v>1601</v>
      </c>
      <c r="G27" t="s">
        <v>226</v>
      </c>
      <c r="H27" s="8">
        <f t="shared" si="4"/>
        <v>113</v>
      </c>
      <c r="K27" s="36"/>
      <c r="L27" s="33"/>
    </row>
    <row r="28" spans="1:12">
      <c r="A28" s="8">
        <f>A27+1</f>
        <v>114</v>
      </c>
      <c r="C28" s="12" t="s">
        <v>16</v>
      </c>
      <c r="D28" s="12"/>
      <c r="E28" s="22">
        <f>'17-RegAssets-1'!E26</f>
        <v>0</v>
      </c>
      <c r="F28" t="s">
        <v>1030</v>
      </c>
      <c r="G28" t="s">
        <v>226</v>
      </c>
      <c r="H28" s="8">
        <f t="shared" si="4"/>
        <v>114</v>
      </c>
      <c r="K28" s="36"/>
      <c r="L28" s="33"/>
    </row>
    <row r="29" spans="1:12">
      <c r="C29" s="12"/>
      <c r="D29" s="12"/>
      <c r="E29" s="22"/>
      <c r="H29" s="8"/>
      <c r="K29" s="36"/>
    </row>
    <row r="30" spans="1:12">
      <c r="A30" s="8">
        <f>A28+1</f>
        <v>115</v>
      </c>
      <c r="C30" s="12" t="s">
        <v>0</v>
      </c>
      <c r="D30" s="12"/>
      <c r="E30" s="68">
        <f ca="1">+E10+E16+E21+E25+E26+E28+E27</f>
        <v>10529504483.232002</v>
      </c>
      <c r="F30" t="str">
        <f>"Sum of Lines "&amp;A10&amp;", "&amp;A16&amp;", "&amp;A21&amp;" and Lines "&amp;A25&amp;B25&amp;" to "&amp;A28&amp;""</f>
        <v>Sum of Lines 103, 107, 110 and Lines 111c to 114</v>
      </c>
      <c r="H30" s="8">
        <f t="shared" si="4"/>
        <v>115</v>
      </c>
      <c r="K30" s="36"/>
      <c r="L30" s="33"/>
    </row>
    <row r="31" spans="1:12">
      <c r="E31" s="17"/>
      <c r="H31" s="8"/>
    </row>
    <row r="32" spans="1:12">
      <c r="C32" s="52" t="s">
        <v>173</v>
      </c>
      <c r="D32" s="54"/>
      <c r="E32" s="54"/>
      <c r="F32" s="54"/>
      <c r="G32" s="54"/>
    </row>
    <row r="33" spans="1:12">
      <c r="C33" s="12" t="s">
        <v>133</v>
      </c>
    </row>
    <row r="34" spans="1:12">
      <c r="C34" s="813" t="s">
        <v>1328</v>
      </c>
      <c r="D34" s="813"/>
      <c r="E34" s="813"/>
      <c r="F34" s="813"/>
      <c r="G34" s="813"/>
    </row>
    <row r="35" spans="1:12">
      <c r="C35" s="14"/>
    </row>
    <row r="36" spans="1:12">
      <c r="A36" s="13" t="s">
        <v>122</v>
      </c>
      <c r="B36" s="13"/>
      <c r="C36" s="13" t="s">
        <v>127</v>
      </c>
      <c r="E36" s="13" t="s">
        <v>79</v>
      </c>
      <c r="F36" s="13" t="s">
        <v>54</v>
      </c>
      <c r="G36" s="13" t="s">
        <v>11</v>
      </c>
      <c r="H36" s="13" t="str">
        <f>A36</f>
        <v>Line</v>
      </c>
    </row>
    <row r="37" spans="1:12" ht="77.25" customHeight="1">
      <c r="A37" s="8">
        <v>200</v>
      </c>
      <c r="C37" t="s">
        <v>1329</v>
      </c>
      <c r="E37" s="50">
        <v>0.1045</v>
      </c>
      <c r="F37" s="49" t="s">
        <v>1327</v>
      </c>
      <c r="G37" s="44" t="s">
        <v>1386</v>
      </c>
      <c r="H37" s="8">
        <f t="shared" ref="H37" si="5">A37</f>
        <v>200</v>
      </c>
      <c r="K37" s="28"/>
      <c r="L37" s="31"/>
    </row>
    <row r="38" spans="1:12">
      <c r="C38" s="14"/>
    </row>
    <row r="39" spans="1:12">
      <c r="C39" s="11" t="s">
        <v>47</v>
      </c>
      <c r="D39" s="11"/>
    </row>
    <row r="40" spans="1:12" ht="43.5">
      <c r="A40" s="8">
        <f>A37+1</f>
        <v>201</v>
      </c>
      <c r="C40" t="s">
        <v>48</v>
      </c>
      <c r="E40" s="29">
        <f>('5-CostofCap-3'!F22/('5-CostofCap-2'!C13-'5-CostofCap-2'!C15+'5-CostofCap-2'!C17+'5-CostofCap-2'!C19+'5-CostofCap-2'!C21-'5-CostofCap-2'!C23-'5-CostofCap-2'!C25-'5-CostofCap-2'!C27))*'1-BaseTRR'!D50</f>
        <v>1.906014918272533E-2</v>
      </c>
      <c r="F40" s="44" t="s">
        <v>1717</v>
      </c>
      <c r="G40" t="s">
        <v>155</v>
      </c>
      <c r="H40" s="8">
        <f t="shared" ref="H40:H43" si="6">A40</f>
        <v>201</v>
      </c>
      <c r="K40" s="28"/>
      <c r="L40" s="273"/>
    </row>
    <row r="41" spans="1:12">
      <c r="A41" s="8">
        <f>A40+1</f>
        <v>202</v>
      </c>
      <c r="C41" t="s">
        <v>49</v>
      </c>
      <c r="E41" s="29">
        <f>'1-BaseTRR'!D64</f>
        <v>2.7605794758881429E-4</v>
      </c>
      <c r="F41" t="str">
        <f>CONCATENATE("1-BaseTRR, L. ",'1-BaseTRR'!A64)</f>
        <v>1-BaseTRR, L. 217</v>
      </c>
      <c r="H41" s="8">
        <f t="shared" si="6"/>
        <v>202</v>
      </c>
      <c r="K41" s="28"/>
      <c r="L41" s="273"/>
    </row>
    <row r="42" spans="1:12">
      <c r="A42" s="8">
        <f>A41+1</f>
        <v>203</v>
      </c>
      <c r="C42" t="s">
        <v>50</v>
      </c>
      <c r="E42" s="411">
        <f>E37*'1-BaseTRR'!D52</f>
        <v>5.198875E-2</v>
      </c>
      <c r="F42" t="str">
        <f>CONCATENATE("Line ",A37," * ","1-BaseTRR, L. ",'1-BaseTRR'!A52)</f>
        <v>Line 200 * 1-BaseTRR, L. 210</v>
      </c>
      <c r="H42" s="8">
        <f t="shared" si="6"/>
        <v>203</v>
      </c>
      <c r="K42" s="28"/>
      <c r="L42" s="273"/>
    </row>
    <row r="43" spans="1:12">
      <c r="A43" s="8">
        <f>A42+1</f>
        <v>204</v>
      </c>
      <c r="C43" s="12" t="s">
        <v>51</v>
      </c>
      <c r="D43" s="12"/>
      <c r="E43" s="371">
        <f>SUM(E40:E42)</f>
        <v>7.1324957130314143E-2</v>
      </c>
      <c r="F43" s="6" t="str">
        <f>"Sum of Lines "&amp;A40&amp;" to "&amp;A42&amp;""</f>
        <v>Sum of Lines 201 to 203</v>
      </c>
      <c r="H43" s="8">
        <f t="shared" si="6"/>
        <v>204</v>
      </c>
      <c r="K43" s="28"/>
      <c r="L43" s="273"/>
    </row>
    <row r="44" spans="1:12">
      <c r="K44" s="28"/>
      <c r="L44" s="273"/>
    </row>
    <row r="45" spans="1:12">
      <c r="A45" s="8">
        <f>A43+1</f>
        <v>205</v>
      </c>
      <c r="C45" s="12" t="s">
        <v>52</v>
      </c>
      <c r="D45" s="12"/>
      <c r="E45" s="371">
        <f>E41+E42</f>
        <v>5.2264807947588816E-2</v>
      </c>
      <c r="F45" t="str">
        <f>"Line "&amp;A41&amp;" + Line "&amp;A42&amp;""</f>
        <v>Line 202 + Line 203</v>
      </c>
      <c r="G45" s="17"/>
      <c r="H45" s="8">
        <f t="shared" ref="H45" si="7">A45</f>
        <v>205</v>
      </c>
      <c r="K45" s="28"/>
      <c r="L45" s="273"/>
    </row>
    <row r="46" spans="1:12">
      <c r="A46" s="8">
        <f>A45+1</f>
        <v>206</v>
      </c>
      <c r="C46" s="12" t="s">
        <v>1417</v>
      </c>
      <c r="D46" s="12"/>
      <c r="E46" s="371">
        <f>'1-BaseTRR'!D69</f>
        <v>0</v>
      </c>
      <c r="F46" t="str">
        <f>CONCATENATE("1-BaseTRR, L. ",'1-BaseTRR'!A69)</f>
        <v>1-BaseTRR, L. 221</v>
      </c>
      <c r="G46" s="17"/>
      <c r="H46" s="8"/>
      <c r="L46" s="273"/>
    </row>
    <row r="47" spans="1:12">
      <c r="H47" s="8"/>
    </row>
    <row r="48" spans="1:12">
      <c r="A48" s="8">
        <f>A46+1</f>
        <v>207</v>
      </c>
      <c r="C48" t="s">
        <v>53</v>
      </c>
      <c r="D48" s="12"/>
      <c r="E48" s="22">
        <f ca="1">E43*E30</f>
        <v>751016455.86997318</v>
      </c>
      <c r="F48" t="str">
        <f>"Line "&amp;A43&amp;" * Line "&amp;A30&amp;""</f>
        <v>Line 204 * Line 115</v>
      </c>
      <c r="H48" s="8">
        <f t="shared" ref="H48" si="8">A48</f>
        <v>207</v>
      </c>
      <c r="K48" s="36"/>
      <c r="L48" s="33"/>
    </row>
    <row r="49" spans="1:12">
      <c r="A49" s="8">
        <f>A48+1</f>
        <v>208</v>
      </c>
      <c r="C49" t="s">
        <v>1419</v>
      </c>
      <c r="D49" s="12"/>
      <c r="E49" s="32">
        <f ca="1">E46*E9</f>
        <v>0</v>
      </c>
      <c r="F49" t="str">
        <f>"Line "&amp;A9&amp;" * Line "&amp;A46&amp;""</f>
        <v>Line 102 * Line 206</v>
      </c>
      <c r="H49" s="8"/>
      <c r="K49" s="36"/>
      <c r="L49" s="33"/>
    </row>
    <row r="50" spans="1:12">
      <c r="A50" s="8">
        <f>A49+1</f>
        <v>209</v>
      </c>
      <c r="C50" s="12" t="s">
        <v>1418</v>
      </c>
      <c r="D50" s="12"/>
      <c r="E50" s="68">
        <f ca="1">E48-E49</f>
        <v>751016455.86997318</v>
      </c>
      <c r="F50" t="str">
        <f>"Line "&amp;A48&amp;" - Line "&amp;A49&amp;""</f>
        <v>Line 207 - Line 208</v>
      </c>
      <c r="H50" s="8"/>
      <c r="K50" s="36"/>
      <c r="L50" s="33"/>
    </row>
    <row r="52" spans="1:12">
      <c r="C52" s="52" t="s">
        <v>183</v>
      </c>
      <c r="D52" s="54"/>
      <c r="E52" s="54"/>
      <c r="F52" s="54"/>
      <c r="G52" s="54"/>
    </row>
    <row r="53" spans="1:12">
      <c r="C53" s="12" t="s">
        <v>133</v>
      </c>
    </row>
    <row r="54" spans="1:12">
      <c r="C54" s="813" t="s">
        <v>1440</v>
      </c>
      <c r="D54" s="813"/>
      <c r="E54" s="813"/>
      <c r="F54" s="813"/>
      <c r="G54" s="813"/>
    </row>
    <row r="55" spans="1:12">
      <c r="C55" s="14"/>
    </row>
    <row r="56" spans="1:12">
      <c r="A56" s="13" t="s">
        <v>122</v>
      </c>
      <c r="B56" s="13"/>
      <c r="C56" s="13" t="s">
        <v>127</v>
      </c>
      <c r="E56" s="13" t="s">
        <v>79</v>
      </c>
      <c r="F56" s="13" t="s">
        <v>54</v>
      </c>
      <c r="G56" s="13" t="s">
        <v>11</v>
      </c>
      <c r="H56" s="13" t="str">
        <f>A56</f>
        <v>Line</v>
      </c>
    </row>
    <row r="57" spans="1:12">
      <c r="A57" s="8">
        <v>300</v>
      </c>
      <c r="C57" t="s">
        <v>56</v>
      </c>
      <c r="E57" s="31">
        <f>'22-TaxRates'!C13</f>
        <v>0.21</v>
      </c>
      <c r="F57" t="s">
        <v>1470</v>
      </c>
      <c r="H57" s="8">
        <f t="shared" ref="H57:H59" si="9">A57</f>
        <v>300</v>
      </c>
      <c r="K57" s="28"/>
      <c r="L57" s="31"/>
    </row>
    <row r="58" spans="1:12">
      <c r="A58" s="8">
        <f>A57+1</f>
        <v>301</v>
      </c>
      <c r="C58" t="s">
        <v>57</v>
      </c>
      <c r="E58" s="411">
        <f>'22-TaxRates'!C14</f>
        <v>8.8400000000000006E-2</v>
      </c>
      <c r="F58" t="s">
        <v>1471</v>
      </c>
      <c r="H58" s="8">
        <f t="shared" si="9"/>
        <v>301</v>
      </c>
      <c r="K58" s="28"/>
      <c r="L58" s="31"/>
    </row>
    <row r="59" spans="1:12">
      <c r="A59" s="8">
        <f>A58+1</f>
        <v>302</v>
      </c>
      <c r="C59" s="12" t="s">
        <v>58</v>
      </c>
      <c r="D59" s="12"/>
      <c r="E59" s="371">
        <f>(E57+E58)-(E57*E58)</f>
        <v>0.27983599999999997</v>
      </c>
      <c r="F59" s="17" t="str">
        <f>"(Line "&amp;A57&amp;" + Line "&amp;A58&amp;") - (Line "&amp;A57&amp;" * Line "&amp;A58&amp;")"</f>
        <v>(Line 300 + Line 301) - (Line 300 * Line 301)</v>
      </c>
      <c r="H59" s="8">
        <f t="shared" si="9"/>
        <v>302</v>
      </c>
      <c r="K59" s="28"/>
      <c r="L59" s="31"/>
    </row>
    <row r="61" spans="1:12">
      <c r="A61" s="8">
        <f>A59+1</f>
        <v>303</v>
      </c>
      <c r="C61" s="12" t="s">
        <v>60</v>
      </c>
      <c r="E61" s="24">
        <f ca="1">(((E66*E67)+E70-E71)*(E68/(1-E68)))+E69/(1-E68)</f>
        <v>187780019.31434634</v>
      </c>
      <c r="F61" t="str">
        <f>"Line "&amp;A63</f>
        <v>Line 304</v>
      </c>
      <c r="H61" s="8">
        <f t="shared" ref="H61" si="10">A61</f>
        <v>303</v>
      </c>
      <c r="K61" s="36"/>
      <c r="L61" s="33"/>
    </row>
    <row r="62" spans="1:12">
      <c r="K62" s="36"/>
    </row>
    <row r="63" spans="1:12">
      <c r="A63" s="8">
        <f>A61+1</f>
        <v>304</v>
      </c>
      <c r="C63" t="s">
        <v>1421</v>
      </c>
      <c r="H63" s="8">
        <f t="shared" ref="H63" si="11">A63</f>
        <v>304</v>
      </c>
      <c r="K63" s="36"/>
    </row>
    <row r="64" spans="1:12">
      <c r="K64" s="36"/>
    </row>
    <row r="65" spans="1:12">
      <c r="C65" t="s">
        <v>61</v>
      </c>
      <c r="K65" s="36"/>
    </row>
    <row r="66" spans="1:12">
      <c r="A66" s="8">
        <f>A63+1</f>
        <v>305</v>
      </c>
      <c r="C66" s="35" t="s">
        <v>62</v>
      </c>
      <c r="D66" s="35"/>
      <c r="E66" s="22">
        <f ca="1">+E30</f>
        <v>10529504483.232002</v>
      </c>
      <c r="F66" t="str">
        <f>"Line "&amp;A30</f>
        <v>Line 115</v>
      </c>
      <c r="G66" s="21"/>
      <c r="H66" s="8">
        <f t="shared" ref="H66:H70" si="12">A66</f>
        <v>305</v>
      </c>
      <c r="K66" s="36"/>
      <c r="L66" s="33"/>
    </row>
    <row r="67" spans="1:12">
      <c r="A67" s="8">
        <f>A66+1</f>
        <v>306</v>
      </c>
      <c r="C67" s="18" t="s">
        <v>63</v>
      </c>
      <c r="D67" s="18"/>
      <c r="E67" s="31">
        <f>E45</f>
        <v>5.2264807947588816E-2</v>
      </c>
      <c r="F67" t="str">
        <f>"Line "&amp;A45</f>
        <v>Line 205</v>
      </c>
      <c r="H67" s="8">
        <f t="shared" si="12"/>
        <v>306</v>
      </c>
      <c r="K67" s="802"/>
      <c r="L67" s="31"/>
    </row>
    <row r="68" spans="1:12">
      <c r="A68" s="8">
        <f t="shared" ref="A68:A69" si="13">A67+1</f>
        <v>307</v>
      </c>
      <c r="C68" s="35" t="s">
        <v>64</v>
      </c>
      <c r="D68" s="35"/>
      <c r="E68" s="28">
        <f>E59</f>
        <v>0.27983599999999997</v>
      </c>
      <c r="F68" t="str">
        <f>"Line "&amp;A59</f>
        <v>Line 302</v>
      </c>
      <c r="H68" s="8">
        <f t="shared" si="12"/>
        <v>307</v>
      </c>
      <c r="K68" s="802"/>
      <c r="L68" s="31"/>
    </row>
    <row r="69" spans="1:12">
      <c r="A69" s="8">
        <f t="shared" si="13"/>
        <v>308</v>
      </c>
      <c r="C69" s="35" t="s">
        <v>65</v>
      </c>
      <c r="D69" s="35"/>
      <c r="E69" s="22">
        <f>'1-BaseTRR'!D108</f>
        <v>-21911028.051942907</v>
      </c>
      <c r="F69" t="str">
        <f>CONCATENATE("1-BaseTRR, L. ",'1-BaseTRR'!A108)</f>
        <v>1-BaseTRR, L. 407</v>
      </c>
      <c r="H69" s="8">
        <f t="shared" si="12"/>
        <v>308</v>
      </c>
      <c r="K69" s="36"/>
      <c r="L69" s="33"/>
    </row>
    <row r="70" spans="1:12">
      <c r="A70" s="8">
        <f>A69+1</f>
        <v>309</v>
      </c>
      <c r="C70" s="35" t="s">
        <v>137</v>
      </c>
      <c r="D70" s="35"/>
      <c r="E70" s="22">
        <f>'1-BaseTRR'!D103</f>
        <v>11232945.326774467</v>
      </c>
      <c r="F70" t="str">
        <f>CONCATENATE("1-BaseTRR, L. ",'1-BaseTRR'!A103)</f>
        <v>1-BaseTRR, L. 404</v>
      </c>
      <c r="H70" s="8">
        <f t="shared" si="12"/>
        <v>309</v>
      </c>
      <c r="K70" s="36"/>
      <c r="L70" s="33"/>
    </row>
    <row r="71" spans="1:12">
      <c r="A71" s="8">
        <f t="shared" ref="A71" si="14">A70+1</f>
        <v>310</v>
      </c>
      <c r="C71" s="35" t="s">
        <v>1420</v>
      </c>
      <c r="D71" s="35"/>
      <c r="E71" s="32">
        <f ca="1">E49</f>
        <v>0</v>
      </c>
      <c r="F71" t="str">
        <f>"Line "&amp;A49&amp;""</f>
        <v>Line 208</v>
      </c>
      <c r="H71" s="8"/>
      <c r="K71" s="36"/>
      <c r="L71" s="33"/>
    </row>
    <row r="73" spans="1:12">
      <c r="C73" s="52" t="s">
        <v>184</v>
      </c>
      <c r="D73" s="54"/>
      <c r="E73" s="54"/>
      <c r="F73" s="54"/>
      <c r="G73" s="54"/>
    </row>
    <row r="74" spans="1:12">
      <c r="C74" s="12" t="s">
        <v>133</v>
      </c>
    </row>
    <row r="75" spans="1:12">
      <c r="C75" s="812" t="str">
        <f>"1) Input the Annual True-up Adjustment that was included in the Prior Year's rates on Line "&amp;A101&amp;" and input the Rate Year the ATA trued-up. (For example,  if the Prior Year is 2021, then the ATA that was included in the 2021 rates was the ATA for 2019.)"</f>
        <v>1) Input the Annual True-up Adjustment that was included in the Prior Year's rates on Line 416 and input the Rate Year the ATA trued-up. (For example,  if the Prior Year is 2021, then the ATA that was included in the 2021 rates was the ATA for 2019.)</v>
      </c>
      <c r="D75" s="812"/>
      <c r="E75" s="812"/>
      <c r="F75" s="812"/>
      <c r="G75" s="812"/>
    </row>
    <row r="76" spans="1:12">
      <c r="C76" s="812"/>
      <c r="D76" s="812"/>
      <c r="E76" s="812"/>
      <c r="F76" s="812"/>
      <c r="G76" s="812"/>
    </row>
    <row r="77" spans="1:12">
      <c r="C77" s="6"/>
    </row>
    <row r="78" spans="1:12">
      <c r="A78" s="13" t="s">
        <v>122</v>
      </c>
      <c r="B78" s="13"/>
      <c r="C78" s="13" t="s">
        <v>127</v>
      </c>
      <c r="E78" s="13" t="s">
        <v>79</v>
      </c>
      <c r="F78" s="13" t="s">
        <v>54</v>
      </c>
      <c r="G78" s="13" t="s">
        <v>11</v>
      </c>
      <c r="H78" s="13" t="str">
        <f>A78</f>
        <v>Line</v>
      </c>
    </row>
    <row r="79" spans="1:12">
      <c r="C79" s="11" t="s">
        <v>128</v>
      </c>
      <c r="D79" s="11"/>
    </row>
    <row r="80" spans="1:12">
      <c r="A80" s="8">
        <v>400</v>
      </c>
      <c r="C80" t="s">
        <v>66</v>
      </c>
      <c r="E80" s="22">
        <f>'1-BaseTRR'!D125</f>
        <v>632960218.36720455</v>
      </c>
      <c r="F80" t="str">
        <f>CONCATENATE("1-BaseTRR, L. ",'1-BaseTRR'!A125)</f>
        <v>1-BaseTRR, L. 500</v>
      </c>
      <c r="H80" s="8">
        <f t="shared" ref="H80:H94" si="15">A80</f>
        <v>400</v>
      </c>
      <c r="K80" s="36"/>
      <c r="L80" s="33"/>
    </row>
    <row r="81" spans="1:12">
      <c r="A81" s="8">
        <f>A80+1</f>
        <v>401</v>
      </c>
      <c r="C81" t="s">
        <v>67</v>
      </c>
      <c r="E81" s="22">
        <f>'1-BaseTRR'!D126</f>
        <v>311438989.8577919</v>
      </c>
      <c r="F81" t="str">
        <f>CONCATENATE("1-BaseTRR, L. ",'1-BaseTRR'!A126)</f>
        <v>1-BaseTRR, L. 501</v>
      </c>
      <c r="H81" s="8">
        <f t="shared" si="15"/>
        <v>401</v>
      </c>
      <c r="K81" s="36"/>
      <c r="L81" s="33"/>
    </row>
    <row r="82" spans="1:12">
      <c r="A82" s="8">
        <f t="shared" ref="A82:A91" si="16">A81+1</f>
        <v>402</v>
      </c>
      <c r="C82" t="s">
        <v>68</v>
      </c>
      <c r="E82" s="22">
        <f>'1-BaseTRR'!D127</f>
        <v>1745354.32</v>
      </c>
      <c r="F82" t="str">
        <f>CONCATENATE("1-BaseTRR, L. ",'1-BaseTRR'!A127)</f>
        <v>1-BaseTRR, L. 502</v>
      </c>
      <c r="H82" s="8">
        <f t="shared" si="15"/>
        <v>402</v>
      </c>
      <c r="K82" s="36"/>
      <c r="L82" s="33"/>
    </row>
    <row r="83" spans="1:12">
      <c r="A83" s="8">
        <f t="shared" si="16"/>
        <v>403</v>
      </c>
      <c r="C83" t="s">
        <v>140</v>
      </c>
      <c r="E83" s="22">
        <f>'1-BaseTRR'!D128</f>
        <v>537037675.40049243</v>
      </c>
      <c r="F83" t="str">
        <f>CONCATENATE("1-BaseTRR, L. ",'1-BaseTRR'!A128)</f>
        <v>1-BaseTRR, L. 503</v>
      </c>
      <c r="H83" s="8">
        <f t="shared" si="15"/>
        <v>403</v>
      </c>
      <c r="K83" s="36"/>
      <c r="L83" s="33"/>
    </row>
    <row r="84" spans="1:12">
      <c r="A84" s="8">
        <f t="shared" si="16"/>
        <v>404</v>
      </c>
      <c r="C84" t="s">
        <v>69</v>
      </c>
      <c r="E84" s="22">
        <f ca="1">+'8-AbandonedPlant'!I14</f>
        <v>0</v>
      </c>
      <c r="F84" t="s">
        <v>1716</v>
      </c>
      <c r="H84" s="8">
        <f t="shared" si="15"/>
        <v>404</v>
      </c>
      <c r="K84" s="36"/>
      <c r="L84" s="33"/>
    </row>
    <row r="85" spans="1:12">
      <c r="A85" s="8">
        <f t="shared" si="16"/>
        <v>405</v>
      </c>
      <c r="C85" t="s">
        <v>71</v>
      </c>
      <c r="E85" s="22">
        <f ca="1">E50</f>
        <v>751016455.86997318</v>
      </c>
      <c r="F85" t="str">
        <f>"Line "&amp;A50&amp;""</f>
        <v>Line 209</v>
      </c>
      <c r="H85" s="8">
        <f t="shared" si="15"/>
        <v>405</v>
      </c>
      <c r="K85" s="36"/>
      <c r="L85" s="33"/>
    </row>
    <row r="86" spans="1:12">
      <c r="A86" s="8">
        <f t="shared" si="16"/>
        <v>406</v>
      </c>
      <c r="C86" t="s">
        <v>18</v>
      </c>
      <c r="E86" s="22">
        <f>'1-BaseTRR'!D132</f>
        <v>144963797.97262129</v>
      </c>
      <c r="F86" t="str">
        <f>CONCATENATE("1-BaseTRR, L. ",'1-BaseTRR'!A132)</f>
        <v>1-BaseTRR, L. 507</v>
      </c>
      <c r="H86" s="8">
        <f t="shared" si="15"/>
        <v>406</v>
      </c>
      <c r="K86" s="36"/>
      <c r="L86" s="33"/>
    </row>
    <row r="87" spans="1:12">
      <c r="A87" s="8">
        <f t="shared" si="16"/>
        <v>407</v>
      </c>
      <c r="C87" t="s">
        <v>55</v>
      </c>
      <c r="E87" s="22">
        <f ca="1">E61</f>
        <v>187780019.31434634</v>
      </c>
      <c r="F87" t="str">
        <f>"Line "&amp;A61&amp;""</f>
        <v>Line 303</v>
      </c>
      <c r="H87" s="8">
        <f t="shared" si="15"/>
        <v>407</v>
      </c>
      <c r="K87" s="36"/>
      <c r="L87" s="33"/>
    </row>
    <row r="88" spans="1:12">
      <c r="A88" s="8">
        <f t="shared" si="16"/>
        <v>408</v>
      </c>
      <c r="C88" t="s">
        <v>70</v>
      </c>
      <c r="E88" s="22">
        <f>'1-BaseTRR'!D134</f>
        <v>-14606488.819800004</v>
      </c>
      <c r="F88" t="str">
        <f>CONCATENATE("1-BaseTRR, L. ",'1-BaseTRR'!A134)</f>
        <v>1-BaseTRR, L. 509</v>
      </c>
      <c r="G88" t="s">
        <v>185</v>
      </c>
      <c r="H88" s="8">
        <f t="shared" si="15"/>
        <v>408</v>
      </c>
      <c r="K88" s="36"/>
      <c r="L88" s="33"/>
    </row>
    <row r="89" spans="1:12">
      <c r="A89" s="8">
        <f t="shared" si="16"/>
        <v>409</v>
      </c>
      <c r="C89" t="s">
        <v>130</v>
      </c>
      <c r="E89" s="22">
        <f>'1-BaseTRR'!D135</f>
        <v>-19860596.636095401</v>
      </c>
      <c r="F89" t="str">
        <f>CONCATENATE("1-BaseTRR, L. ",'1-BaseTRR'!A135)</f>
        <v>1-BaseTRR, L. 510</v>
      </c>
      <c r="G89" t="s">
        <v>185</v>
      </c>
      <c r="H89" s="8">
        <f t="shared" si="15"/>
        <v>409</v>
      </c>
      <c r="K89" s="36"/>
      <c r="L89" s="33"/>
    </row>
    <row r="90" spans="1:12">
      <c r="A90" s="8">
        <f t="shared" si="16"/>
        <v>410</v>
      </c>
      <c r="C90" t="s">
        <v>72</v>
      </c>
      <c r="E90" s="23">
        <f>'1-BaseTRR'!D136</f>
        <v>0</v>
      </c>
      <c r="F90" t="str">
        <f>CONCATENATE("1-BaseTRR, L. ",'1-BaseTRR'!A136)</f>
        <v>1-BaseTRR, L. 511</v>
      </c>
      <c r="H90" s="8">
        <f t="shared" si="15"/>
        <v>410</v>
      </c>
      <c r="K90" s="36"/>
      <c r="L90" s="33"/>
    </row>
    <row r="91" spans="1:12">
      <c r="A91" s="8">
        <f t="shared" si="16"/>
        <v>411</v>
      </c>
      <c r="C91" s="12" t="s">
        <v>78</v>
      </c>
      <c r="D91" s="12"/>
      <c r="E91" s="24">
        <f ca="1">SUM(E80:E90)</f>
        <v>2532475425.6465344</v>
      </c>
      <c r="F91" t="str">
        <f>"Sum Lines "&amp;A80&amp;" to "&amp;A90&amp;""</f>
        <v>Sum Lines 400 to 410</v>
      </c>
      <c r="H91" s="8">
        <f t="shared" si="15"/>
        <v>411</v>
      </c>
      <c r="K91" s="36"/>
      <c r="L91" s="33"/>
    </row>
    <row r="92" spans="1:12">
      <c r="H92" s="8"/>
    </row>
    <row r="93" spans="1:12">
      <c r="C93" s="11" t="s">
        <v>73</v>
      </c>
      <c r="D93" s="11"/>
    </row>
    <row r="94" spans="1:12">
      <c r="A94" s="8">
        <f>A91+1</f>
        <v>412</v>
      </c>
      <c r="C94" t="s">
        <v>144</v>
      </c>
      <c r="E94" s="19">
        <f>'1-BaseTRR'!D140</f>
        <v>7.6870000000000003E-3</v>
      </c>
      <c r="F94" t="str">
        <f>CONCATENATE("1-BaseTRR, L. ",'1-BaseTRR'!A140)</f>
        <v>1-BaseTRR, L. 513</v>
      </c>
      <c r="H94" s="8">
        <f t="shared" si="15"/>
        <v>412</v>
      </c>
      <c r="K94" s="28"/>
      <c r="L94" s="31"/>
    </row>
    <row r="95" spans="1:12">
      <c r="A95" s="8">
        <f>A94+1</f>
        <v>413</v>
      </c>
      <c r="C95" t="s">
        <v>139</v>
      </c>
      <c r="D95" s="12"/>
      <c r="E95" s="42">
        <f>'1-BaseTRR'!D141</f>
        <v>2.0782341986441631E-4</v>
      </c>
      <c r="F95" t="str">
        <f>CONCATENATE("1-BaseTRR, L. ",'1-BaseTRR'!A141)</f>
        <v>1-BaseTRR, L. 514</v>
      </c>
      <c r="H95" s="8">
        <f t="shared" ref="H95:H108" si="17">A95</f>
        <v>413</v>
      </c>
      <c r="K95" s="28"/>
      <c r="L95" s="31"/>
    </row>
    <row r="96" spans="1:12">
      <c r="A96" s="8">
        <f>A95+1</f>
        <v>414</v>
      </c>
      <c r="C96" s="12" t="s">
        <v>145</v>
      </c>
      <c r="D96" s="12"/>
      <c r="E96" s="24">
        <f ca="1">(E94+E95)*E91</f>
        <v>19993446.300625365</v>
      </c>
      <c r="F96" s="17" t="str">
        <f>"Line "&amp;A91&amp;" * ( Line "&amp;A94&amp;" + Line "&amp;A95&amp;")"</f>
        <v>Line 411 * ( Line 412 + Line 413)</v>
      </c>
      <c r="H96" s="8">
        <f t="shared" si="17"/>
        <v>414</v>
      </c>
      <c r="L96" s="33"/>
    </row>
    <row r="97" spans="1:13">
      <c r="C97" s="12"/>
      <c r="D97" s="12"/>
      <c r="E97" s="22"/>
      <c r="H97" s="8"/>
    </row>
    <row r="98" spans="1:13">
      <c r="A98" s="8">
        <f>A96+1</f>
        <v>415</v>
      </c>
      <c r="C98" s="12" t="s">
        <v>181</v>
      </c>
      <c r="D98" s="12"/>
      <c r="E98" s="24">
        <f ca="1">E96+E91</f>
        <v>2552468871.9471598</v>
      </c>
      <c r="F98" t="str">
        <f>"Line "&amp;A91&amp;" + Line "&amp;A96&amp;""</f>
        <v>Line 411 + Line 414</v>
      </c>
      <c r="H98" s="8">
        <f t="shared" ref="H98" si="18">A98</f>
        <v>415</v>
      </c>
      <c r="L98" s="33"/>
    </row>
    <row r="99" spans="1:13">
      <c r="C99" s="12"/>
      <c r="D99" s="12"/>
      <c r="E99" s="22"/>
      <c r="H99" s="8"/>
      <c r="K99" s="32"/>
      <c r="M99" s="33"/>
    </row>
    <row r="100" spans="1:13">
      <c r="C100" s="11" t="s">
        <v>165</v>
      </c>
      <c r="D100" s="12"/>
      <c r="E100" s="22"/>
      <c r="H100" s="8"/>
      <c r="K100" s="32"/>
      <c r="M100" s="33"/>
    </row>
    <row r="101" spans="1:13">
      <c r="A101" s="8">
        <f>A98+1</f>
        <v>416</v>
      </c>
      <c r="C101" t="s">
        <v>194</v>
      </c>
      <c r="E101" s="51">
        <v>136134084</v>
      </c>
      <c r="F101" s="49" t="s">
        <v>1885</v>
      </c>
      <c r="H101" s="8">
        <f>A101</f>
        <v>416</v>
      </c>
      <c r="K101" s="32"/>
      <c r="L101" s="33"/>
      <c r="M101" s="33"/>
    </row>
    <row r="102" spans="1:13">
      <c r="E102" s="33"/>
      <c r="H102" s="8"/>
      <c r="K102" s="33"/>
      <c r="M102" s="33"/>
    </row>
    <row r="103" spans="1:13">
      <c r="A103" s="8">
        <f>A101+1</f>
        <v>417</v>
      </c>
      <c r="C103" s="12" t="s">
        <v>189</v>
      </c>
      <c r="E103" s="24">
        <f ca="1">E101+E98</f>
        <v>2688602955.9471598</v>
      </c>
      <c r="F103" t="str">
        <f>"Line "&amp;A98&amp;" + Line "&amp;A101&amp;""</f>
        <v>Line 415 + Line 416</v>
      </c>
      <c r="H103" s="8">
        <f>A103</f>
        <v>417</v>
      </c>
      <c r="K103" s="68"/>
      <c r="L103" s="33"/>
      <c r="M103" s="33"/>
    </row>
    <row r="104" spans="1:13">
      <c r="C104" s="12"/>
      <c r="D104" s="12"/>
      <c r="E104" s="22"/>
      <c r="H104" s="8"/>
      <c r="K104" s="32"/>
      <c r="M104" s="33"/>
    </row>
    <row r="105" spans="1:13">
      <c r="C105" s="11" t="s">
        <v>182</v>
      </c>
      <c r="D105" s="12"/>
      <c r="E105" s="22"/>
      <c r="H105" s="8"/>
      <c r="K105" s="32"/>
      <c r="M105" s="33"/>
    </row>
    <row r="106" spans="1:13">
      <c r="A106" s="8">
        <f>A103+1</f>
        <v>418</v>
      </c>
      <c r="C106" t="s">
        <v>157</v>
      </c>
      <c r="D106" s="12"/>
      <c r="E106" s="19">
        <f>'1-BaseTRR'!D155</f>
        <v>3.5142409364145128E-3</v>
      </c>
      <c r="F106" t="str">
        <f>CONCATENATE("1-BaseTRR, L. ",'1-BaseTRR'!A155)</f>
        <v>1-BaseTRR, L. 700</v>
      </c>
      <c r="H106" s="8">
        <f t="shared" ref="H106" si="19">A106</f>
        <v>418</v>
      </c>
      <c r="K106" s="28"/>
      <c r="L106" s="31"/>
      <c r="M106" s="33"/>
    </row>
    <row r="107" spans="1:13">
      <c r="A107" s="8">
        <f>A106+1</f>
        <v>419</v>
      </c>
      <c r="C107" t="s">
        <v>239</v>
      </c>
      <c r="E107" s="22">
        <f ca="1">E106*E103</f>
        <v>9448398.5695545748</v>
      </c>
      <c r="F107" s="17" t="str">
        <f>"Line "&amp;A103&amp;" * Line "&amp;A106&amp;""</f>
        <v>Line 417 * Line 418</v>
      </c>
      <c r="H107" s="8">
        <f t="shared" si="17"/>
        <v>419</v>
      </c>
      <c r="K107" s="22"/>
      <c r="L107" s="33"/>
      <c r="M107" s="33"/>
    </row>
    <row r="108" spans="1:13">
      <c r="A108" s="8">
        <f>A107+1</f>
        <v>420</v>
      </c>
      <c r="C108" t="s">
        <v>146</v>
      </c>
      <c r="E108" s="22">
        <f>+'23-RetailSGTax'!E38</f>
        <v>4613695.4945500344</v>
      </c>
      <c r="F108" t="s">
        <v>1412</v>
      </c>
      <c r="H108" s="8">
        <f t="shared" si="17"/>
        <v>420</v>
      </c>
      <c r="K108" s="22"/>
      <c r="L108" s="33"/>
      <c r="M108" s="33"/>
    </row>
    <row r="109" spans="1:13">
      <c r="H109" s="8"/>
      <c r="M109" s="33"/>
    </row>
    <row r="110" spans="1:13">
      <c r="A110" s="8">
        <f>A108+1</f>
        <v>421</v>
      </c>
      <c r="C110" s="12" t="s">
        <v>80</v>
      </c>
      <c r="D110" s="12"/>
      <c r="E110" s="24">
        <f ca="1">E103+E107+E108</f>
        <v>2702665050.0112648</v>
      </c>
      <c r="F110" t="str">
        <f>"Line "&amp;A103&amp;" + Line "&amp;A107&amp;" + Line "&amp;A108&amp;""</f>
        <v>Line 417 + Line 419 + Line 420</v>
      </c>
      <c r="H110" s="8">
        <f t="shared" ref="H110" si="20">A110</f>
        <v>421</v>
      </c>
      <c r="K110" s="24"/>
      <c r="L110" s="33"/>
      <c r="M110" s="33"/>
    </row>
    <row r="111" spans="1:13">
      <c r="H111" s="8"/>
      <c r="J111" s="33"/>
    </row>
    <row r="112" spans="1:13">
      <c r="C112" s="16"/>
    </row>
    <row r="113" spans="5:5">
      <c r="E113" s="36"/>
    </row>
    <row r="115" spans="5:5">
      <c r="E115" s="38"/>
    </row>
  </sheetData>
  <mergeCells count="3">
    <mergeCell ref="C34:G34"/>
    <mergeCell ref="C75:G76"/>
    <mergeCell ref="C54:G54"/>
  </mergeCells>
  <printOptions horizontalCentered="1"/>
  <pageMargins left="1" right="1" top="1" bottom="1" header="0.5" footer="0.5"/>
  <pageSetup scale="65" fitToHeight="0" orientation="landscape" r:id="rId1"/>
  <headerFooter>
    <oddHeader xml:space="preserve">&amp;C&amp;"-,Bold"Pacific Gas and Electric Company
Formula Rate Model
Schedule &amp;A&amp;R&amp;8Docket No. ER19-13-000, et al- Annual Update RY2024
&amp;F
</oddHeader>
  </headerFooter>
  <rowBreaks count="1" manualBreakCount="1">
    <brk id="71" max="8" man="1"/>
  </row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L147"/>
  <sheetViews>
    <sheetView tabSelected="1" view="pageBreakPreview" topLeftCell="A110" zoomScale="85" zoomScaleNormal="86" zoomScaleSheetLayoutView="85" zoomScalePageLayoutView="70" workbookViewId="0">
      <selection activeCell="C59" activeCellId="1" sqref="L63 C59"/>
    </sheetView>
  </sheetViews>
  <sheetFormatPr defaultColWidth="9.1796875" defaultRowHeight="14.5"/>
  <cols>
    <col min="1" max="1" width="4.7265625" bestFit="1" customWidth="1"/>
    <col min="2" max="2" width="17.54296875" customWidth="1"/>
    <col min="3" max="3" width="16.453125" customWidth="1"/>
    <col min="4" max="4" width="17.26953125" customWidth="1"/>
    <col min="5" max="5" width="19.7265625" customWidth="1"/>
    <col min="6" max="6" width="18.54296875" bestFit="1" customWidth="1"/>
    <col min="7" max="7" width="18.54296875" customWidth="1"/>
    <col min="8" max="8" width="16.81640625" customWidth="1"/>
    <col min="9" max="9" width="15.453125" customWidth="1"/>
    <col min="10" max="10" width="19" customWidth="1"/>
    <col min="11" max="11" width="17.54296875" bestFit="1" customWidth="1"/>
    <col min="12" max="12" width="4.7265625" bestFit="1" customWidth="1"/>
  </cols>
  <sheetData>
    <row r="1" spans="1:12">
      <c r="B1" s="12" t="s">
        <v>165</v>
      </c>
      <c r="K1" s="15" t="str">
        <f>CONCATENATE("Rate Year: ",'1-BaseTRR'!$F$1)</f>
        <v>Rate Year: 2024</v>
      </c>
    </row>
    <row r="2" spans="1:12">
      <c r="B2" s="46" t="s">
        <v>193</v>
      </c>
      <c r="K2" s="15" t="str">
        <f>CONCATENATE("Prior Year: ",'1-BaseTRR'!$F$2)</f>
        <v>Prior Year: 2022</v>
      </c>
    </row>
    <row r="4" spans="1:12">
      <c r="B4" s="57" t="s">
        <v>210</v>
      </c>
      <c r="C4" s="54"/>
      <c r="D4" s="54"/>
      <c r="E4" s="54"/>
      <c r="F4" s="54"/>
      <c r="G4" s="54"/>
      <c r="H4" s="54"/>
      <c r="I4" s="54"/>
      <c r="J4" s="54"/>
      <c r="K4" s="54"/>
    </row>
    <row r="5" spans="1:12">
      <c r="B5" s="16" t="s">
        <v>133</v>
      </c>
    </row>
    <row r="6" spans="1:12">
      <c r="B6" s="813" t="s">
        <v>1431</v>
      </c>
      <c r="C6" s="813"/>
      <c r="D6" s="813"/>
      <c r="E6" s="813"/>
      <c r="F6" s="813"/>
      <c r="G6" s="813"/>
      <c r="H6" s="813"/>
      <c r="I6" s="813"/>
      <c r="J6" s="813"/>
      <c r="K6" s="813"/>
    </row>
    <row r="7" spans="1:12">
      <c r="B7" s="813" t="str">
        <f>"2) Input the Total Sales from the Prior Year FERC Form 1 on Line "&amp;A27&amp;".  The total on Line "&amp;A25&amp;", col 8, should match the total on Line "&amp;A27&amp;". "</f>
        <v xml:space="preserve">2) Input the Total Sales from the Prior Year FERC Form 1 on Line 113.  The total on Line 112, col 8, should match the total on Line 113. </v>
      </c>
      <c r="C7" s="813"/>
      <c r="D7" s="813"/>
      <c r="E7" s="813"/>
      <c r="F7" s="813"/>
      <c r="G7" s="813"/>
      <c r="H7" s="813"/>
      <c r="I7" s="813"/>
      <c r="J7" s="813"/>
      <c r="K7" s="813"/>
    </row>
    <row r="8" spans="1:12">
      <c r="B8" s="44"/>
      <c r="C8" s="44"/>
      <c r="D8" s="44"/>
      <c r="E8" s="44"/>
      <c r="F8" s="44"/>
      <c r="G8" s="44"/>
      <c r="H8" s="44"/>
      <c r="I8" s="44"/>
      <c r="J8" s="44"/>
      <c r="K8" s="44"/>
    </row>
    <row r="9" spans="1:12">
      <c r="B9" s="12"/>
      <c r="C9" s="13" t="s">
        <v>98</v>
      </c>
      <c r="D9" s="13" t="s">
        <v>99</v>
      </c>
      <c r="E9" s="13" t="s">
        <v>100</v>
      </c>
      <c r="F9" s="13" t="s">
        <v>101</v>
      </c>
      <c r="G9" s="13" t="s">
        <v>102</v>
      </c>
      <c r="H9" s="13" t="s">
        <v>103</v>
      </c>
      <c r="I9" s="13" t="s">
        <v>104</v>
      </c>
      <c r="J9" s="13" t="s">
        <v>105</v>
      </c>
    </row>
    <row r="10" spans="1:12">
      <c r="B10" s="12"/>
      <c r="C10" s="30" t="s">
        <v>123</v>
      </c>
      <c r="D10" s="30" t="s">
        <v>124</v>
      </c>
      <c r="E10" s="8"/>
      <c r="F10" s="8"/>
      <c r="G10" s="8"/>
      <c r="H10" s="8"/>
      <c r="I10" s="8"/>
      <c r="J10" s="30" t="s">
        <v>186</v>
      </c>
    </row>
    <row r="11" spans="1:12">
      <c r="B11" s="12"/>
      <c r="C11" s="8" t="s">
        <v>190</v>
      </c>
      <c r="D11" s="8" t="s">
        <v>84</v>
      </c>
      <c r="E11" s="8"/>
      <c r="F11" s="8"/>
      <c r="G11" s="8" t="s">
        <v>197</v>
      </c>
      <c r="H11" s="8" t="s">
        <v>198</v>
      </c>
      <c r="I11" s="8"/>
      <c r="J11" s="30"/>
    </row>
    <row r="12" spans="1:12">
      <c r="A12" s="13" t="s">
        <v>122</v>
      </c>
      <c r="B12" s="13" t="s">
        <v>81</v>
      </c>
      <c r="C12" s="13" t="s">
        <v>187</v>
      </c>
      <c r="D12" s="13" t="s">
        <v>187</v>
      </c>
      <c r="E12" s="13" t="s">
        <v>82</v>
      </c>
      <c r="F12" s="13" t="s">
        <v>83</v>
      </c>
      <c r="G12" s="13" t="s">
        <v>199</v>
      </c>
      <c r="H12" s="13" t="s">
        <v>200</v>
      </c>
      <c r="I12" s="13" t="s">
        <v>84</v>
      </c>
      <c r="J12" s="13" t="s">
        <v>162</v>
      </c>
      <c r="K12" s="13"/>
      <c r="L12" s="13" t="str">
        <f t="shared" ref="L12:L25" si="0">A12</f>
        <v>Line</v>
      </c>
    </row>
    <row r="13" spans="1:12">
      <c r="A13" s="8">
        <v>100</v>
      </c>
      <c r="B13" t="s">
        <v>85</v>
      </c>
      <c r="C13" s="51">
        <v>187677228</v>
      </c>
      <c r="D13" s="51">
        <v>-11698864.370000001</v>
      </c>
      <c r="E13" s="51">
        <v>367851855.82999998</v>
      </c>
      <c r="F13" s="51">
        <v>382825674.11000001</v>
      </c>
      <c r="G13" s="51">
        <v>92330982.330000013</v>
      </c>
      <c r="H13" s="51">
        <v>3178381.47</v>
      </c>
      <c r="I13" s="51">
        <v>43699991.700000003</v>
      </c>
      <c r="J13" s="22">
        <f t="shared" ref="J13:J24" si="1">SUM(C13:I13)</f>
        <v>1065865249.0700002</v>
      </c>
      <c r="K13" s="36"/>
      <c r="L13" s="8">
        <f t="shared" si="0"/>
        <v>100</v>
      </c>
    </row>
    <row r="14" spans="1:12">
      <c r="A14" s="8">
        <f>A13+1</f>
        <v>101</v>
      </c>
      <c r="B14" t="s">
        <v>86</v>
      </c>
      <c r="C14" s="51">
        <v>196603584</v>
      </c>
      <c r="D14" s="51">
        <v>-8728200</v>
      </c>
      <c r="E14" s="51">
        <v>348186233</v>
      </c>
      <c r="F14" s="51">
        <v>344368651</v>
      </c>
      <c r="G14" s="51">
        <v>97948186</v>
      </c>
      <c r="H14" s="51">
        <v>-313495</v>
      </c>
      <c r="I14" s="51">
        <v>43022446</v>
      </c>
      <c r="J14" s="22">
        <f t="shared" si="1"/>
        <v>1021087405</v>
      </c>
      <c r="K14" s="36"/>
      <c r="L14" s="8">
        <f t="shared" si="0"/>
        <v>101</v>
      </c>
    </row>
    <row r="15" spans="1:12">
      <c r="A15" s="8">
        <f t="shared" ref="A15:A25" si="2">A14+1</f>
        <v>102</v>
      </c>
      <c r="B15" t="s">
        <v>87</v>
      </c>
      <c r="C15" s="51">
        <v>230588030</v>
      </c>
      <c r="D15" s="51">
        <v>-1793866</v>
      </c>
      <c r="E15" s="51">
        <v>399232902</v>
      </c>
      <c r="F15" s="51">
        <v>385982840.00000006</v>
      </c>
      <c r="G15" s="51">
        <v>113530904</v>
      </c>
      <c r="H15" s="51">
        <v>-439162</v>
      </c>
      <c r="I15" s="51">
        <v>46827239</v>
      </c>
      <c r="J15" s="22">
        <f t="shared" si="1"/>
        <v>1173928887</v>
      </c>
      <c r="K15" s="36"/>
      <c r="L15" s="8">
        <f t="shared" si="0"/>
        <v>102</v>
      </c>
    </row>
    <row r="16" spans="1:12">
      <c r="A16" s="8">
        <f t="shared" si="2"/>
        <v>103</v>
      </c>
      <c r="B16" t="s">
        <v>88</v>
      </c>
      <c r="C16" s="51">
        <v>210003286</v>
      </c>
      <c r="D16" s="51">
        <v>8519714</v>
      </c>
      <c r="E16" s="51">
        <v>141294557</v>
      </c>
      <c r="F16" s="51">
        <v>315312412.99999994</v>
      </c>
      <c r="G16" s="51">
        <v>101021743</v>
      </c>
      <c r="H16" s="51">
        <v>-334763</v>
      </c>
      <c r="I16" s="51">
        <v>37612784</v>
      </c>
      <c r="J16" s="22">
        <f t="shared" si="1"/>
        <v>813429734</v>
      </c>
      <c r="K16" s="36"/>
      <c r="L16" s="8">
        <f t="shared" si="0"/>
        <v>103</v>
      </c>
    </row>
    <row r="17" spans="1:12">
      <c r="A17" s="8">
        <f t="shared" si="2"/>
        <v>104</v>
      </c>
      <c r="B17" t="s">
        <v>89</v>
      </c>
      <c r="C17" s="51">
        <v>220759806</v>
      </c>
      <c r="D17" s="51">
        <v>9463537</v>
      </c>
      <c r="E17" s="51">
        <v>376584324</v>
      </c>
      <c r="F17" s="51">
        <v>340268999.99999994</v>
      </c>
      <c r="G17" s="51">
        <v>105804463.99999999</v>
      </c>
      <c r="H17" s="51">
        <v>-478383</v>
      </c>
      <c r="I17" s="51">
        <v>39341285</v>
      </c>
      <c r="J17" s="22">
        <f t="shared" si="1"/>
        <v>1091744033</v>
      </c>
      <c r="K17" s="36"/>
      <c r="L17" s="8">
        <f t="shared" si="0"/>
        <v>104</v>
      </c>
    </row>
    <row r="18" spans="1:12">
      <c r="A18" s="8">
        <f t="shared" si="2"/>
        <v>105</v>
      </c>
      <c r="B18" t="s">
        <v>90</v>
      </c>
      <c r="C18" s="51">
        <v>254091681</v>
      </c>
      <c r="D18" s="51">
        <v>11338406</v>
      </c>
      <c r="E18" s="51">
        <v>502818143</v>
      </c>
      <c r="F18" s="51">
        <v>461168684</v>
      </c>
      <c r="G18" s="51">
        <v>123772277</v>
      </c>
      <c r="H18" s="51">
        <v>-666402</v>
      </c>
      <c r="I18" s="51">
        <v>44757351</v>
      </c>
      <c r="J18" s="22">
        <f t="shared" si="1"/>
        <v>1397280140</v>
      </c>
      <c r="K18" s="36"/>
      <c r="L18" s="8">
        <f t="shared" si="0"/>
        <v>105</v>
      </c>
    </row>
    <row r="19" spans="1:12">
      <c r="A19" s="8">
        <f t="shared" si="2"/>
        <v>106</v>
      </c>
      <c r="B19" t="s">
        <v>91</v>
      </c>
      <c r="C19" s="51">
        <v>268565476</v>
      </c>
      <c r="D19" s="51">
        <v>12103389</v>
      </c>
      <c r="E19" s="51">
        <v>618085706</v>
      </c>
      <c r="F19" s="51">
        <v>563832809</v>
      </c>
      <c r="G19" s="51">
        <v>138325765</v>
      </c>
      <c r="H19" s="51">
        <v>-590330</v>
      </c>
      <c r="I19" s="51">
        <v>48668339</v>
      </c>
      <c r="J19" s="22">
        <f t="shared" si="1"/>
        <v>1648991154</v>
      </c>
      <c r="K19" s="36"/>
      <c r="L19" s="8">
        <f t="shared" si="0"/>
        <v>106</v>
      </c>
    </row>
    <row r="20" spans="1:12">
      <c r="A20" s="8">
        <f t="shared" si="2"/>
        <v>107</v>
      </c>
      <c r="B20" t="s">
        <v>92</v>
      </c>
      <c r="C20" s="51">
        <v>294359137</v>
      </c>
      <c r="D20" s="51">
        <v>13495054</v>
      </c>
      <c r="E20" s="51">
        <v>684547851</v>
      </c>
      <c r="F20" s="51">
        <v>628589821.00000012</v>
      </c>
      <c r="G20" s="51">
        <v>146931256.42000002</v>
      </c>
      <c r="H20" s="51">
        <v>-860487</v>
      </c>
      <c r="I20" s="51">
        <v>51335458</v>
      </c>
      <c r="J20" s="22">
        <f t="shared" si="1"/>
        <v>1818398090.4200001</v>
      </c>
      <c r="K20" s="36"/>
      <c r="L20" s="8">
        <f t="shared" si="0"/>
        <v>107</v>
      </c>
    </row>
    <row r="21" spans="1:12">
      <c r="A21" s="8">
        <f t="shared" si="2"/>
        <v>108</v>
      </c>
      <c r="B21" t="s">
        <v>93</v>
      </c>
      <c r="C21" s="51">
        <v>282833234</v>
      </c>
      <c r="D21" s="51">
        <v>12913039</v>
      </c>
      <c r="E21" s="51">
        <v>638559945</v>
      </c>
      <c r="F21" s="51">
        <v>596192775.00000012</v>
      </c>
      <c r="G21" s="51">
        <v>141739936</v>
      </c>
      <c r="H21" s="51">
        <v>-848072</v>
      </c>
      <c r="I21" s="51">
        <v>49326426</v>
      </c>
      <c r="J21" s="22">
        <f t="shared" si="1"/>
        <v>1720717283</v>
      </c>
      <c r="K21" s="36"/>
      <c r="L21" s="8">
        <f t="shared" si="0"/>
        <v>108</v>
      </c>
    </row>
    <row r="22" spans="1:12">
      <c r="A22" s="8">
        <f t="shared" si="2"/>
        <v>109</v>
      </c>
      <c r="C22" s="51">
        <v>240513369</v>
      </c>
      <c r="D22" s="51">
        <v>10987496</v>
      </c>
      <c r="E22" s="51">
        <v>283435155</v>
      </c>
      <c r="F22" s="51">
        <v>440678992</v>
      </c>
      <c r="G22" s="51">
        <v>120713648.59999999</v>
      </c>
      <c r="H22" s="51">
        <v>-763006</v>
      </c>
      <c r="I22" s="51">
        <v>42259525</v>
      </c>
      <c r="J22" s="22">
        <f t="shared" si="1"/>
        <v>1137825179.5999999</v>
      </c>
      <c r="K22" s="36"/>
      <c r="L22" s="8">
        <f t="shared" si="0"/>
        <v>109</v>
      </c>
    </row>
    <row r="23" spans="1:12">
      <c r="A23" s="8">
        <f t="shared" si="2"/>
        <v>110</v>
      </c>
      <c r="B23" t="s">
        <v>94</v>
      </c>
      <c r="C23" s="51">
        <v>210759065</v>
      </c>
      <c r="D23" s="51">
        <v>9675037.879999999</v>
      </c>
      <c r="E23" s="51">
        <v>376574941.08999997</v>
      </c>
      <c r="F23" s="51">
        <v>336190577.74999994</v>
      </c>
      <c r="G23" s="51">
        <v>106118606.96999998</v>
      </c>
      <c r="H23" s="51">
        <v>-704144.74</v>
      </c>
      <c r="I23" s="51">
        <v>36931604.719999999</v>
      </c>
      <c r="J23" s="22">
        <f t="shared" si="1"/>
        <v>1075545688.6700001</v>
      </c>
      <c r="K23" s="36"/>
      <c r="L23" s="8">
        <f t="shared" si="0"/>
        <v>110</v>
      </c>
    </row>
    <row r="24" spans="1:12">
      <c r="A24" s="8">
        <f t="shared" si="2"/>
        <v>111</v>
      </c>
      <c r="B24" t="s">
        <v>95</v>
      </c>
      <c r="C24" s="51">
        <v>234410586</v>
      </c>
      <c r="D24" s="51">
        <v>10760445</v>
      </c>
      <c r="E24" s="51">
        <v>414766651</v>
      </c>
      <c r="F24" s="51">
        <v>352308603</v>
      </c>
      <c r="G24" s="51">
        <v>117550359</v>
      </c>
      <c r="H24" s="51">
        <v>-803458</v>
      </c>
      <c r="I24" s="51">
        <f>40290514-918</f>
        <v>40289596</v>
      </c>
      <c r="J24" s="22">
        <f t="shared" si="1"/>
        <v>1169282782</v>
      </c>
      <c r="K24" s="36"/>
      <c r="L24" s="8">
        <f t="shared" si="0"/>
        <v>111</v>
      </c>
    </row>
    <row r="25" spans="1:12">
      <c r="A25" s="8">
        <f t="shared" si="2"/>
        <v>112</v>
      </c>
      <c r="B25" t="s">
        <v>96</v>
      </c>
      <c r="C25" s="24">
        <f>SUM(C13:C24)</f>
        <v>2831164482</v>
      </c>
      <c r="D25" s="24">
        <f t="shared" ref="D25:J25" si="3">SUM(D13:D24)</f>
        <v>77035187.50999999</v>
      </c>
      <c r="E25" s="24">
        <f t="shared" si="3"/>
        <v>5151938263.9200001</v>
      </c>
      <c r="F25" s="24">
        <f t="shared" si="3"/>
        <v>5147720839.8600006</v>
      </c>
      <c r="G25" s="24">
        <f t="shared" si="3"/>
        <v>1405788128.3199999</v>
      </c>
      <c r="H25" s="24">
        <f t="shared" si="3"/>
        <v>-3623321.2699999996</v>
      </c>
      <c r="I25" s="24">
        <f t="shared" si="3"/>
        <v>524072045.41999996</v>
      </c>
      <c r="J25" s="24">
        <f t="shared" si="3"/>
        <v>15134095625.76</v>
      </c>
      <c r="K25" s="36"/>
      <c r="L25" s="8">
        <f t="shared" si="0"/>
        <v>112</v>
      </c>
    </row>
    <row r="26" spans="1:12">
      <c r="A26" s="8"/>
      <c r="L26" s="8"/>
    </row>
    <row r="27" spans="1:12">
      <c r="A27" s="8">
        <f>A25+1</f>
        <v>113</v>
      </c>
      <c r="I27" s="130" t="s">
        <v>1951</v>
      </c>
      <c r="J27" s="51">
        <v>15134095626</v>
      </c>
      <c r="L27" s="8">
        <f>A27</f>
        <v>113</v>
      </c>
    </row>
    <row r="28" spans="1:12">
      <c r="L28" s="8"/>
    </row>
    <row r="29" spans="1:12">
      <c r="B29" s="57"/>
      <c r="C29" s="54"/>
      <c r="D29" s="54"/>
      <c r="E29" s="54"/>
      <c r="F29" s="54"/>
      <c r="G29" s="54"/>
      <c r="H29" s="54"/>
      <c r="I29" s="54"/>
      <c r="J29" s="54"/>
      <c r="K29" s="54"/>
    </row>
    <row r="30" spans="1:12">
      <c r="B30" s="16" t="s">
        <v>133</v>
      </c>
    </row>
    <row r="31" spans="1:12">
      <c r="B31" s="812" t="str">
        <f>"1) Input any corrections or adjustments from previous Annual Update Filings on Line "&amp;A44&amp;". Input the Corrected Principle in "&amp;G38&amp;" and the Accumulated Interest in "&amp;J38&amp;". A workpaper must accompany any correction or adjustment."</f>
        <v>1) Input any corrections or adjustments from previous Annual Update Filings on Line 201. Input the Corrected Principle in Col 5 and the Accumulated Interest in Col 8. A workpaper must accompany any correction or adjustment.</v>
      </c>
      <c r="C31" s="812"/>
      <c r="D31" s="812"/>
      <c r="E31" s="812"/>
      <c r="F31" s="812"/>
      <c r="G31" s="812"/>
      <c r="H31" s="812"/>
      <c r="I31" s="812"/>
      <c r="J31" s="812"/>
      <c r="K31" s="812"/>
    </row>
    <row r="32" spans="1:12">
      <c r="B32" s="812"/>
      <c r="C32" s="812"/>
      <c r="D32" s="812"/>
      <c r="E32" s="812"/>
      <c r="F32" s="812"/>
      <c r="G32" s="812"/>
      <c r="H32" s="812"/>
      <c r="I32" s="812"/>
      <c r="J32" s="812"/>
      <c r="K32" s="812"/>
    </row>
    <row r="33" spans="1:12">
      <c r="B33" s="813" t="s">
        <v>202</v>
      </c>
      <c r="C33" s="813"/>
      <c r="D33" s="813"/>
      <c r="E33" s="813"/>
      <c r="F33" s="813"/>
      <c r="G33" s="813"/>
      <c r="H33" s="813"/>
      <c r="I33" s="813"/>
      <c r="J33" s="813"/>
      <c r="K33" s="813"/>
    </row>
    <row r="34" spans="1:12">
      <c r="B34" s="12"/>
    </row>
    <row r="35" spans="1:12">
      <c r="A35" s="13" t="s">
        <v>122</v>
      </c>
      <c r="B35" s="13" t="s">
        <v>97</v>
      </c>
      <c r="C35" s="13" t="s">
        <v>163</v>
      </c>
      <c r="L35" s="13" t="str">
        <f>A35</f>
        <v>Line</v>
      </c>
    </row>
    <row r="36" spans="1:12">
      <c r="A36" s="8">
        <v>200</v>
      </c>
      <c r="B36" s="45">
        <f ca="1">'3-True-upTRR'!$E$110</f>
        <v>2702665050.0112648</v>
      </c>
      <c r="C36" s="6" t="str">
        <f>"3-True-up TRR, L. "&amp;'3-True-upTRR'!$A$110&amp;""</f>
        <v>3-True-up TRR, L. 421</v>
      </c>
      <c r="L36" s="8">
        <f>A36</f>
        <v>200</v>
      </c>
    </row>
    <row r="37" spans="1:12">
      <c r="A37" s="8"/>
    </row>
    <row r="38" spans="1:12">
      <c r="A38" s="8"/>
      <c r="B38" s="8"/>
      <c r="C38" s="13" t="s">
        <v>98</v>
      </c>
      <c r="D38" s="13" t="s">
        <v>99</v>
      </c>
      <c r="E38" s="13" t="s">
        <v>100</v>
      </c>
      <c r="F38" s="13" t="s">
        <v>101</v>
      </c>
      <c r="G38" s="13" t="s">
        <v>102</v>
      </c>
      <c r="H38" s="13" t="s">
        <v>103</v>
      </c>
      <c r="I38" s="13" t="s">
        <v>104</v>
      </c>
      <c r="J38" s="13" t="s">
        <v>105</v>
      </c>
      <c r="K38" s="13" t="s">
        <v>106</v>
      </c>
    </row>
    <row r="39" spans="1:12">
      <c r="A39" s="8"/>
      <c r="B39" s="8"/>
      <c r="C39" s="8"/>
      <c r="D39" s="27" t="s">
        <v>166</v>
      </c>
      <c r="E39" s="30" t="s">
        <v>214</v>
      </c>
      <c r="F39" s="30" t="str">
        <f>""&amp;D38&amp;" - "&amp;E38&amp;""</f>
        <v>Col 2 - Col 3</v>
      </c>
      <c r="G39" s="30" t="s">
        <v>215</v>
      </c>
      <c r="H39" s="30" t="s">
        <v>168</v>
      </c>
      <c r="I39" s="30" t="s">
        <v>216</v>
      </c>
      <c r="J39" s="30" t="s">
        <v>217</v>
      </c>
      <c r="K39" s="30" t="str">
        <f>""&amp;G38&amp;" + "&amp;J38&amp;""</f>
        <v>Col 5 + Col 8</v>
      </c>
    </row>
    <row r="40" spans="1:12">
      <c r="A40" s="8"/>
      <c r="B40" s="8"/>
      <c r="C40" s="8"/>
      <c r="D40" s="8"/>
      <c r="E40" s="8"/>
      <c r="F40" s="8"/>
      <c r="G40" s="8" t="s">
        <v>230</v>
      </c>
      <c r="H40" s="8"/>
      <c r="I40" s="8"/>
      <c r="J40" s="8"/>
      <c r="K40" s="8" t="s">
        <v>230</v>
      </c>
    </row>
    <row r="41" spans="1:12">
      <c r="A41" s="8"/>
      <c r="B41" s="8"/>
      <c r="C41" s="8"/>
      <c r="D41" s="8" t="s">
        <v>190</v>
      </c>
      <c r="E41" s="8" t="s">
        <v>190</v>
      </c>
      <c r="F41" s="8" t="s">
        <v>190</v>
      </c>
      <c r="G41" s="8" t="s">
        <v>1370</v>
      </c>
      <c r="H41" s="8"/>
      <c r="I41" s="8"/>
      <c r="J41" s="8"/>
      <c r="K41" s="8" t="s">
        <v>1370</v>
      </c>
    </row>
    <row r="42" spans="1:12">
      <c r="A42" s="8"/>
      <c r="B42" s="8"/>
      <c r="C42" s="8"/>
      <c r="D42" s="8" t="s">
        <v>107</v>
      </c>
      <c r="E42" s="8" t="s">
        <v>187</v>
      </c>
      <c r="F42" s="8" t="s">
        <v>196</v>
      </c>
      <c r="G42" s="8" t="s">
        <v>1371</v>
      </c>
      <c r="H42" s="8" t="s">
        <v>107</v>
      </c>
      <c r="I42" s="8" t="s">
        <v>107</v>
      </c>
      <c r="J42" s="8" t="s">
        <v>224</v>
      </c>
      <c r="K42" s="8" t="s">
        <v>1371</v>
      </c>
    </row>
    <row r="43" spans="1:12">
      <c r="A43" s="8"/>
      <c r="B43" s="13" t="s">
        <v>81</v>
      </c>
      <c r="C43" s="13" t="s">
        <v>109</v>
      </c>
      <c r="D43" s="13" t="s">
        <v>192</v>
      </c>
      <c r="E43" s="13" t="s">
        <v>191</v>
      </c>
      <c r="F43" s="13" t="s">
        <v>231</v>
      </c>
      <c r="G43" s="13" t="s">
        <v>195</v>
      </c>
      <c r="H43" s="13" t="s">
        <v>164</v>
      </c>
      <c r="I43" s="13" t="s">
        <v>108</v>
      </c>
      <c r="J43" s="13" t="s">
        <v>108</v>
      </c>
      <c r="K43" s="13" t="s">
        <v>110</v>
      </c>
    </row>
    <row r="44" spans="1:12">
      <c r="A44" s="8">
        <f>A36+1</f>
        <v>201</v>
      </c>
      <c r="B44" t="s">
        <v>111</v>
      </c>
      <c r="C44" s="30">
        <f>C45-1</f>
        <v>2021</v>
      </c>
      <c r="D44" s="30" t="s">
        <v>160</v>
      </c>
      <c r="E44" s="30" t="s">
        <v>160</v>
      </c>
      <c r="F44" s="30" t="s">
        <v>160</v>
      </c>
      <c r="G44" s="51">
        <v>-1192893.77</v>
      </c>
      <c r="H44" s="30" t="s">
        <v>160</v>
      </c>
      <c r="I44" s="30" t="s">
        <v>160</v>
      </c>
      <c r="J44" s="51">
        <v>-99434.57</v>
      </c>
      <c r="K44" s="22">
        <f>ROUND((G44+J44),2)</f>
        <v>-1292328.3400000001</v>
      </c>
      <c r="L44" s="8">
        <f t="shared" ref="L44:L68" si="4">A44</f>
        <v>201</v>
      </c>
    </row>
    <row r="45" spans="1:12">
      <c r="A45" s="8">
        <f>A44+1</f>
        <v>202</v>
      </c>
      <c r="B45" t="s">
        <v>112</v>
      </c>
      <c r="C45" s="30">
        <f>'1-BaseTRR'!$F$2</f>
        <v>2022</v>
      </c>
      <c r="D45" s="22">
        <f ca="1">IF($D$102="No",$B$36*D108,IF(F108="No",0,IF(F108="Yes",D108*$B$36,0)))</f>
        <v>206986285.34147939</v>
      </c>
      <c r="E45" s="22">
        <f t="shared" ref="E45:E56" si="5">IF($D$102="No",C13,IF(F108="No",0,IF(F108="Yes",C13,0)))</f>
        <v>187677228</v>
      </c>
      <c r="F45" s="22">
        <f t="shared" ref="F45:F56" ca="1" si="6">D45-E45</f>
        <v>19309057.341479391</v>
      </c>
      <c r="G45" s="22">
        <f ca="1">F45+G44</f>
        <v>18116163.571479391</v>
      </c>
      <c r="H45" s="662">
        <v>2.7000000000000001E-3</v>
      </c>
      <c r="I45" s="22">
        <f ca="1">ROUND((F45/2+K44)*H45,2)</f>
        <v>22577.94</v>
      </c>
      <c r="J45" s="22">
        <f ca="1">I45+J44</f>
        <v>-76856.63</v>
      </c>
      <c r="K45" s="22">
        <f t="shared" ref="K45:K68" ca="1" si="7">ROUND((G45+J45),2)</f>
        <v>18039306.940000001</v>
      </c>
      <c r="L45" s="8">
        <f t="shared" si="4"/>
        <v>202</v>
      </c>
    </row>
    <row r="46" spans="1:12">
      <c r="A46" s="8">
        <f t="shared" ref="A46:A68" si="8">A45+1</f>
        <v>203</v>
      </c>
      <c r="B46" t="s">
        <v>113</v>
      </c>
      <c r="C46" s="30">
        <f>'1-BaseTRR'!$F$2</f>
        <v>2022</v>
      </c>
      <c r="D46" s="22">
        <f t="shared" ref="D46:D56" ca="1" si="9">IF($D$102="No",$B$36*D109,IF(F109="No",0,IF(F109="Yes",D109*$B$36,0)))</f>
        <v>188943207.28318894</v>
      </c>
      <c r="E46" s="22">
        <f t="shared" si="5"/>
        <v>196603584</v>
      </c>
      <c r="F46" s="22">
        <f t="shared" ca="1" si="6"/>
        <v>-7660376.7168110609</v>
      </c>
      <c r="G46" s="22">
        <f t="shared" ref="G46:G68" ca="1" si="10">F46+G45</f>
        <v>10455786.85466833</v>
      </c>
      <c r="H46" s="662">
        <v>2.7000000000000001E-3</v>
      </c>
      <c r="I46" s="22">
        <f t="shared" ref="I46:I68" ca="1" si="11">ROUND((F46/2+K45)*H46,2)</f>
        <v>38364.620000000003</v>
      </c>
      <c r="J46" s="22">
        <f ca="1">I46+J45</f>
        <v>-38492.01</v>
      </c>
      <c r="K46" s="22">
        <f t="shared" ca="1" si="7"/>
        <v>10417294.84</v>
      </c>
      <c r="L46" s="8">
        <f t="shared" si="4"/>
        <v>203</v>
      </c>
    </row>
    <row r="47" spans="1:12">
      <c r="A47" s="8">
        <f t="shared" si="8"/>
        <v>204</v>
      </c>
      <c r="B47" t="s">
        <v>114</v>
      </c>
      <c r="C47" s="30">
        <f>'1-BaseTRR'!$F$2</f>
        <v>2022</v>
      </c>
      <c r="D47" s="22">
        <f t="shared" ca="1" si="9"/>
        <v>202880546.03418162</v>
      </c>
      <c r="E47" s="22">
        <f t="shared" si="5"/>
        <v>230588030</v>
      </c>
      <c r="F47" s="22">
        <f t="shared" ca="1" si="6"/>
        <v>-27707483.965818375</v>
      </c>
      <c r="G47" s="22">
        <f t="shared" ca="1" si="10"/>
        <v>-17251697.111150045</v>
      </c>
      <c r="H47" s="662">
        <v>2.7000000000000001E-3</v>
      </c>
      <c r="I47" s="22">
        <f t="shared" ca="1" si="11"/>
        <v>-9278.41</v>
      </c>
      <c r="J47" s="22">
        <f ca="1">I47+J46</f>
        <v>-47770.42</v>
      </c>
      <c r="K47" s="22">
        <f t="shared" ca="1" si="7"/>
        <v>-17299467.530000001</v>
      </c>
      <c r="L47" s="8">
        <f t="shared" si="4"/>
        <v>204</v>
      </c>
    </row>
    <row r="48" spans="1:12">
      <c r="A48" s="8">
        <f t="shared" si="8"/>
        <v>205</v>
      </c>
      <c r="B48" t="s">
        <v>115</v>
      </c>
      <c r="C48" s="30">
        <f>'1-BaseTRR'!$F$2</f>
        <v>2022</v>
      </c>
      <c r="D48" s="22">
        <f t="shared" ca="1" si="9"/>
        <v>197825014.12200901</v>
      </c>
      <c r="E48" s="22">
        <f t="shared" si="5"/>
        <v>210003286</v>
      </c>
      <c r="F48" s="22">
        <f t="shared" ca="1" si="6"/>
        <v>-12178271.877990991</v>
      </c>
      <c r="G48" s="22">
        <f t="shared" ca="1" si="10"/>
        <v>-29429968.989141036</v>
      </c>
      <c r="H48" s="662">
        <v>2.7000000000000001E-3</v>
      </c>
      <c r="I48" s="22">
        <f t="shared" ca="1" si="11"/>
        <v>-63149.23</v>
      </c>
      <c r="J48" s="22">
        <f t="shared" ref="J48:J68" ca="1" si="12">I48+J47</f>
        <v>-110919.65</v>
      </c>
      <c r="K48" s="22">
        <f t="shared" ca="1" si="7"/>
        <v>-29540888.640000001</v>
      </c>
      <c r="L48" s="8">
        <f t="shared" si="4"/>
        <v>205</v>
      </c>
    </row>
    <row r="49" spans="1:12">
      <c r="A49" s="8">
        <f t="shared" si="8"/>
        <v>206</v>
      </c>
      <c r="B49" t="s">
        <v>89</v>
      </c>
      <c r="C49" s="30">
        <f>'1-BaseTRR'!$F$2</f>
        <v>2022</v>
      </c>
      <c r="D49" s="22">
        <f t="shared" ca="1" si="9"/>
        <v>223187275.09920138</v>
      </c>
      <c r="E49" s="22">
        <f t="shared" si="5"/>
        <v>220759806</v>
      </c>
      <c r="F49" s="22">
        <f t="shared" ca="1" si="6"/>
        <v>2427469.0992013812</v>
      </c>
      <c r="G49" s="22">
        <f t="shared" ca="1" si="10"/>
        <v>-27002499.889939655</v>
      </c>
      <c r="H49" s="662">
        <v>2.7000000000000001E-3</v>
      </c>
      <c r="I49" s="22">
        <f t="shared" ca="1" si="11"/>
        <v>-76483.320000000007</v>
      </c>
      <c r="J49" s="22">
        <f t="shared" ca="1" si="12"/>
        <v>-187402.97</v>
      </c>
      <c r="K49" s="22">
        <f t="shared" ca="1" si="7"/>
        <v>-27189902.859999999</v>
      </c>
      <c r="L49" s="8">
        <f t="shared" si="4"/>
        <v>206</v>
      </c>
    </row>
    <row r="50" spans="1:12">
      <c r="A50" s="8">
        <f t="shared" si="8"/>
        <v>207</v>
      </c>
      <c r="B50" t="s">
        <v>116</v>
      </c>
      <c r="C50" s="30">
        <f>'1-BaseTRR'!$F$2</f>
        <v>2022</v>
      </c>
      <c r="D50" s="22">
        <f t="shared" ca="1" si="9"/>
        <v>251338202.22563297</v>
      </c>
      <c r="E50" s="22">
        <f t="shared" si="5"/>
        <v>254091681</v>
      </c>
      <c r="F50" s="22">
        <f t="shared" ca="1" si="6"/>
        <v>-2753478.7743670344</v>
      </c>
      <c r="G50" s="22">
        <f t="shared" ca="1" si="10"/>
        <v>-29755978.664306689</v>
      </c>
      <c r="H50" s="662">
        <v>2.7000000000000001E-3</v>
      </c>
      <c r="I50" s="22">
        <f t="shared" ca="1" si="11"/>
        <v>-77129.929999999993</v>
      </c>
      <c r="J50" s="22">
        <f t="shared" ca="1" si="12"/>
        <v>-264532.90000000002</v>
      </c>
      <c r="K50" s="22">
        <f t="shared" ca="1" si="7"/>
        <v>-30020511.559999999</v>
      </c>
      <c r="L50" s="8">
        <f t="shared" si="4"/>
        <v>207</v>
      </c>
    </row>
    <row r="51" spans="1:12">
      <c r="A51" s="8">
        <f t="shared" si="8"/>
        <v>208</v>
      </c>
      <c r="B51" t="s">
        <v>117</v>
      </c>
      <c r="C51" s="30">
        <f>'1-BaseTRR'!$F$2</f>
        <v>2022</v>
      </c>
      <c r="D51" s="22">
        <f t="shared" ca="1" si="9"/>
        <v>268352674.32301944</v>
      </c>
      <c r="E51" s="22">
        <f t="shared" si="5"/>
        <v>268565476</v>
      </c>
      <c r="F51" s="22">
        <f t="shared" ca="1" si="6"/>
        <v>-212801.67698055506</v>
      </c>
      <c r="G51" s="22">
        <f t="shared" ca="1" si="10"/>
        <v>-29968780.341287244</v>
      </c>
      <c r="H51" s="662">
        <v>2.9999999999999996E-3</v>
      </c>
      <c r="I51" s="22">
        <f t="shared" ca="1" si="11"/>
        <v>-90380.74</v>
      </c>
      <c r="J51" s="22">
        <f t="shared" ca="1" si="12"/>
        <v>-354913.64</v>
      </c>
      <c r="K51" s="22">
        <f t="shared" ca="1" si="7"/>
        <v>-30323693.98</v>
      </c>
      <c r="L51" s="8">
        <f t="shared" si="4"/>
        <v>208</v>
      </c>
    </row>
    <row r="52" spans="1:12">
      <c r="A52" s="8">
        <f t="shared" si="8"/>
        <v>209</v>
      </c>
      <c r="B52" t="s">
        <v>118</v>
      </c>
      <c r="C52" s="30">
        <f>'1-BaseTRR'!$F$2</f>
        <v>2022</v>
      </c>
      <c r="D52" s="22">
        <f t="shared" ca="1" si="9"/>
        <v>277871339.40911561</v>
      </c>
      <c r="E52" s="22">
        <f t="shared" si="5"/>
        <v>294359137</v>
      </c>
      <c r="F52" s="22">
        <f t="shared" ca="1" si="6"/>
        <v>-16487797.590884387</v>
      </c>
      <c r="G52" s="22">
        <f t="shared" ca="1" si="10"/>
        <v>-46456577.932171628</v>
      </c>
      <c r="H52" s="662">
        <v>2.9999999999999996E-3</v>
      </c>
      <c r="I52" s="22">
        <f t="shared" ca="1" si="11"/>
        <v>-115702.78</v>
      </c>
      <c r="J52" s="22">
        <f t="shared" ca="1" si="12"/>
        <v>-470616.42000000004</v>
      </c>
      <c r="K52" s="22">
        <f t="shared" ca="1" si="7"/>
        <v>-46927194.350000001</v>
      </c>
      <c r="L52" s="8">
        <f t="shared" si="4"/>
        <v>209</v>
      </c>
    </row>
    <row r="53" spans="1:12">
      <c r="A53" s="8">
        <f t="shared" si="8"/>
        <v>210</v>
      </c>
      <c r="B53" t="s">
        <v>119</v>
      </c>
      <c r="C53" s="30">
        <f>'1-BaseTRR'!$F$2</f>
        <v>2022</v>
      </c>
      <c r="D53" s="22">
        <f t="shared" ca="1" si="9"/>
        <v>252183916.5430373</v>
      </c>
      <c r="E53" s="22">
        <f t="shared" si="5"/>
        <v>282833234</v>
      </c>
      <c r="F53" s="22">
        <f t="shared" ca="1" si="6"/>
        <v>-30649317.456962705</v>
      </c>
      <c r="G53" s="22">
        <f t="shared" ca="1" si="10"/>
        <v>-77105895.389134333</v>
      </c>
      <c r="H53" s="662">
        <v>2.9999999999999996E-3</v>
      </c>
      <c r="I53" s="22">
        <f t="shared" ca="1" si="11"/>
        <v>-186755.56</v>
      </c>
      <c r="J53" s="22">
        <f t="shared" ca="1" si="12"/>
        <v>-657371.98</v>
      </c>
      <c r="K53" s="22">
        <f t="shared" ca="1" si="7"/>
        <v>-77763267.370000005</v>
      </c>
      <c r="L53" s="8">
        <f t="shared" si="4"/>
        <v>210</v>
      </c>
    </row>
    <row r="54" spans="1:12">
      <c r="A54" s="8">
        <f t="shared" si="8"/>
        <v>211</v>
      </c>
      <c r="B54" t="s">
        <v>120</v>
      </c>
      <c r="C54" s="30">
        <f>'1-BaseTRR'!$F$2</f>
        <v>2022</v>
      </c>
      <c r="D54" s="22">
        <f t="shared" ca="1" si="9"/>
        <v>216608570.49892819</v>
      </c>
      <c r="E54" s="22">
        <f t="shared" si="5"/>
        <v>240513369</v>
      </c>
      <c r="F54" s="22">
        <f t="shared" ca="1" si="6"/>
        <v>-23904798.501071811</v>
      </c>
      <c r="G54" s="22">
        <f t="shared" ca="1" si="10"/>
        <v>-101010693.89020614</v>
      </c>
      <c r="H54" s="662">
        <v>4.1000000000000003E-3</v>
      </c>
      <c r="I54" s="22">
        <f t="shared" ca="1" si="11"/>
        <v>-367834.23</v>
      </c>
      <c r="J54" s="22">
        <f t="shared" ca="1" si="12"/>
        <v>-1025206.21</v>
      </c>
      <c r="K54" s="22">
        <f t="shared" ca="1" si="7"/>
        <v>-102035900.09999999</v>
      </c>
      <c r="L54" s="8">
        <f t="shared" si="4"/>
        <v>211</v>
      </c>
    </row>
    <row r="55" spans="1:12">
      <c r="A55" s="8">
        <f t="shared" si="8"/>
        <v>212</v>
      </c>
      <c r="B55" t="s">
        <v>121</v>
      </c>
      <c r="C55" s="30">
        <f>'1-BaseTRR'!$F$2</f>
        <v>2022</v>
      </c>
      <c r="D55" s="22">
        <f t="shared" ca="1" si="9"/>
        <v>199753050.56016782</v>
      </c>
      <c r="E55" s="22">
        <f t="shared" si="5"/>
        <v>210759065</v>
      </c>
      <c r="F55" s="22">
        <f t="shared" ca="1" si="6"/>
        <v>-11006014.439832181</v>
      </c>
      <c r="G55" s="22">
        <f t="shared" ca="1" si="10"/>
        <v>-112016708.33003832</v>
      </c>
      <c r="H55" s="662">
        <v>4.1000000000000003E-3</v>
      </c>
      <c r="I55" s="22">
        <f t="shared" ca="1" si="11"/>
        <v>-440909.52</v>
      </c>
      <c r="J55" s="22">
        <f t="shared" ca="1" si="12"/>
        <v>-1466115.73</v>
      </c>
      <c r="K55" s="22">
        <f t="shared" ca="1" si="7"/>
        <v>-113482824.06</v>
      </c>
      <c r="L55" s="8">
        <f t="shared" si="4"/>
        <v>212</v>
      </c>
    </row>
    <row r="56" spans="1:12">
      <c r="A56" s="8">
        <f t="shared" si="8"/>
        <v>213</v>
      </c>
      <c r="B56" t="s">
        <v>111</v>
      </c>
      <c r="C56" s="30">
        <f>'1-BaseTRR'!$F$2</f>
        <v>2022</v>
      </c>
      <c r="D56" s="22">
        <f t="shared" ca="1" si="9"/>
        <v>216734968.57130271</v>
      </c>
      <c r="E56" s="22">
        <f t="shared" si="5"/>
        <v>234410586</v>
      </c>
      <c r="F56" s="22">
        <f t="shared" ca="1" si="6"/>
        <v>-17675617.428697288</v>
      </c>
      <c r="G56" s="22">
        <f t="shared" ca="1" si="10"/>
        <v>-129692325.75873561</v>
      </c>
      <c r="H56" s="662">
        <v>4.1000000000000003E-3</v>
      </c>
      <c r="I56" s="22">
        <f t="shared" ca="1" si="11"/>
        <v>-501514.59</v>
      </c>
      <c r="J56" s="22">
        <f t="shared" ca="1" si="12"/>
        <v>-1967630.32</v>
      </c>
      <c r="K56" s="22">
        <f t="shared" ca="1" si="7"/>
        <v>-131659956.08</v>
      </c>
      <c r="L56" s="8">
        <f t="shared" si="4"/>
        <v>213</v>
      </c>
    </row>
    <row r="57" spans="1:12">
      <c r="A57" s="8">
        <f t="shared" si="8"/>
        <v>214</v>
      </c>
      <c r="B57" t="s">
        <v>112</v>
      </c>
      <c r="C57" s="30">
        <f>C56+1</f>
        <v>2023</v>
      </c>
      <c r="D57" s="30" t="s">
        <v>160</v>
      </c>
      <c r="E57" s="30" t="s">
        <v>160</v>
      </c>
      <c r="F57" s="20">
        <v>0</v>
      </c>
      <c r="G57" s="22">
        <f ca="1">F57+G56</f>
        <v>-129692325.75873561</v>
      </c>
      <c r="H57" s="663">
        <v>5.3E-3</v>
      </c>
      <c r="I57" s="22">
        <f t="shared" ca="1" si="11"/>
        <v>-697797.77</v>
      </c>
      <c r="J57" s="22">
        <f t="shared" ca="1" si="12"/>
        <v>-2665428.09</v>
      </c>
      <c r="K57" s="22">
        <f t="shared" ca="1" si="7"/>
        <v>-132357753.84999999</v>
      </c>
      <c r="L57" s="8">
        <f t="shared" si="4"/>
        <v>214</v>
      </c>
    </row>
    <row r="58" spans="1:12">
      <c r="A58" s="8">
        <f t="shared" si="8"/>
        <v>215</v>
      </c>
      <c r="B58" t="s">
        <v>113</v>
      </c>
      <c r="C58" s="30">
        <f>$C$57</f>
        <v>2023</v>
      </c>
      <c r="D58" s="30" t="s">
        <v>160</v>
      </c>
      <c r="E58" s="30" t="s">
        <v>160</v>
      </c>
      <c r="F58" s="20">
        <v>0</v>
      </c>
      <c r="G58" s="22">
        <f t="shared" ca="1" si="10"/>
        <v>-129692325.75873561</v>
      </c>
      <c r="H58" s="663">
        <v>5.3E-3</v>
      </c>
      <c r="I58" s="22">
        <f t="shared" ca="1" si="11"/>
        <v>-701496.1</v>
      </c>
      <c r="J58" s="22">
        <f t="shared" ca="1" si="12"/>
        <v>-3366924.19</v>
      </c>
      <c r="K58" s="22">
        <f t="shared" ca="1" si="7"/>
        <v>-133059249.95</v>
      </c>
      <c r="L58" s="8">
        <f t="shared" si="4"/>
        <v>215</v>
      </c>
    </row>
    <row r="59" spans="1:12">
      <c r="A59" s="8">
        <f t="shared" si="8"/>
        <v>216</v>
      </c>
      <c r="B59" t="s">
        <v>114</v>
      </c>
      <c r="C59" s="30">
        <f t="shared" ref="C59:C68" si="13">$C$57</f>
        <v>2023</v>
      </c>
      <c r="D59" s="30" t="s">
        <v>160</v>
      </c>
      <c r="E59" s="30" t="s">
        <v>160</v>
      </c>
      <c r="F59" s="20">
        <v>0</v>
      </c>
      <c r="G59" s="22">
        <f t="shared" ca="1" si="10"/>
        <v>-129692325.75873561</v>
      </c>
      <c r="H59" s="663">
        <v>5.3E-3</v>
      </c>
      <c r="I59" s="22">
        <f t="shared" ca="1" si="11"/>
        <v>-705214.02</v>
      </c>
      <c r="J59" s="22">
        <f t="shared" ca="1" si="12"/>
        <v>-4072138.21</v>
      </c>
      <c r="K59" s="22">
        <f t="shared" ca="1" si="7"/>
        <v>-133764463.97</v>
      </c>
      <c r="L59" s="8">
        <f t="shared" si="4"/>
        <v>216</v>
      </c>
    </row>
    <row r="60" spans="1:12">
      <c r="A60" s="8">
        <f t="shared" si="8"/>
        <v>217</v>
      </c>
      <c r="B60" t="s">
        <v>115</v>
      </c>
      <c r="C60" s="30">
        <f t="shared" si="13"/>
        <v>2023</v>
      </c>
      <c r="D60" s="30" t="s">
        <v>160</v>
      </c>
      <c r="E60" s="30" t="s">
        <v>160</v>
      </c>
      <c r="F60" s="20">
        <v>0</v>
      </c>
      <c r="G60" s="22">
        <f t="shared" ca="1" si="10"/>
        <v>-129692325.75873561</v>
      </c>
      <c r="H60" s="663">
        <v>6.3E-3</v>
      </c>
      <c r="I60" s="22">
        <f t="shared" ca="1" si="11"/>
        <v>-842716.12</v>
      </c>
      <c r="J60" s="22">
        <f t="shared" ca="1" si="12"/>
        <v>-4914854.33</v>
      </c>
      <c r="K60" s="22">
        <f t="shared" ca="1" si="7"/>
        <v>-134607180.09</v>
      </c>
      <c r="L60" s="8">
        <f t="shared" si="4"/>
        <v>217</v>
      </c>
    </row>
    <row r="61" spans="1:12">
      <c r="A61" s="8">
        <f t="shared" si="8"/>
        <v>218</v>
      </c>
      <c r="B61" t="s">
        <v>89</v>
      </c>
      <c r="C61" s="30">
        <f t="shared" si="13"/>
        <v>2023</v>
      </c>
      <c r="D61" s="30" t="s">
        <v>160</v>
      </c>
      <c r="E61" s="30" t="s">
        <v>160</v>
      </c>
      <c r="F61" s="20">
        <v>0</v>
      </c>
      <c r="G61" s="22">
        <f t="shared" ca="1" si="10"/>
        <v>-129692325.75873561</v>
      </c>
      <c r="H61" s="663">
        <v>6.3E-3</v>
      </c>
      <c r="I61" s="22">
        <f t="shared" ca="1" si="11"/>
        <v>-848025.23</v>
      </c>
      <c r="J61" s="22">
        <f t="shared" ca="1" si="12"/>
        <v>-5762879.5600000005</v>
      </c>
      <c r="K61" s="22">
        <f t="shared" ca="1" si="7"/>
        <v>-135455205.31999999</v>
      </c>
      <c r="L61" s="8">
        <f t="shared" si="4"/>
        <v>218</v>
      </c>
    </row>
    <row r="62" spans="1:12">
      <c r="A62" s="8">
        <f t="shared" si="8"/>
        <v>219</v>
      </c>
      <c r="B62" t="s">
        <v>116</v>
      </c>
      <c r="C62" s="30">
        <f t="shared" si="13"/>
        <v>2023</v>
      </c>
      <c r="D62" s="30" t="s">
        <v>160</v>
      </c>
      <c r="E62" s="30" t="s">
        <v>160</v>
      </c>
      <c r="F62" s="20">
        <v>0</v>
      </c>
      <c r="G62" s="22">
        <f t="shared" ca="1" si="10"/>
        <v>-129692325.75873561</v>
      </c>
      <c r="H62" s="663">
        <v>6.3E-3</v>
      </c>
      <c r="I62" s="22">
        <f t="shared" ca="1" si="11"/>
        <v>-853367.79</v>
      </c>
      <c r="J62" s="22">
        <f t="shared" ca="1" si="12"/>
        <v>-6616247.3500000006</v>
      </c>
      <c r="K62" s="22">
        <f t="shared" ca="1" si="7"/>
        <v>-136308573.11000001</v>
      </c>
      <c r="L62" s="8">
        <f t="shared" si="4"/>
        <v>219</v>
      </c>
    </row>
    <row r="63" spans="1:12">
      <c r="A63" s="8">
        <f t="shared" si="8"/>
        <v>220</v>
      </c>
      <c r="B63" t="s">
        <v>117</v>
      </c>
      <c r="C63" s="30">
        <f t="shared" si="13"/>
        <v>2023</v>
      </c>
      <c r="D63" s="30" t="s">
        <v>160</v>
      </c>
      <c r="E63" s="30" t="s">
        <v>160</v>
      </c>
      <c r="F63" s="20">
        <v>0</v>
      </c>
      <c r="G63" s="22">
        <f t="shared" ca="1" si="10"/>
        <v>-129692325.75873561</v>
      </c>
      <c r="H63" s="663">
        <v>6.7000000000000002E-3</v>
      </c>
      <c r="I63" s="22">
        <f t="shared" ca="1" si="11"/>
        <v>-913267.44</v>
      </c>
      <c r="J63" s="22">
        <f t="shared" ca="1" si="12"/>
        <v>-7529514.790000001</v>
      </c>
      <c r="K63" s="22">
        <f t="shared" ca="1" si="7"/>
        <v>-137221840.55000001</v>
      </c>
      <c r="L63" s="8">
        <f t="shared" si="4"/>
        <v>220</v>
      </c>
    </row>
    <row r="64" spans="1:12">
      <c r="A64" s="8">
        <f t="shared" si="8"/>
        <v>221</v>
      </c>
      <c r="B64" t="s">
        <v>118</v>
      </c>
      <c r="C64" s="30">
        <f t="shared" si="13"/>
        <v>2023</v>
      </c>
      <c r="D64" s="30" t="s">
        <v>160</v>
      </c>
      <c r="E64" s="30" t="s">
        <v>160</v>
      </c>
      <c r="F64" s="20">
        <v>0</v>
      </c>
      <c r="G64" s="22">
        <f t="shared" ca="1" si="10"/>
        <v>-129692325.75873561</v>
      </c>
      <c r="H64" s="663">
        <v>6.7000000000000002E-3</v>
      </c>
      <c r="I64" s="22">
        <f t="shared" ca="1" si="11"/>
        <v>-919386.33</v>
      </c>
      <c r="J64" s="22">
        <f t="shared" ca="1" si="12"/>
        <v>-8448901.120000001</v>
      </c>
      <c r="K64" s="22">
        <f t="shared" ca="1" si="7"/>
        <v>-138141226.88</v>
      </c>
      <c r="L64" s="8">
        <f t="shared" si="4"/>
        <v>221</v>
      </c>
    </row>
    <row r="65" spans="1:12">
      <c r="A65" s="8">
        <f t="shared" si="8"/>
        <v>222</v>
      </c>
      <c r="B65" t="s">
        <v>119</v>
      </c>
      <c r="C65" s="30">
        <f t="shared" si="13"/>
        <v>2023</v>
      </c>
      <c r="D65" s="30" t="s">
        <v>160</v>
      </c>
      <c r="E65" s="30" t="s">
        <v>160</v>
      </c>
      <c r="F65" s="20">
        <v>0</v>
      </c>
      <c r="G65" s="22">
        <f t="shared" ca="1" si="10"/>
        <v>-129692325.75873561</v>
      </c>
      <c r="H65" s="663">
        <v>6.7000000000000002E-3</v>
      </c>
      <c r="I65" s="22">
        <f t="shared" ca="1" si="11"/>
        <v>-925546.22</v>
      </c>
      <c r="J65" s="22">
        <f t="shared" ca="1" si="12"/>
        <v>-9374447.3400000017</v>
      </c>
      <c r="K65" s="22">
        <f t="shared" ca="1" si="7"/>
        <v>-139066773.09999999</v>
      </c>
      <c r="L65" s="8">
        <f t="shared" si="4"/>
        <v>222</v>
      </c>
    </row>
    <row r="66" spans="1:12">
      <c r="A66" s="8">
        <f t="shared" si="8"/>
        <v>223</v>
      </c>
      <c r="B66" t="s">
        <v>120</v>
      </c>
      <c r="C66" s="30">
        <f t="shared" si="13"/>
        <v>2023</v>
      </c>
      <c r="D66" s="30" t="s">
        <v>160</v>
      </c>
      <c r="E66" s="30" t="s">
        <v>160</v>
      </c>
      <c r="F66" s="20">
        <v>0</v>
      </c>
      <c r="G66" s="22">
        <f t="shared" ca="1" si="10"/>
        <v>-129692325.75873561</v>
      </c>
      <c r="H66" s="663">
        <v>7.0000000000000001E-3</v>
      </c>
      <c r="I66" s="22">
        <f t="shared" ca="1" si="11"/>
        <v>-973467.41</v>
      </c>
      <c r="J66" s="22">
        <f t="shared" ca="1" si="12"/>
        <v>-10347914.750000002</v>
      </c>
      <c r="K66" s="22">
        <f t="shared" ca="1" si="7"/>
        <v>-140040240.50999999</v>
      </c>
      <c r="L66" s="8">
        <f t="shared" si="4"/>
        <v>223</v>
      </c>
    </row>
    <row r="67" spans="1:12">
      <c r="A67" s="8">
        <f t="shared" si="8"/>
        <v>224</v>
      </c>
      <c r="B67" t="s">
        <v>121</v>
      </c>
      <c r="C67" s="30">
        <f t="shared" si="13"/>
        <v>2023</v>
      </c>
      <c r="D67" s="30" t="s">
        <v>160</v>
      </c>
      <c r="E67" s="30" t="s">
        <v>160</v>
      </c>
      <c r="F67" s="20">
        <v>0</v>
      </c>
      <c r="G67" s="22">
        <f t="shared" ca="1" si="10"/>
        <v>-129692325.75873561</v>
      </c>
      <c r="H67" s="663">
        <v>7.0000000000000001E-3</v>
      </c>
      <c r="I67" s="22">
        <f t="shared" ca="1" si="11"/>
        <v>-980281.68</v>
      </c>
      <c r="J67" s="22">
        <f t="shared" ca="1" si="12"/>
        <v>-11328196.430000002</v>
      </c>
      <c r="K67" s="22">
        <f t="shared" ca="1" si="7"/>
        <v>-141020522.19</v>
      </c>
      <c r="L67" s="8">
        <f t="shared" si="4"/>
        <v>224</v>
      </c>
    </row>
    <row r="68" spans="1:12">
      <c r="A68" s="8">
        <f t="shared" si="8"/>
        <v>225</v>
      </c>
      <c r="B68" t="s">
        <v>111</v>
      </c>
      <c r="C68" s="30">
        <f t="shared" si="13"/>
        <v>2023</v>
      </c>
      <c r="D68" s="30" t="s">
        <v>160</v>
      </c>
      <c r="E68" s="30" t="s">
        <v>160</v>
      </c>
      <c r="F68" s="20">
        <v>0</v>
      </c>
      <c r="G68" s="22">
        <f t="shared" ca="1" si="10"/>
        <v>-129692325.75873561</v>
      </c>
      <c r="H68" s="663">
        <v>7.0000000000000001E-3</v>
      </c>
      <c r="I68" s="22">
        <f t="shared" ca="1" si="11"/>
        <v>-987143.66</v>
      </c>
      <c r="J68" s="22">
        <f t="shared" ca="1" si="12"/>
        <v>-12315340.090000002</v>
      </c>
      <c r="K68" s="22">
        <f t="shared" ca="1" si="7"/>
        <v>-142007665.84999999</v>
      </c>
      <c r="L68" s="8">
        <f t="shared" si="4"/>
        <v>225</v>
      </c>
    </row>
    <row r="69" spans="1:12">
      <c r="A69" s="8"/>
      <c r="D69" s="40"/>
      <c r="E69" s="20"/>
      <c r="G69" s="20"/>
      <c r="I69" s="20"/>
      <c r="J69" s="20"/>
      <c r="K69" s="20"/>
    </row>
    <row r="70" spans="1:12">
      <c r="A70" s="8"/>
      <c r="B70" s="57" t="s">
        <v>228</v>
      </c>
      <c r="C70" s="54"/>
      <c r="D70" s="54"/>
      <c r="E70" s="54"/>
      <c r="F70" s="54"/>
      <c r="G70" s="54"/>
      <c r="H70" s="54"/>
      <c r="I70" s="54"/>
      <c r="J70" s="54"/>
      <c r="K70" s="54"/>
    </row>
    <row r="71" spans="1:12">
      <c r="A71" s="8"/>
      <c r="B71" s="11" t="s">
        <v>203</v>
      </c>
    </row>
    <row r="72" spans="1:12">
      <c r="A72" s="8"/>
      <c r="B72" s="812" t="str">
        <f>"1) Input the Total Amortization amount on Line "&amp;A91&amp;" that will set the December Month Ending Balance on Line "&amp;A90&amp;", "&amp;I74&amp;" equal to $0. (Hint: Use the Goal Seek Function to set the December Month Ending Balance in Col 7 to equal $0)"</f>
        <v>1) Input the Total Amortization amount on Line 312 that will set the December Month Ending Balance on Line 311, Col 7 equal to $0. (Hint: Use the Goal Seek Function to set the December Month Ending Balance in Col 7 to equal $0)</v>
      </c>
      <c r="C72" s="812"/>
      <c r="D72" s="812"/>
      <c r="E72" s="812"/>
      <c r="F72" s="812"/>
      <c r="G72" s="812"/>
      <c r="H72" s="812"/>
      <c r="I72" s="812"/>
      <c r="J72" s="812"/>
      <c r="K72" s="812"/>
    </row>
    <row r="73" spans="1:12">
      <c r="A73" s="8"/>
      <c r="B73" s="812"/>
      <c r="C73" s="812"/>
      <c r="D73" s="812"/>
      <c r="E73" s="812"/>
      <c r="F73" s="812"/>
      <c r="G73" s="812"/>
      <c r="H73" s="812"/>
      <c r="I73" s="812"/>
      <c r="J73" s="812"/>
      <c r="K73" s="812"/>
    </row>
    <row r="74" spans="1:12">
      <c r="C74" s="13" t="s">
        <v>98</v>
      </c>
      <c r="D74" s="13" t="s">
        <v>99</v>
      </c>
      <c r="E74" s="13" t="s">
        <v>100</v>
      </c>
      <c r="F74" s="13" t="s">
        <v>101</v>
      </c>
      <c r="G74" s="13" t="s">
        <v>102</v>
      </c>
      <c r="H74" s="13" t="s">
        <v>103</v>
      </c>
      <c r="I74" s="13" t="s">
        <v>104</v>
      </c>
    </row>
    <row r="75" spans="1:12">
      <c r="C75" s="30"/>
      <c r="D75" s="30" t="s">
        <v>218</v>
      </c>
      <c r="E75" s="30"/>
      <c r="F75" s="30" t="str">
        <f>""&amp;D74&amp;" + "&amp;E74&amp;""</f>
        <v>Col 2 + Col 3</v>
      </c>
      <c r="G75" s="30" t="s">
        <v>219</v>
      </c>
      <c r="H75" s="30" t="s">
        <v>220</v>
      </c>
      <c r="I75" s="30" t="str">
        <f>""&amp;F74&amp;" + "&amp;G74&amp;""</f>
        <v>Col 4 + Col 5</v>
      </c>
    </row>
    <row r="76" spans="1:12">
      <c r="B76" s="8"/>
      <c r="C76" s="8"/>
      <c r="D76" s="8" t="s">
        <v>81</v>
      </c>
      <c r="E76" s="64"/>
      <c r="F76" s="8" t="s">
        <v>81</v>
      </c>
      <c r="G76" s="8"/>
      <c r="H76" s="8"/>
      <c r="I76" s="8"/>
    </row>
    <row r="77" spans="1:12">
      <c r="B77" s="8"/>
      <c r="C77" s="8"/>
      <c r="D77" s="8" t="s">
        <v>204</v>
      </c>
      <c r="E77" s="64"/>
      <c r="F77" s="8" t="s">
        <v>206</v>
      </c>
      <c r="G77" s="8" t="s">
        <v>207</v>
      </c>
      <c r="H77" s="8" t="s">
        <v>107</v>
      </c>
      <c r="I77" s="8" t="s">
        <v>81</v>
      </c>
    </row>
    <row r="78" spans="1:12">
      <c r="A78" s="13" t="s">
        <v>122</v>
      </c>
      <c r="B78" s="13" t="s">
        <v>81</v>
      </c>
      <c r="C78" s="13" t="s">
        <v>109</v>
      </c>
      <c r="D78" s="13" t="s">
        <v>141</v>
      </c>
      <c r="E78" s="13" t="s">
        <v>205</v>
      </c>
      <c r="F78" s="13" t="s">
        <v>195</v>
      </c>
      <c r="G78" s="13" t="s">
        <v>208</v>
      </c>
      <c r="H78" s="13" t="s">
        <v>164</v>
      </c>
      <c r="I78" s="13" t="s">
        <v>206</v>
      </c>
      <c r="L78" s="13" t="str">
        <f t="shared" ref="L78:L91" si="14">A78</f>
        <v>Line</v>
      </c>
    </row>
    <row r="79" spans="1:12">
      <c r="A79" s="8">
        <v>300</v>
      </c>
      <c r="B79" t="s">
        <v>112</v>
      </c>
      <c r="C79" s="30">
        <f>'1-BaseTRR'!$F$1</f>
        <v>2024</v>
      </c>
      <c r="D79" s="22">
        <f ca="1">K68</f>
        <v>-142007665.84999999</v>
      </c>
      <c r="E79" s="22">
        <f t="shared" ref="E79:E90" si="15">$E$91/12</f>
        <v>12336126.615833333</v>
      </c>
      <c r="F79" s="22">
        <f ca="1">D79+E79</f>
        <v>-129671539.23416667</v>
      </c>
      <c r="G79" s="22">
        <f ca="1">ROUND(((D79+F79)/2)*H79,2)</f>
        <v>-950877.22</v>
      </c>
      <c r="H79" s="65">
        <f>$H$68</f>
        <v>7.0000000000000001E-3</v>
      </c>
      <c r="I79" s="22">
        <f ca="1">ROUND(G79+F79,2)</f>
        <v>-130622416.45</v>
      </c>
      <c r="L79" s="8">
        <f t="shared" si="14"/>
        <v>300</v>
      </c>
    </row>
    <row r="80" spans="1:12">
      <c r="A80" s="8">
        <f>A79+1</f>
        <v>301</v>
      </c>
      <c r="B80" t="s">
        <v>113</v>
      </c>
      <c r="C80" s="30">
        <f>'1-BaseTRR'!$F$1</f>
        <v>2024</v>
      </c>
      <c r="D80" s="22">
        <f ca="1">I79</f>
        <v>-130622416.45</v>
      </c>
      <c r="E80" s="22">
        <f t="shared" si="15"/>
        <v>12336126.615833333</v>
      </c>
      <c r="F80" s="22">
        <f t="shared" ref="F80:F90" ca="1" si="16">D80+E80</f>
        <v>-118286289.83416668</v>
      </c>
      <c r="G80" s="22">
        <f t="shared" ref="G80:G90" ca="1" si="17">ROUND(((D80+F80)/2)*H80,2)</f>
        <v>-871180.47</v>
      </c>
      <c r="H80" s="65">
        <f t="shared" ref="H80:H90" si="18">$H$68</f>
        <v>7.0000000000000001E-3</v>
      </c>
      <c r="I80" s="22">
        <f t="shared" ref="I80:I90" ca="1" si="19">ROUND(G80+F80,2)</f>
        <v>-119157470.3</v>
      </c>
      <c r="L80" s="8">
        <f t="shared" si="14"/>
        <v>301</v>
      </c>
    </row>
    <row r="81" spans="1:12">
      <c r="A81" s="8">
        <f t="shared" ref="A81:A91" si="20">A80+1</f>
        <v>302</v>
      </c>
      <c r="B81" t="s">
        <v>114</v>
      </c>
      <c r="C81" s="30">
        <f>'1-BaseTRR'!$F$1</f>
        <v>2024</v>
      </c>
      <c r="D81" s="22">
        <f t="shared" ref="D81:D90" ca="1" si="21">I80</f>
        <v>-119157470.3</v>
      </c>
      <c r="E81" s="22">
        <f t="shared" si="15"/>
        <v>12336126.615833333</v>
      </c>
      <c r="F81" s="22">
        <f t="shared" ca="1" si="16"/>
        <v>-106821343.68416667</v>
      </c>
      <c r="G81" s="22">
        <f t="shared" ca="1" si="17"/>
        <v>-790925.85</v>
      </c>
      <c r="H81" s="65">
        <f t="shared" si="18"/>
        <v>7.0000000000000001E-3</v>
      </c>
      <c r="I81" s="22">
        <f t="shared" ca="1" si="19"/>
        <v>-107612269.53</v>
      </c>
      <c r="L81" s="8">
        <f t="shared" si="14"/>
        <v>302</v>
      </c>
    </row>
    <row r="82" spans="1:12">
      <c r="A82" s="8">
        <f t="shared" si="20"/>
        <v>303</v>
      </c>
      <c r="B82" t="s">
        <v>115</v>
      </c>
      <c r="C82" s="30">
        <f>'1-BaseTRR'!$F$1</f>
        <v>2024</v>
      </c>
      <c r="D82" s="22">
        <f t="shared" ca="1" si="21"/>
        <v>-107612269.53</v>
      </c>
      <c r="E82" s="22">
        <f t="shared" si="15"/>
        <v>12336126.615833333</v>
      </c>
      <c r="F82" s="22">
        <f t="shared" ca="1" si="16"/>
        <v>-95276142.914166674</v>
      </c>
      <c r="G82" s="22">
        <f t="shared" ca="1" si="17"/>
        <v>-710109.44</v>
      </c>
      <c r="H82" s="65">
        <f t="shared" si="18"/>
        <v>7.0000000000000001E-3</v>
      </c>
      <c r="I82" s="22">
        <f t="shared" ca="1" si="19"/>
        <v>-95986252.349999994</v>
      </c>
      <c r="L82" s="8">
        <f t="shared" si="14"/>
        <v>303</v>
      </c>
    </row>
    <row r="83" spans="1:12">
      <c r="A83" s="8">
        <f t="shared" si="20"/>
        <v>304</v>
      </c>
      <c r="B83" t="s">
        <v>89</v>
      </c>
      <c r="C83" s="30">
        <f>'1-BaseTRR'!$F$1</f>
        <v>2024</v>
      </c>
      <c r="D83" s="22">
        <f t="shared" ca="1" si="21"/>
        <v>-95986252.349999994</v>
      </c>
      <c r="E83" s="22">
        <f t="shared" si="15"/>
        <v>12336126.615833333</v>
      </c>
      <c r="F83" s="22">
        <f t="shared" ca="1" si="16"/>
        <v>-83650125.734166667</v>
      </c>
      <c r="G83" s="22">
        <f t="shared" ca="1" si="17"/>
        <v>-628727.31999999995</v>
      </c>
      <c r="H83" s="65">
        <f t="shared" si="18"/>
        <v>7.0000000000000001E-3</v>
      </c>
      <c r="I83" s="22">
        <f t="shared" ca="1" si="19"/>
        <v>-84278853.049999997</v>
      </c>
      <c r="L83" s="8">
        <f t="shared" si="14"/>
        <v>304</v>
      </c>
    </row>
    <row r="84" spans="1:12">
      <c r="A84" s="8">
        <f t="shared" si="20"/>
        <v>305</v>
      </c>
      <c r="B84" t="s">
        <v>116</v>
      </c>
      <c r="C84" s="30">
        <f>'1-BaseTRR'!$F$1</f>
        <v>2024</v>
      </c>
      <c r="D84" s="22">
        <f t="shared" ca="1" si="21"/>
        <v>-84278853.049999997</v>
      </c>
      <c r="E84" s="22">
        <f t="shared" si="15"/>
        <v>12336126.615833333</v>
      </c>
      <c r="F84" s="22">
        <f t="shared" ca="1" si="16"/>
        <v>-71942726.43416667</v>
      </c>
      <c r="G84" s="22">
        <f t="shared" ca="1" si="17"/>
        <v>-546775.53</v>
      </c>
      <c r="H84" s="65">
        <f t="shared" si="18"/>
        <v>7.0000000000000001E-3</v>
      </c>
      <c r="I84" s="22">
        <f t="shared" ca="1" si="19"/>
        <v>-72489501.959999993</v>
      </c>
      <c r="L84" s="8">
        <f t="shared" si="14"/>
        <v>305</v>
      </c>
    </row>
    <row r="85" spans="1:12">
      <c r="A85" s="8">
        <f t="shared" si="20"/>
        <v>306</v>
      </c>
      <c r="B85" t="s">
        <v>117</v>
      </c>
      <c r="C85" s="30">
        <f>'1-BaseTRR'!$F$1</f>
        <v>2024</v>
      </c>
      <c r="D85" s="22">
        <f t="shared" ca="1" si="21"/>
        <v>-72489501.959999993</v>
      </c>
      <c r="E85" s="22">
        <f t="shared" si="15"/>
        <v>12336126.615833333</v>
      </c>
      <c r="F85" s="22">
        <f t="shared" ca="1" si="16"/>
        <v>-60153375.344166659</v>
      </c>
      <c r="G85" s="22">
        <f t="shared" ca="1" si="17"/>
        <v>-464250.07</v>
      </c>
      <c r="H85" s="65">
        <f t="shared" si="18"/>
        <v>7.0000000000000001E-3</v>
      </c>
      <c r="I85" s="22">
        <f t="shared" ca="1" si="19"/>
        <v>-60617625.409999996</v>
      </c>
      <c r="L85" s="8">
        <f t="shared" si="14"/>
        <v>306</v>
      </c>
    </row>
    <row r="86" spans="1:12">
      <c r="A86" s="8">
        <f t="shared" si="20"/>
        <v>307</v>
      </c>
      <c r="B86" t="s">
        <v>118</v>
      </c>
      <c r="C86" s="30">
        <f>'1-BaseTRR'!$F$1</f>
        <v>2024</v>
      </c>
      <c r="D86" s="22">
        <f t="shared" ca="1" si="21"/>
        <v>-60617625.409999996</v>
      </c>
      <c r="E86" s="22">
        <f t="shared" si="15"/>
        <v>12336126.615833333</v>
      </c>
      <c r="F86" s="22">
        <f t="shared" ca="1" si="16"/>
        <v>-48281498.794166662</v>
      </c>
      <c r="G86" s="22">
        <f t="shared" ca="1" si="17"/>
        <v>-381146.93</v>
      </c>
      <c r="H86" s="65">
        <f t="shared" si="18"/>
        <v>7.0000000000000001E-3</v>
      </c>
      <c r="I86" s="22">
        <f t="shared" ca="1" si="19"/>
        <v>-48662645.719999999</v>
      </c>
      <c r="L86" s="8">
        <f t="shared" si="14"/>
        <v>307</v>
      </c>
    </row>
    <row r="87" spans="1:12">
      <c r="A87" s="8">
        <f t="shared" si="20"/>
        <v>308</v>
      </c>
      <c r="B87" t="s">
        <v>119</v>
      </c>
      <c r="C87" s="30">
        <f>'1-BaseTRR'!$F$1</f>
        <v>2024</v>
      </c>
      <c r="D87" s="22">
        <f t="shared" ca="1" si="21"/>
        <v>-48662645.719999999</v>
      </c>
      <c r="E87" s="22">
        <f t="shared" si="15"/>
        <v>12336126.615833333</v>
      </c>
      <c r="F87" s="22">
        <f t="shared" ca="1" si="16"/>
        <v>-36326519.104166664</v>
      </c>
      <c r="G87" s="22">
        <f t="shared" ca="1" si="17"/>
        <v>-297462.08</v>
      </c>
      <c r="H87" s="65">
        <f t="shared" si="18"/>
        <v>7.0000000000000001E-3</v>
      </c>
      <c r="I87" s="22">
        <f t="shared" ca="1" si="19"/>
        <v>-36623981.18</v>
      </c>
      <c r="L87" s="8">
        <f t="shared" si="14"/>
        <v>308</v>
      </c>
    </row>
    <row r="88" spans="1:12">
      <c r="A88" s="8">
        <f t="shared" si="20"/>
        <v>309</v>
      </c>
      <c r="B88" t="s">
        <v>120</v>
      </c>
      <c r="C88" s="30">
        <f>'1-BaseTRR'!$F$1</f>
        <v>2024</v>
      </c>
      <c r="D88" s="22">
        <f t="shared" ca="1" si="21"/>
        <v>-36623981.18</v>
      </c>
      <c r="E88" s="22">
        <f t="shared" si="15"/>
        <v>12336126.615833333</v>
      </c>
      <c r="F88" s="22">
        <f t="shared" ca="1" si="16"/>
        <v>-24287854.564166665</v>
      </c>
      <c r="G88" s="22">
        <f t="shared" ca="1" si="17"/>
        <v>-213191.43</v>
      </c>
      <c r="H88" s="65">
        <f t="shared" si="18"/>
        <v>7.0000000000000001E-3</v>
      </c>
      <c r="I88" s="22">
        <f t="shared" ca="1" si="19"/>
        <v>-24501045.989999998</v>
      </c>
      <c r="L88" s="8">
        <f t="shared" si="14"/>
        <v>309</v>
      </c>
    </row>
    <row r="89" spans="1:12">
      <c r="A89" s="8">
        <f t="shared" si="20"/>
        <v>310</v>
      </c>
      <c r="B89" t="s">
        <v>121</v>
      </c>
      <c r="C89" s="30">
        <f>'1-BaseTRR'!$F$1</f>
        <v>2024</v>
      </c>
      <c r="D89" s="22">
        <f t="shared" ca="1" si="21"/>
        <v>-24501045.989999998</v>
      </c>
      <c r="E89" s="22">
        <f t="shared" si="15"/>
        <v>12336126.615833333</v>
      </c>
      <c r="F89" s="22">
        <f t="shared" ca="1" si="16"/>
        <v>-12164919.374166666</v>
      </c>
      <c r="G89" s="22">
        <f t="shared" ca="1" si="17"/>
        <v>-128330.88</v>
      </c>
      <c r="H89" s="65">
        <f t="shared" si="18"/>
        <v>7.0000000000000001E-3</v>
      </c>
      <c r="I89" s="22">
        <f t="shared" ca="1" si="19"/>
        <v>-12293250.25</v>
      </c>
      <c r="L89" s="8">
        <f t="shared" si="14"/>
        <v>310</v>
      </c>
    </row>
    <row r="90" spans="1:12">
      <c r="A90" s="8">
        <f t="shared" si="20"/>
        <v>311</v>
      </c>
      <c r="B90" t="s">
        <v>111</v>
      </c>
      <c r="C90" s="30">
        <f>'1-BaseTRR'!$F$1</f>
        <v>2024</v>
      </c>
      <c r="D90" s="22">
        <f t="shared" ca="1" si="21"/>
        <v>-12293250.25</v>
      </c>
      <c r="E90" s="22">
        <f t="shared" si="15"/>
        <v>12336126.615833333</v>
      </c>
      <c r="F90" s="22">
        <f t="shared" ca="1" si="16"/>
        <v>42876.365833332762</v>
      </c>
      <c r="G90" s="22">
        <f t="shared" ca="1" si="17"/>
        <v>-42876.31</v>
      </c>
      <c r="H90" s="65">
        <f t="shared" si="18"/>
        <v>7.0000000000000001E-3</v>
      </c>
      <c r="I90" s="22">
        <f t="shared" ca="1" si="19"/>
        <v>0.06</v>
      </c>
      <c r="L90" s="8">
        <f t="shared" si="14"/>
        <v>311</v>
      </c>
    </row>
    <row r="91" spans="1:12">
      <c r="A91" s="8">
        <f t="shared" si="20"/>
        <v>312</v>
      </c>
      <c r="D91" s="15" t="s">
        <v>223</v>
      </c>
      <c r="E91" s="668">
        <v>148033519.38999999</v>
      </c>
      <c r="G91" s="37"/>
      <c r="H91" s="66"/>
      <c r="L91" s="8">
        <f t="shared" si="14"/>
        <v>312</v>
      </c>
    </row>
    <row r="92" spans="1:12">
      <c r="E92" s="33"/>
    </row>
    <row r="93" spans="1:12">
      <c r="B93" s="57" t="s">
        <v>229</v>
      </c>
      <c r="C93" s="54"/>
      <c r="D93" s="54"/>
      <c r="E93" s="54"/>
      <c r="F93" s="54"/>
      <c r="G93" s="54"/>
      <c r="H93" s="54"/>
      <c r="I93" s="54"/>
      <c r="J93" s="54"/>
      <c r="K93" s="54"/>
    </row>
    <row r="94" spans="1:12">
      <c r="A94" s="13" t="s">
        <v>122</v>
      </c>
      <c r="B94" s="13" t="s">
        <v>209</v>
      </c>
      <c r="C94" s="13" t="s">
        <v>54</v>
      </c>
      <c r="L94" s="13" t="str">
        <f>A94</f>
        <v>Line</v>
      </c>
    </row>
    <row r="95" spans="1:12">
      <c r="A95" s="8">
        <v>400</v>
      </c>
      <c r="B95" s="22">
        <f>-E91</f>
        <v>-148033519.38999999</v>
      </c>
      <c r="C95" t="str">
        <f>"Negative Line "&amp;A91&amp;", "&amp;E74&amp;""</f>
        <v>Negative Line 312, Col 3</v>
      </c>
      <c r="L95" s="8">
        <f t="shared" ref="L95" si="22">A95</f>
        <v>400</v>
      </c>
    </row>
    <row r="97" spans="1:12">
      <c r="A97" s="8"/>
      <c r="B97" s="57" t="s">
        <v>1425</v>
      </c>
      <c r="C97" s="54"/>
      <c r="D97" s="58"/>
      <c r="E97" s="59"/>
      <c r="F97" s="54"/>
      <c r="G97" s="59"/>
      <c r="H97" s="54"/>
      <c r="I97" s="59"/>
      <c r="J97" s="59"/>
      <c r="K97" s="59"/>
    </row>
    <row r="98" spans="1:12">
      <c r="A98" s="8"/>
      <c r="B98" s="11" t="s">
        <v>203</v>
      </c>
      <c r="D98" s="40"/>
      <c r="E98" s="20"/>
      <c r="G98" s="20"/>
      <c r="I98" s="20"/>
      <c r="J98" s="20"/>
      <c r="K98" s="20"/>
    </row>
    <row r="99" spans="1:12">
      <c r="A99" s="8"/>
      <c r="B99" s="813" t="str">
        <f>"1) On Line "&amp;$A$102&amp;", Input 'No' for a Full Year True-up, otherwise Input 'Yes' for a Partial Year True-up"</f>
        <v>1) On Line 500, Input 'No' for a Full Year True-up, otherwise Input 'Yes' for a Partial Year True-up</v>
      </c>
      <c r="C99" s="813"/>
      <c r="D99" s="813"/>
      <c r="E99" s="813"/>
      <c r="F99" s="813"/>
      <c r="G99" s="813"/>
      <c r="H99" s="813"/>
      <c r="I99" s="813"/>
      <c r="J99" s="813"/>
      <c r="K99" s="813"/>
    </row>
    <row r="100" spans="1:12">
      <c r="A100" s="8"/>
      <c r="B100" s="813" t="str">
        <f>"2) If Line "&amp;$A$102&amp;" is 'Yes', Input 'Yes' or 'No'  in "&amp;$F$104&amp;" for each month that the Formula Rate was in effect in the Prior Year and Input the True-up TRR Allocation Factors into "&amp;D104&amp;"."</f>
        <v>2) If Line 500 is 'Yes', Input 'Yes' or 'No'  in Col 4 for each month that the Formula Rate was in effect in the Prior Year and Input the True-up TRR Allocation Factors into Col 2.</v>
      </c>
      <c r="C100" s="813"/>
      <c r="D100" s="813"/>
      <c r="E100" s="813"/>
      <c r="F100" s="813"/>
      <c r="G100" s="813"/>
      <c r="H100" s="813"/>
      <c r="I100" s="813"/>
      <c r="J100" s="813"/>
      <c r="K100" s="813"/>
    </row>
    <row r="101" spans="1:12">
      <c r="A101" s="13" t="s">
        <v>122</v>
      </c>
      <c r="D101" s="40"/>
      <c r="E101" s="20"/>
      <c r="G101" s="20"/>
      <c r="I101" s="20"/>
      <c r="J101" s="20"/>
      <c r="K101" s="20"/>
      <c r="L101" s="13" t="str">
        <f>A101</f>
        <v>Line</v>
      </c>
    </row>
    <row r="102" spans="1:12">
      <c r="A102" s="8">
        <v>500</v>
      </c>
      <c r="B102" s="14" t="s">
        <v>213</v>
      </c>
      <c r="D102" s="55" t="s">
        <v>1884</v>
      </c>
      <c r="L102" s="8">
        <f>A102</f>
        <v>500</v>
      </c>
    </row>
    <row r="103" spans="1:12">
      <c r="A103" s="8"/>
      <c r="D103" s="40"/>
      <c r="E103" s="20"/>
      <c r="G103" s="20"/>
      <c r="I103" s="20"/>
      <c r="J103" s="20"/>
      <c r="K103" s="20"/>
    </row>
    <row r="104" spans="1:12">
      <c r="A104" s="8"/>
      <c r="C104" s="8" t="s">
        <v>98</v>
      </c>
      <c r="D104" s="8" t="s">
        <v>99</v>
      </c>
      <c r="E104" s="8" t="s">
        <v>100</v>
      </c>
      <c r="F104" s="8" t="s">
        <v>101</v>
      </c>
      <c r="I104" s="20"/>
      <c r="J104" s="20"/>
      <c r="K104" s="20"/>
    </row>
    <row r="105" spans="1:12">
      <c r="A105" s="8"/>
      <c r="C105" s="8"/>
      <c r="D105" s="30" t="s">
        <v>221</v>
      </c>
      <c r="E105" s="30" t="s">
        <v>1424</v>
      </c>
      <c r="F105" s="30"/>
      <c r="I105" s="20"/>
      <c r="J105" s="20"/>
      <c r="K105" s="20"/>
    </row>
    <row r="106" spans="1:12">
      <c r="A106" s="8"/>
      <c r="B106" s="12"/>
      <c r="C106" s="8"/>
      <c r="D106" s="60" t="s">
        <v>192</v>
      </c>
      <c r="E106" s="8" t="s">
        <v>1427</v>
      </c>
      <c r="F106" s="64" t="s">
        <v>212</v>
      </c>
      <c r="I106" s="20"/>
      <c r="J106" s="20"/>
      <c r="K106" s="20"/>
    </row>
    <row r="107" spans="1:12">
      <c r="B107" s="13" t="s">
        <v>81</v>
      </c>
      <c r="C107" s="13" t="s">
        <v>132</v>
      </c>
      <c r="D107" s="13" t="s">
        <v>143</v>
      </c>
      <c r="E107" s="316" t="s">
        <v>1426</v>
      </c>
      <c r="F107" s="61" t="s">
        <v>201</v>
      </c>
      <c r="H107" s="20"/>
      <c r="J107" s="20"/>
      <c r="K107" s="20"/>
    </row>
    <row r="108" spans="1:12">
      <c r="A108" s="8">
        <f>A102+1</f>
        <v>501</v>
      </c>
      <c r="B108" t="s">
        <v>112</v>
      </c>
      <c r="C108" s="30">
        <f t="shared" ref="C108:C119" si="23">C45</f>
        <v>2022</v>
      </c>
      <c r="D108" s="513">
        <f t="shared" ref="D108:D119" si="24">E108/$E$120</f>
        <v>7.6585992533783148E-2</v>
      </c>
      <c r="E108" s="566">
        <v>6791474.0275471397</v>
      </c>
      <c r="F108" s="62" t="s">
        <v>1886</v>
      </c>
      <c r="G108" s="796"/>
      <c r="H108" s="20"/>
      <c r="J108" s="20"/>
      <c r="K108" s="20"/>
      <c r="L108" s="8">
        <f t="shared" ref="L108:L119" si="25">A108</f>
        <v>501</v>
      </c>
    </row>
    <row r="109" spans="1:12">
      <c r="A109" s="8">
        <f>A108+1</f>
        <v>502</v>
      </c>
      <c r="B109" t="s">
        <v>113</v>
      </c>
      <c r="C109" s="30">
        <f t="shared" si="23"/>
        <v>2022</v>
      </c>
      <c r="D109" s="513">
        <f t="shared" si="24"/>
        <v>6.9909960645105254E-2</v>
      </c>
      <c r="E109" s="566">
        <v>6199458.4946932402</v>
      </c>
      <c r="F109" s="62" t="s">
        <v>1886</v>
      </c>
      <c r="G109" s="796"/>
      <c r="H109" s="20"/>
      <c r="J109" s="20"/>
      <c r="K109" s="20"/>
      <c r="L109" s="8">
        <f t="shared" si="25"/>
        <v>502</v>
      </c>
    </row>
    <row r="110" spans="1:12">
      <c r="A110" s="8">
        <f t="shared" ref="A110:A120" si="26">A109+1</f>
        <v>503</v>
      </c>
      <c r="B110" t="s">
        <v>114</v>
      </c>
      <c r="C110" s="30">
        <f t="shared" si="23"/>
        <v>2022</v>
      </c>
      <c r="D110" s="513">
        <f t="shared" si="24"/>
        <v>7.5066847826124813E-2</v>
      </c>
      <c r="E110" s="566">
        <v>6656759.6824716199</v>
      </c>
      <c r="F110" s="62" t="s">
        <v>1886</v>
      </c>
      <c r="G110" s="796"/>
      <c r="H110" s="20"/>
      <c r="J110" s="20"/>
      <c r="K110" s="20"/>
      <c r="L110" s="8">
        <f t="shared" si="25"/>
        <v>503</v>
      </c>
    </row>
    <row r="111" spans="1:12">
      <c r="A111" s="8">
        <f t="shared" si="26"/>
        <v>504</v>
      </c>
      <c r="B111" t="s">
        <v>115</v>
      </c>
      <c r="C111" s="30">
        <f t="shared" si="23"/>
        <v>2022</v>
      </c>
      <c r="D111" s="513">
        <f t="shared" si="24"/>
        <v>7.3196274958742841E-2</v>
      </c>
      <c r="E111" s="566">
        <v>6490881.4764817301</v>
      </c>
      <c r="F111" s="62" t="s">
        <v>1886</v>
      </c>
      <c r="G111" s="796"/>
      <c r="H111" s="20"/>
      <c r="J111" s="20"/>
      <c r="K111" s="20"/>
      <c r="L111" s="8">
        <f t="shared" si="25"/>
        <v>504</v>
      </c>
    </row>
    <row r="112" spans="1:12">
      <c r="A112" s="8">
        <f t="shared" si="26"/>
        <v>505</v>
      </c>
      <c r="B112" t="s">
        <v>89</v>
      </c>
      <c r="C112" s="30">
        <f t="shared" si="23"/>
        <v>2022</v>
      </c>
      <c r="D112" s="513">
        <f t="shared" si="24"/>
        <v>8.25804422557916E-2</v>
      </c>
      <c r="E112" s="566">
        <v>7323048.3827205002</v>
      </c>
      <c r="F112" s="62" t="s">
        <v>1886</v>
      </c>
      <c r="G112" s="796"/>
      <c r="H112" s="20"/>
      <c r="J112" s="20"/>
      <c r="K112" s="20"/>
      <c r="L112" s="8">
        <f t="shared" si="25"/>
        <v>505</v>
      </c>
    </row>
    <row r="113" spans="1:12">
      <c r="A113" s="8">
        <f t="shared" si="26"/>
        <v>506</v>
      </c>
      <c r="B113" t="s">
        <v>116</v>
      </c>
      <c r="C113" s="30">
        <f t="shared" si="23"/>
        <v>2022</v>
      </c>
      <c r="D113" s="513">
        <f t="shared" si="24"/>
        <v>9.2996430402866745E-2</v>
      </c>
      <c r="E113" s="566">
        <v>8246714.8474580999</v>
      </c>
      <c r="F113" s="62" t="s">
        <v>1886</v>
      </c>
      <c r="G113" s="796"/>
      <c r="H113" s="20"/>
      <c r="J113" s="20"/>
      <c r="K113" s="20"/>
      <c r="L113" s="8">
        <f t="shared" si="25"/>
        <v>506</v>
      </c>
    </row>
    <row r="114" spans="1:12">
      <c r="A114" s="8">
        <f t="shared" si="26"/>
        <v>507</v>
      </c>
      <c r="B114" t="s">
        <v>117</v>
      </c>
      <c r="C114" s="30">
        <f t="shared" si="23"/>
        <v>2022</v>
      </c>
      <c r="D114" s="513">
        <f t="shared" si="24"/>
        <v>9.9291872783829033E-2</v>
      </c>
      <c r="E114" s="566">
        <v>8804980.5564696398</v>
      </c>
      <c r="F114" s="62" t="s">
        <v>1886</v>
      </c>
      <c r="G114" s="796"/>
      <c r="H114" s="20"/>
      <c r="J114" s="20"/>
      <c r="K114" s="20"/>
      <c r="L114" s="8">
        <f t="shared" si="25"/>
        <v>507</v>
      </c>
    </row>
    <row r="115" spans="1:12">
      <c r="A115" s="8">
        <f t="shared" si="26"/>
        <v>508</v>
      </c>
      <c r="B115" t="s">
        <v>118</v>
      </c>
      <c r="C115" s="30">
        <f t="shared" si="23"/>
        <v>2022</v>
      </c>
      <c r="D115" s="513">
        <f t="shared" si="24"/>
        <v>0.10281382793178807</v>
      </c>
      <c r="E115" s="566">
        <v>9117299.6388788503</v>
      </c>
      <c r="F115" s="62" t="s">
        <v>1886</v>
      </c>
      <c r="G115" s="796"/>
      <c r="H115" s="20"/>
      <c r="J115" s="20"/>
      <c r="K115" s="20"/>
      <c r="L115" s="8">
        <f t="shared" si="25"/>
        <v>508</v>
      </c>
    </row>
    <row r="116" spans="1:12">
      <c r="A116" s="8">
        <f t="shared" si="26"/>
        <v>509</v>
      </c>
      <c r="B116" t="s">
        <v>119</v>
      </c>
      <c r="C116" s="30">
        <f t="shared" si="23"/>
        <v>2022</v>
      </c>
      <c r="D116" s="513">
        <f t="shared" si="24"/>
        <v>9.3309349059731317E-2</v>
      </c>
      <c r="E116" s="566">
        <v>8274463.7720397497</v>
      </c>
      <c r="F116" s="62" t="s">
        <v>1886</v>
      </c>
      <c r="G116" s="796"/>
      <c r="H116" s="20"/>
      <c r="J116" s="20"/>
      <c r="K116" s="20"/>
      <c r="L116" s="8">
        <f t="shared" si="25"/>
        <v>509</v>
      </c>
    </row>
    <row r="117" spans="1:12">
      <c r="A117" s="8">
        <f t="shared" si="26"/>
        <v>510</v>
      </c>
      <c r="B117" t="s">
        <v>120</v>
      </c>
      <c r="C117" s="30">
        <f t="shared" si="23"/>
        <v>2022</v>
      </c>
      <c r="D117" s="513">
        <f t="shared" si="24"/>
        <v>8.0146287642275674E-2</v>
      </c>
      <c r="E117" s="566">
        <v>7107193.0116559397</v>
      </c>
      <c r="F117" s="62" t="s">
        <v>1886</v>
      </c>
      <c r="G117" s="796"/>
      <c r="L117" s="8">
        <f t="shared" si="25"/>
        <v>510</v>
      </c>
    </row>
    <row r="118" spans="1:12">
      <c r="A118" s="8">
        <f t="shared" si="26"/>
        <v>511</v>
      </c>
      <c r="C118" s="30">
        <f t="shared" si="23"/>
        <v>2022</v>
      </c>
      <c r="D118" s="513">
        <f t="shared" si="24"/>
        <v>7.3909658379359755E-2</v>
      </c>
      <c r="E118" s="566">
        <v>6554142.7180288099</v>
      </c>
      <c r="F118" s="62" t="s">
        <v>1886</v>
      </c>
      <c r="G118" s="796"/>
      <c r="L118" s="8">
        <f t="shared" si="25"/>
        <v>511</v>
      </c>
    </row>
    <row r="119" spans="1:12">
      <c r="A119" s="8">
        <f t="shared" si="26"/>
        <v>512</v>
      </c>
      <c r="B119" t="s">
        <v>111</v>
      </c>
      <c r="C119" s="30">
        <f t="shared" si="23"/>
        <v>2022</v>
      </c>
      <c r="D119" s="565">
        <f t="shared" si="24"/>
        <v>8.019305558060158E-2</v>
      </c>
      <c r="E119" s="567">
        <v>7111340.2875213297</v>
      </c>
      <c r="F119" s="62" t="s">
        <v>1886</v>
      </c>
      <c r="G119" s="796"/>
      <c r="L119" s="8">
        <f t="shared" si="25"/>
        <v>512</v>
      </c>
    </row>
    <row r="120" spans="1:12">
      <c r="A120" s="8">
        <f t="shared" si="26"/>
        <v>513</v>
      </c>
      <c r="B120" s="15" t="s">
        <v>354</v>
      </c>
      <c r="D120" s="575">
        <f>SUM(D108:D119)</f>
        <v>1</v>
      </c>
      <c r="E120" s="241">
        <f>SUM(E108:E119)</f>
        <v>88677756.895966664</v>
      </c>
      <c r="L120" s="8">
        <f t="shared" ref="L120" si="27">A120</f>
        <v>513</v>
      </c>
    </row>
    <row r="122" spans="1:12">
      <c r="B122" s="57" t="s">
        <v>211</v>
      </c>
      <c r="C122" s="54"/>
      <c r="D122" s="54"/>
      <c r="E122" s="54"/>
      <c r="F122" s="54"/>
      <c r="G122" s="54"/>
      <c r="H122" s="54"/>
      <c r="I122" s="54"/>
      <c r="J122" s="54"/>
      <c r="K122" s="54"/>
    </row>
    <row r="123" spans="1:12">
      <c r="B123" s="11" t="s">
        <v>203</v>
      </c>
    </row>
    <row r="124" spans="1:12">
      <c r="B124" s="816" t="s">
        <v>232</v>
      </c>
      <c r="C124" s="816"/>
      <c r="D124" s="816"/>
      <c r="E124" s="816"/>
      <c r="F124" s="816"/>
      <c r="G124" s="816"/>
      <c r="H124" s="816"/>
      <c r="I124" s="816"/>
      <c r="J124" s="816"/>
      <c r="K124" s="816"/>
    </row>
    <row r="125" spans="1:12">
      <c r="B125" s="816"/>
      <c r="C125" s="816"/>
      <c r="D125" s="816"/>
      <c r="E125" s="816"/>
      <c r="F125" s="816"/>
      <c r="G125" s="816"/>
      <c r="H125" s="816"/>
      <c r="I125" s="816"/>
      <c r="J125" s="816"/>
      <c r="K125" s="816"/>
    </row>
    <row r="126" spans="1:12">
      <c r="B126" s="817" t="s">
        <v>222</v>
      </c>
      <c r="C126" s="817"/>
      <c r="D126" s="817"/>
      <c r="E126" s="817"/>
      <c r="F126" s="817"/>
      <c r="G126" s="817"/>
      <c r="H126" s="817"/>
      <c r="I126" s="817"/>
      <c r="J126" s="817"/>
      <c r="K126" s="817"/>
    </row>
    <row r="129" spans="2:11">
      <c r="B129" s="16" t="s">
        <v>125</v>
      </c>
    </row>
    <row r="130" spans="2:11">
      <c r="B130" s="812" t="s">
        <v>1243</v>
      </c>
      <c r="C130" s="812"/>
      <c r="D130" s="812"/>
      <c r="E130" s="812"/>
      <c r="F130" s="812"/>
      <c r="G130" s="812"/>
      <c r="H130" s="812"/>
      <c r="I130" s="812"/>
      <c r="J130" s="812"/>
      <c r="K130" s="812"/>
    </row>
    <row r="131" spans="2:11">
      <c r="B131" s="812"/>
      <c r="C131" s="812"/>
      <c r="D131" s="812"/>
      <c r="E131" s="812"/>
      <c r="F131" s="812"/>
      <c r="G131" s="812"/>
      <c r="H131" s="812"/>
      <c r="I131" s="812"/>
      <c r="J131" s="812"/>
      <c r="K131" s="812"/>
    </row>
    <row r="132" spans="2:11">
      <c r="B132" s="812" t="s">
        <v>233</v>
      </c>
      <c r="C132" s="812"/>
      <c r="D132" s="812"/>
      <c r="E132" s="812"/>
      <c r="F132" s="812"/>
      <c r="G132" s="812"/>
      <c r="H132" s="812"/>
      <c r="I132" s="812"/>
      <c r="J132" s="812"/>
      <c r="K132" s="812"/>
    </row>
    <row r="133" spans="2:11">
      <c r="B133" s="812"/>
      <c r="C133" s="812"/>
      <c r="D133" s="812"/>
      <c r="E133" s="812"/>
      <c r="F133" s="812"/>
      <c r="G133" s="812"/>
      <c r="H133" s="812"/>
      <c r="I133" s="812"/>
      <c r="J133" s="812"/>
      <c r="K133" s="812"/>
    </row>
    <row r="134" spans="2:11" ht="15" customHeight="1">
      <c r="B134" s="812" t="str">
        <f>"3) For each month of the Prior Year, the Monthly True-up TRR is calculated by multiplying the True-up TRR on Line "&amp;A36&amp;" by monthly allocation factors from Lines "&amp;A108&amp;" to "&amp;A119&amp;", "&amp;D104&amp;"."</f>
        <v>3) For each month of the Prior Year, the Monthly True-up TRR is calculated by multiplying the True-up TRR on Line 200 by monthly allocation factors from Lines 501 to 512, Col 2.</v>
      </c>
      <c r="C134" s="812"/>
      <c r="D134" s="812"/>
      <c r="E134" s="812"/>
      <c r="F134" s="812"/>
      <c r="G134" s="812"/>
      <c r="H134" s="812"/>
      <c r="I134" s="812"/>
      <c r="J134" s="812"/>
      <c r="K134" s="812"/>
    </row>
    <row r="135" spans="2:11" ht="15" customHeight="1">
      <c r="B135" s="812" t="str">
        <f>"4) The Retail Transmission Revenues are from Lines "&amp;A13&amp;" to "&amp;A24&amp;", "&amp;C9&amp;".  For a partial year true-up, only revenues for the months that the Formula Rate was in effect in the Prior Year are included."</f>
        <v>4) The Retail Transmission Revenues are from Lines 100 to 111, Col 1.  For a partial year true-up, only revenues for the months that the Formula Rate was in effect in the Prior Year are included.</v>
      </c>
      <c r="C135" s="812"/>
      <c r="D135" s="812"/>
      <c r="E135" s="812"/>
      <c r="F135" s="812"/>
      <c r="G135" s="812"/>
      <c r="H135" s="812"/>
      <c r="I135" s="812"/>
      <c r="J135" s="812"/>
      <c r="K135" s="812"/>
    </row>
    <row r="136" spans="2:11">
      <c r="B136" s="812"/>
      <c r="C136" s="812"/>
      <c r="D136" s="812"/>
      <c r="E136" s="812"/>
      <c r="F136" s="812"/>
      <c r="G136" s="812"/>
      <c r="H136" s="812"/>
      <c r="I136" s="812"/>
      <c r="J136" s="812"/>
      <c r="K136" s="812"/>
    </row>
    <row r="137" spans="2:11">
      <c r="B137" s="813" t="s">
        <v>1483</v>
      </c>
      <c r="C137" s="813"/>
      <c r="D137" s="813"/>
      <c r="E137" s="813"/>
      <c r="F137" s="813"/>
      <c r="G137" s="813"/>
      <c r="H137" s="813"/>
      <c r="I137" s="813"/>
      <c r="J137" s="813"/>
      <c r="K137" s="813"/>
    </row>
    <row r="138" spans="2:11">
      <c r="B138" s="813" t="s">
        <v>236</v>
      </c>
      <c r="C138" s="813"/>
      <c r="D138" s="813"/>
      <c r="E138" s="813"/>
      <c r="F138" s="813"/>
      <c r="G138" s="813"/>
      <c r="H138" s="813"/>
      <c r="I138" s="813"/>
      <c r="J138" s="813"/>
      <c r="K138" s="813"/>
    </row>
    <row r="139" spans="2:11">
      <c r="B139" s="812" t="s">
        <v>234</v>
      </c>
      <c r="C139" s="812"/>
      <c r="D139" s="812"/>
      <c r="E139" s="812"/>
      <c r="F139" s="812"/>
      <c r="G139" s="812"/>
      <c r="H139" s="812"/>
      <c r="I139" s="812"/>
      <c r="J139" s="812"/>
      <c r="K139" s="812"/>
    </row>
    <row r="140" spans="2:11">
      <c r="B140" s="812"/>
      <c r="C140" s="812"/>
      <c r="D140" s="812"/>
      <c r="E140" s="812"/>
      <c r="F140" s="812"/>
      <c r="G140" s="812"/>
      <c r="H140" s="812"/>
      <c r="I140" s="812"/>
      <c r="J140" s="812"/>
      <c r="K140" s="812"/>
    </row>
    <row r="141" spans="2:11">
      <c r="B141" s="813" t="s">
        <v>235</v>
      </c>
      <c r="C141" s="813"/>
      <c r="D141" s="813"/>
      <c r="E141" s="813"/>
      <c r="F141" s="813"/>
      <c r="G141" s="813"/>
      <c r="H141" s="813"/>
      <c r="I141" s="813"/>
      <c r="J141" s="813"/>
      <c r="K141" s="813"/>
    </row>
    <row r="142" spans="2:11">
      <c r="B142" s="813" t="str">
        <f>"9) The January 'Month Beginning Balance' on Line "&amp;A79&amp;", "&amp;D74&amp;" is equal to the 'Cumulative Excess or Shortall in Revenue with Interest' from Line "&amp;A68&amp;", "&amp;K38&amp;"."</f>
        <v>9) The January 'Month Beginning Balance' on Line 300, Col 2 is equal to the 'Cumulative Excess or Shortall in Revenue with Interest' from Line 225, Col 9.</v>
      </c>
      <c r="C142" s="813"/>
      <c r="D142" s="813"/>
      <c r="E142" s="813"/>
      <c r="F142" s="813"/>
      <c r="G142" s="813"/>
      <c r="H142" s="813"/>
      <c r="I142" s="813"/>
      <c r="J142" s="813"/>
      <c r="K142" s="813"/>
    </row>
    <row r="143" spans="2:11">
      <c r="B143" s="812" t="str">
        <f>"10) 'Interest for the Current Month' ("&amp;G74&amp;") is based on the average of the 'Month Beginning Balance' ("&amp;D74&amp;") and the 'Month Ending Balancing without Interest' ("&amp;F74&amp;"), multiplied by the 'Monthly Interest Rate' ("&amp;H74&amp;")."</f>
        <v>10) 'Interest for the Current Month' (Col 5) is based on the average of the 'Month Beginning Balance' (Col 2) and the 'Month Ending Balancing without Interest' (Col 4), multiplied by the 'Monthly Interest Rate' (Col 6).</v>
      </c>
      <c r="C143" s="812"/>
      <c r="D143" s="812"/>
      <c r="E143" s="812"/>
      <c r="F143" s="812"/>
      <c r="G143" s="812"/>
      <c r="H143" s="812"/>
      <c r="I143" s="812"/>
      <c r="J143" s="812"/>
      <c r="K143" s="812"/>
    </row>
    <row r="144" spans="2:11">
      <c r="B144" s="812"/>
      <c r="C144" s="812"/>
      <c r="D144" s="812"/>
      <c r="E144" s="812"/>
      <c r="F144" s="812"/>
      <c r="G144" s="812"/>
      <c r="H144" s="812"/>
      <c r="I144" s="812"/>
      <c r="J144" s="812"/>
      <c r="K144" s="812"/>
    </row>
    <row r="145" spans="2:11">
      <c r="B145" s="813" t="str">
        <f>"11) The 'Monthly Interest Rate' is the last known FERC interest rate from Line "&amp;A68&amp;", "&amp;H38&amp;"."</f>
        <v>11) The 'Monthly Interest Rate' is the last known FERC interest rate from Line 225, Col 6.</v>
      </c>
      <c r="C145" s="813"/>
      <c r="D145" s="813"/>
      <c r="E145" s="813"/>
      <c r="F145" s="813"/>
      <c r="G145" s="813"/>
      <c r="H145" s="813"/>
      <c r="I145" s="813"/>
      <c r="J145" s="813"/>
      <c r="K145" s="813"/>
    </row>
    <row r="146" spans="2:11" ht="15" customHeight="1">
      <c r="B146" s="816" t="s">
        <v>1480</v>
      </c>
      <c r="C146" s="816"/>
      <c r="D146" s="816"/>
      <c r="E146" s="816"/>
      <c r="F146" s="816"/>
      <c r="G146" s="816"/>
      <c r="H146" s="816"/>
      <c r="I146" s="816"/>
      <c r="J146" s="816"/>
      <c r="K146" s="816"/>
    </row>
    <row r="147" spans="2:11">
      <c r="B147" s="812" t="s">
        <v>1432</v>
      </c>
      <c r="C147" s="812"/>
      <c r="D147" s="812"/>
      <c r="E147" s="812"/>
      <c r="F147" s="812"/>
      <c r="G147" s="812"/>
      <c r="H147" s="812"/>
      <c r="I147" s="812"/>
      <c r="J147" s="812"/>
      <c r="K147" s="812"/>
    </row>
  </sheetData>
  <mergeCells count="22">
    <mergeCell ref="B134:K134"/>
    <mergeCell ref="B146:K146"/>
    <mergeCell ref="B147:K147"/>
    <mergeCell ref="B100:K100"/>
    <mergeCell ref="B124:K125"/>
    <mergeCell ref="B126:K126"/>
    <mergeCell ref="B130:K131"/>
    <mergeCell ref="B145:K145"/>
    <mergeCell ref="B142:K142"/>
    <mergeCell ref="B143:K144"/>
    <mergeCell ref="B139:K140"/>
    <mergeCell ref="B137:K137"/>
    <mergeCell ref="B138:K138"/>
    <mergeCell ref="B141:K141"/>
    <mergeCell ref="B132:K133"/>
    <mergeCell ref="B135:K136"/>
    <mergeCell ref="B99:K99"/>
    <mergeCell ref="B6:K6"/>
    <mergeCell ref="B7:K7"/>
    <mergeCell ref="B31:K32"/>
    <mergeCell ref="B33:K33"/>
    <mergeCell ref="B72:K73"/>
  </mergeCells>
  <printOptions horizontalCentered="1"/>
  <pageMargins left="1" right="1" top="1" bottom="1" header="0.5" footer="0.5"/>
  <pageSetup scale="61" fitToHeight="0" orientation="landscape" r:id="rId1"/>
  <headerFooter>
    <oddHeader xml:space="preserve">&amp;C&amp;"-,Bold"Pacific Gas and Electric Company
Formula Rate Model
Schedule &amp;A&amp;R&amp;8Docket No. ER19-13-000, et al- Annual Update RY2024
&amp;F
</oddHeader>
  </headerFooter>
  <rowBreaks count="1" manualBreakCount="1">
    <brk id="95" max="11" man="1"/>
  </rowBreaks>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V40"/>
  <sheetViews>
    <sheetView tabSelected="1" view="pageBreakPreview" zoomScaleNormal="85" zoomScaleSheetLayoutView="100" zoomScalePageLayoutView="90" workbookViewId="0">
      <selection activeCell="C59" activeCellId="1" sqref="L63 C59"/>
    </sheetView>
  </sheetViews>
  <sheetFormatPr defaultColWidth="8.81640625" defaultRowHeight="14.5"/>
  <cols>
    <col min="1" max="1" width="4.54296875" style="69" bestFit="1" customWidth="1"/>
    <col min="2" max="2" width="63.453125" style="69" bestFit="1" customWidth="1"/>
    <col min="3" max="3" width="4.54296875" style="69" customWidth="1"/>
    <col min="4" max="4" width="16.54296875" style="69" bestFit="1" customWidth="1"/>
    <col min="5" max="5" width="29.7265625" style="69" customWidth="1"/>
    <col min="6" max="6" width="29.1796875" style="69" customWidth="1"/>
    <col min="7" max="7" width="4.54296875" style="69" bestFit="1" customWidth="1"/>
    <col min="8" max="8" width="8.81640625" style="69"/>
    <col min="9" max="9" width="12.1796875" style="69" bestFit="1" customWidth="1"/>
    <col min="10" max="10" width="7.1796875" style="69" bestFit="1" customWidth="1"/>
    <col min="11" max="11" width="10.54296875" style="69" bestFit="1" customWidth="1"/>
    <col min="12" max="22" width="14.54296875" style="69" customWidth="1"/>
    <col min="23" max="16384" width="8.81640625" style="69"/>
  </cols>
  <sheetData>
    <row r="1" spans="1:22">
      <c r="B1" s="14" t="s">
        <v>243</v>
      </c>
      <c r="E1" s="15"/>
      <c r="F1" s="15" t="str">
        <f>CONCATENATE("Prior Year: ",'1-BaseTRR'!$F$2)</f>
        <v>Prior Year: 2022</v>
      </c>
    </row>
    <row r="2" spans="1:22">
      <c r="B2" s="70"/>
    </row>
    <row r="3" spans="1:22">
      <c r="B3" s="52" t="s">
        <v>244</v>
      </c>
      <c r="C3" s="53"/>
      <c r="D3" s="54"/>
      <c r="E3" s="54"/>
      <c r="F3" s="54"/>
    </row>
    <row r="4" spans="1:22">
      <c r="A4" s="13" t="s">
        <v>122</v>
      </c>
      <c r="B4" s="13" t="s">
        <v>127</v>
      </c>
      <c r="C4"/>
      <c r="D4" s="13" t="s">
        <v>79</v>
      </c>
      <c r="E4" s="13" t="s">
        <v>54</v>
      </c>
      <c r="F4" s="13" t="s">
        <v>11</v>
      </c>
      <c r="G4" s="13" t="str">
        <f>A4</f>
        <v>Line</v>
      </c>
    </row>
    <row r="5" spans="1:22">
      <c r="B5" s="71" t="s">
        <v>245</v>
      </c>
      <c r="I5" s="72"/>
      <c r="J5" s="73"/>
      <c r="K5" s="74"/>
      <c r="L5" s="75"/>
      <c r="M5" s="75"/>
      <c r="N5" s="75"/>
      <c r="O5" s="75"/>
      <c r="P5" s="75"/>
      <c r="Q5" s="75"/>
      <c r="R5" s="75"/>
      <c r="S5" s="75"/>
      <c r="T5" s="75"/>
      <c r="U5" s="75"/>
      <c r="V5" s="75"/>
    </row>
    <row r="6" spans="1:22">
      <c r="A6" s="76">
        <v>100</v>
      </c>
      <c r="B6" s="69" t="s">
        <v>246</v>
      </c>
      <c r="D6" s="22">
        <f>'5-CostofCap-2'!P13</f>
        <v>35115164558.610001</v>
      </c>
      <c r="E6" s="78" t="s">
        <v>1639</v>
      </c>
      <c r="F6" s="69" t="s">
        <v>1445</v>
      </c>
      <c r="G6" s="76">
        <f>A6</f>
        <v>100</v>
      </c>
      <c r="I6" s="79"/>
      <c r="J6" s="80"/>
      <c r="K6" s="79"/>
      <c r="L6" s="81"/>
      <c r="M6" s="81"/>
      <c r="N6" s="81"/>
      <c r="O6" s="81"/>
      <c r="P6" s="81"/>
      <c r="Q6" s="81"/>
      <c r="R6" s="81"/>
      <c r="S6" s="81"/>
      <c r="T6" s="81"/>
      <c r="U6" s="81"/>
      <c r="V6" s="81"/>
    </row>
    <row r="7" spans="1:22">
      <c r="A7" s="76">
        <f>A6+1</f>
        <v>101</v>
      </c>
      <c r="B7" s="69" t="s">
        <v>247</v>
      </c>
      <c r="D7" s="456">
        <f>-'5-CostofCap-2'!P15</f>
        <v>0</v>
      </c>
      <c r="E7" s="78" t="s">
        <v>1640</v>
      </c>
      <c r="F7" s="69" t="s">
        <v>1634</v>
      </c>
      <c r="G7" s="76">
        <f t="shared" ref="G7:G30" si="0">A7</f>
        <v>101</v>
      </c>
      <c r="I7" s="79"/>
      <c r="J7" s="82"/>
      <c r="K7" s="83"/>
      <c r="L7" s="81"/>
      <c r="M7" s="81"/>
      <c r="N7" s="81"/>
      <c r="O7" s="81"/>
      <c r="P7" s="81"/>
      <c r="Q7" s="81"/>
      <c r="R7" s="81"/>
      <c r="S7" s="81"/>
      <c r="T7" s="81"/>
      <c r="U7" s="81"/>
      <c r="V7" s="81"/>
    </row>
    <row r="8" spans="1:22">
      <c r="A8" s="76">
        <f t="shared" ref="A8:A16" si="1">A7+1</f>
        <v>102</v>
      </c>
      <c r="B8" s="69" t="s">
        <v>248</v>
      </c>
      <c r="D8" s="457">
        <f>'5-CostofCap-2'!P17</f>
        <v>0</v>
      </c>
      <c r="E8" s="78" t="s">
        <v>1641</v>
      </c>
      <c r="F8" s="69" t="s">
        <v>1445</v>
      </c>
      <c r="G8" s="76">
        <f t="shared" si="0"/>
        <v>102</v>
      </c>
      <c r="H8" s="70"/>
      <c r="I8" s="79"/>
      <c r="J8" s="82"/>
      <c r="K8" s="83"/>
      <c r="L8" s="81"/>
      <c r="M8" s="81"/>
      <c r="N8" s="81"/>
      <c r="O8" s="81"/>
      <c r="P8" s="81"/>
      <c r="Q8" s="81"/>
      <c r="R8" s="81"/>
      <c r="S8" s="81"/>
      <c r="T8" s="81"/>
      <c r="U8" s="81"/>
      <c r="V8" s="81"/>
    </row>
    <row r="9" spans="1:22">
      <c r="A9" s="76">
        <f t="shared" si="1"/>
        <v>103</v>
      </c>
      <c r="B9" s="69" t="s">
        <v>249</v>
      </c>
      <c r="D9" s="457">
        <f>'5-CostofCap-2'!P19</f>
        <v>0</v>
      </c>
      <c r="E9" s="78" t="s">
        <v>1642</v>
      </c>
      <c r="F9" s="69" t="s">
        <v>1445</v>
      </c>
      <c r="G9" s="76">
        <f t="shared" si="0"/>
        <v>103</v>
      </c>
      <c r="I9" s="79"/>
      <c r="J9" s="82"/>
      <c r="K9" s="83"/>
      <c r="L9" s="81"/>
      <c r="M9" s="81"/>
      <c r="N9" s="81"/>
      <c r="O9" s="81"/>
      <c r="P9" s="81"/>
      <c r="Q9" s="81"/>
      <c r="R9" s="81"/>
      <c r="S9" s="81"/>
      <c r="T9" s="81"/>
      <c r="U9" s="81"/>
      <c r="V9" s="81"/>
    </row>
    <row r="10" spans="1:22">
      <c r="A10" s="76">
        <f t="shared" si="1"/>
        <v>104</v>
      </c>
      <c r="B10" s="69" t="s">
        <v>250</v>
      </c>
      <c r="D10" s="457">
        <f>'5-CostofCap-2'!P21</f>
        <v>4903467.6900000004</v>
      </c>
      <c r="E10" s="78" t="s">
        <v>1643</v>
      </c>
      <c r="F10" s="69" t="s">
        <v>1445</v>
      </c>
      <c r="G10" s="76">
        <f t="shared" si="0"/>
        <v>104</v>
      </c>
      <c r="I10" s="84"/>
      <c r="J10" s="85"/>
      <c r="K10" s="81"/>
      <c r="L10" s="81"/>
      <c r="M10" s="81"/>
      <c r="N10" s="81"/>
      <c r="O10" s="81"/>
      <c r="P10" s="81"/>
      <c r="Q10" s="81"/>
      <c r="R10" s="81"/>
      <c r="S10" s="81"/>
      <c r="T10" s="81"/>
      <c r="U10" s="81"/>
      <c r="V10" s="81"/>
    </row>
    <row r="11" spans="1:22">
      <c r="A11" s="76">
        <f t="shared" si="1"/>
        <v>105</v>
      </c>
      <c r="B11" s="69" t="s">
        <v>251</v>
      </c>
      <c r="D11" s="457">
        <f>-'5-CostofCap-2'!P23</f>
        <v>-30251169.41</v>
      </c>
      <c r="E11" s="78" t="s">
        <v>1644</v>
      </c>
      <c r="F11" s="69" t="s">
        <v>1634</v>
      </c>
      <c r="G11" s="76">
        <f t="shared" si="0"/>
        <v>105</v>
      </c>
      <c r="I11" s="81"/>
      <c r="J11" s="81"/>
      <c r="K11" s="81"/>
      <c r="L11" s="81"/>
      <c r="M11" s="81"/>
      <c r="N11" s="81"/>
      <c r="O11" s="81"/>
      <c r="P11" s="81"/>
      <c r="Q11" s="81"/>
      <c r="R11" s="81"/>
      <c r="S11" s="81"/>
      <c r="T11" s="81"/>
      <c r="U11" s="81"/>
      <c r="V11" s="81"/>
    </row>
    <row r="12" spans="1:22">
      <c r="A12" s="76">
        <f t="shared" si="1"/>
        <v>106</v>
      </c>
      <c r="B12" s="69" t="s">
        <v>252</v>
      </c>
      <c r="D12" s="457">
        <f>-'5-CostofCap-2'!P25</f>
        <v>-142832914.60000002</v>
      </c>
      <c r="E12" s="78" t="s">
        <v>1645</v>
      </c>
      <c r="F12" s="69" t="s">
        <v>1634</v>
      </c>
      <c r="G12" s="76">
        <f t="shared" si="0"/>
        <v>106</v>
      </c>
      <c r="I12" s="81"/>
      <c r="J12" s="81"/>
      <c r="K12" s="81"/>
      <c r="L12" s="81"/>
      <c r="M12" s="81"/>
      <c r="N12" s="81"/>
      <c r="O12" s="81"/>
      <c r="P12" s="81"/>
      <c r="Q12" s="81"/>
      <c r="R12" s="81"/>
      <c r="S12" s="81"/>
      <c r="T12" s="81"/>
      <c r="U12" s="81"/>
      <c r="V12" s="81"/>
    </row>
    <row r="13" spans="1:22">
      <c r="A13" s="76">
        <f t="shared" si="1"/>
        <v>107</v>
      </c>
      <c r="B13" s="69" t="s">
        <v>253</v>
      </c>
      <c r="D13" s="457">
        <f>-'5-CostofCap-2'!P27</f>
        <v>-36721574.009999998</v>
      </c>
      <c r="E13" s="78" t="s">
        <v>1646</v>
      </c>
      <c r="F13" s="69" t="s">
        <v>1634</v>
      </c>
      <c r="G13" s="76">
        <f t="shared" si="0"/>
        <v>107</v>
      </c>
      <c r="I13" s="81"/>
      <c r="J13" s="81"/>
      <c r="K13" s="81"/>
      <c r="L13" s="81"/>
      <c r="M13" s="81"/>
      <c r="N13" s="81"/>
      <c r="O13" s="81"/>
      <c r="P13" s="81"/>
      <c r="Q13" s="81"/>
      <c r="R13" s="81"/>
      <c r="S13" s="81"/>
      <c r="T13" s="81"/>
      <c r="U13" s="81"/>
      <c r="V13" s="81"/>
    </row>
    <row r="14" spans="1:22">
      <c r="A14" s="76">
        <f t="shared" si="1"/>
        <v>108</v>
      </c>
      <c r="B14" s="69" t="s">
        <v>58</v>
      </c>
      <c r="D14" s="409">
        <f>'1-BaseTRR'!D99</f>
        <v>0.27983599999999997</v>
      </c>
      <c r="E14" s="78" t="s">
        <v>1031</v>
      </c>
      <c r="G14" s="76">
        <f t="shared" si="0"/>
        <v>108</v>
      </c>
      <c r="I14" s="81"/>
      <c r="J14" s="81"/>
      <c r="K14" s="81"/>
      <c r="L14" s="81"/>
      <c r="M14" s="81"/>
      <c r="N14" s="81"/>
      <c r="O14" s="81"/>
      <c r="P14" s="81"/>
      <c r="Q14" s="81"/>
      <c r="R14" s="81"/>
      <c r="S14" s="81"/>
      <c r="T14" s="81"/>
      <c r="U14" s="81"/>
      <c r="V14" s="81"/>
    </row>
    <row r="15" spans="1:22">
      <c r="A15" s="76">
        <f t="shared" si="1"/>
        <v>109</v>
      </c>
      <c r="B15" s="69" t="s">
        <v>254</v>
      </c>
      <c r="D15" s="458">
        <f>+D13*(1-D14)</f>
        <v>-26445555.625337638</v>
      </c>
      <c r="E15" s="78" t="s">
        <v>1032</v>
      </c>
      <c r="G15" s="76">
        <f t="shared" si="0"/>
        <v>109</v>
      </c>
      <c r="I15" s="81"/>
      <c r="J15" s="81"/>
      <c r="K15" s="81"/>
      <c r="L15" s="81"/>
      <c r="M15" s="81"/>
      <c r="N15" s="81"/>
      <c r="O15" s="81"/>
      <c r="P15" s="81"/>
      <c r="Q15" s="81"/>
      <c r="R15" s="81"/>
      <c r="S15" s="81"/>
      <c r="T15" s="81"/>
      <c r="U15" s="81"/>
      <c r="V15" s="81"/>
    </row>
    <row r="16" spans="1:22">
      <c r="A16" s="76">
        <f t="shared" si="1"/>
        <v>110</v>
      </c>
      <c r="B16" s="798" t="s">
        <v>31</v>
      </c>
      <c r="D16" s="68">
        <f>+SUM(D6:D12,D15:D15)</f>
        <v>34920538386.664665</v>
      </c>
      <c r="E16" s="78" t="s">
        <v>1033</v>
      </c>
      <c r="G16" s="76">
        <f t="shared" si="0"/>
        <v>110</v>
      </c>
    </row>
    <row r="17" spans="1:22">
      <c r="D17" s="86"/>
      <c r="E17" s="78"/>
      <c r="G17" s="76"/>
    </row>
    <row r="18" spans="1:22">
      <c r="B18" s="71" t="s">
        <v>255</v>
      </c>
      <c r="D18" s="86"/>
      <c r="E18" s="78"/>
      <c r="G18" s="76"/>
    </row>
    <row r="19" spans="1:22">
      <c r="A19" s="76">
        <f>A16+1</f>
        <v>111</v>
      </c>
      <c r="B19" s="69" t="s">
        <v>256</v>
      </c>
      <c r="D19" s="22">
        <f>'5-CostofCap-2'!P29</f>
        <v>257994575</v>
      </c>
      <c r="E19" s="78" t="s">
        <v>1647</v>
      </c>
      <c r="F19" s="69" t="s">
        <v>1445</v>
      </c>
      <c r="G19" s="76">
        <f t="shared" si="0"/>
        <v>111</v>
      </c>
      <c r="I19" s="81"/>
      <c r="K19" s="81"/>
      <c r="L19" s="81"/>
      <c r="M19" s="81"/>
      <c r="N19" s="81"/>
      <c r="O19" s="81"/>
      <c r="P19" s="81"/>
      <c r="Q19" s="81"/>
      <c r="R19" s="81"/>
      <c r="S19" s="81"/>
      <c r="T19" s="81"/>
      <c r="U19" s="81"/>
      <c r="V19" s="81"/>
    </row>
    <row r="20" spans="1:22">
      <c r="A20" s="76">
        <f>A19+1</f>
        <v>112</v>
      </c>
      <c r="B20" s="69" t="s">
        <v>257</v>
      </c>
      <c r="D20" s="32">
        <f>'5-CostofCap-2'!P31</f>
        <v>-5940274.6799999997</v>
      </c>
      <c r="E20" s="78" t="s">
        <v>1648</v>
      </c>
      <c r="F20" s="69" t="s">
        <v>1445</v>
      </c>
      <c r="G20" s="76">
        <f t="shared" si="0"/>
        <v>112</v>
      </c>
      <c r="I20" s="81"/>
      <c r="K20" s="81"/>
      <c r="L20" s="81"/>
      <c r="M20" s="81"/>
      <c r="N20" s="81"/>
      <c r="O20" s="81"/>
      <c r="P20" s="81"/>
      <c r="Q20" s="81"/>
      <c r="R20" s="81"/>
      <c r="S20" s="81"/>
      <c r="T20" s="81"/>
      <c r="U20" s="81"/>
      <c r="V20" s="81"/>
    </row>
    <row r="21" spans="1:22">
      <c r="A21" s="76">
        <f t="shared" ref="A21:A22" si="2">A20+1</f>
        <v>113</v>
      </c>
      <c r="B21" s="69" t="s">
        <v>258</v>
      </c>
      <c r="D21" s="26">
        <f>'5-CostofCap-2'!P33</f>
        <v>0</v>
      </c>
      <c r="E21" s="78" t="s">
        <v>1649</v>
      </c>
      <c r="F21" s="69" t="s">
        <v>1445</v>
      </c>
      <c r="G21" s="76">
        <f t="shared" si="0"/>
        <v>113</v>
      </c>
      <c r="I21" s="81"/>
      <c r="K21" s="81"/>
      <c r="L21" s="81"/>
      <c r="M21" s="81"/>
      <c r="N21" s="81"/>
      <c r="O21" s="81"/>
      <c r="P21" s="81"/>
      <c r="Q21" s="81"/>
      <c r="R21" s="81"/>
      <c r="S21" s="81"/>
      <c r="T21" s="81"/>
      <c r="U21" s="81"/>
      <c r="V21" s="81"/>
    </row>
    <row r="22" spans="1:22">
      <c r="A22" s="76">
        <f t="shared" si="2"/>
        <v>114</v>
      </c>
      <c r="B22" s="798"/>
      <c r="D22" s="68">
        <f>SUM(D19:D21)</f>
        <v>252054300.31999999</v>
      </c>
      <c r="E22" s="78" t="s">
        <v>1034</v>
      </c>
      <c r="G22" s="76">
        <f t="shared" si="0"/>
        <v>114</v>
      </c>
    </row>
    <row r="23" spans="1:22">
      <c r="A23" s="76"/>
      <c r="D23" s="77"/>
      <c r="E23" s="78"/>
      <c r="G23" s="76"/>
    </row>
    <row r="24" spans="1:22">
      <c r="B24" s="71" t="s">
        <v>259</v>
      </c>
      <c r="D24" s="77"/>
      <c r="E24" s="78"/>
      <c r="F24" s="87"/>
      <c r="G24" s="76"/>
    </row>
    <row r="25" spans="1:22">
      <c r="A25" s="76">
        <f>+A22+1</f>
        <v>115</v>
      </c>
      <c r="B25" s="69" t="s">
        <v>260</v>
      </c>
      <c r="D25" s="22">
        <f>'5-CostofCap-2'!P35</f>
        <v>30729450876.380001</v>
      </c>
      <c r="E25" s="78" t="s">
        <v>1650</v>
      </c>
      <c r="F25" s="69" t="s">
        <v>1445</v>
      </c>
      <c r="G25" s="76">
        <f t="shared" si="0"/>
        <v>115</v>
      </c>
      <c r="I25" s="81"/>
      <c r="J25" s="81"/>
      <c r="K25" s="81"/>
      <c r="L25" s="81"/>
      <c r="M25" s="81"/>
      <c r="N25" s="81"/>
      <c r="O25" s="81"/>
      <c r="P25" s="81"/>
      <c r="Q25" s="81"/>
      <c r="R25" s="81"/>
      <c r="S25" s="81"/>
      <c r="T25" s="81"/>
      <c r="U25" s="81"/>
      <c r="V25" s="81"/>
    </row>
    <row r="26" spans="1:22">
      <c r="A26" s="76">
        <f>A25+1</f>
        <v>116</v>
      </c>
      <c r="B26" s="69" t="s">
        <v>261</v>
      </c>
      <c r="D26" s="32">
        <f>-D22</f>
        <v>-252054300.31999999</v>
      </c>
      <c r="E26" s="78" t="s">
        <v>1035</v>
      </c>
      <c r="F26" s="69" t="s">
        <v>1635</v>
      </c>
      <c r="G26" s="76">
        <f t="shared" si="0"/>
        <v>116</v>
      </c>
      <c r="I26" s="81"/>
      <c r="J26" s="81"/>
      <c r="K26" s="81"/>
      <c r="L26" s="81"/>
      <c r="M26" s="81"/>
      <c r="N26" s="81"/>
      <c r="O26" s="81"/>
      <c r="P26" s="81"/>
      <c r="Q26" s="81"/>
      <c r="R26" s="81"/>
      <c r="S26" s="81"/>
      <c r="T26" s="81"/>
      <c r="U26" s="81"/>
      <c r="V26" s="81"/>
    </row>
    <row r="27" spans="1:22">
      <c r="A27" s="76">
        <f t="shared" ref="A27:A29" si="3">A26+1</f>
        <v>117</v>
      </c>
      <c r="B27" s="69" t="s">
        <v>262</v>
      </c>
      <c r="D27" s="32">
        <f>-D21</f>
        <v>0</v>
      </c>
      <c r="E27" s="78" t="s">
        <v>1036</v>
      </c>
      <c r="F27" s="69" t="s">
        <v>1636</v>
      </c>
      <c r="G27" s="76">
        <f t="shared" si="0"/>
        <v>117</v>
      </c>
      <c r="I27" s="81"/>
      <c r="J27" s="81"/>
      <c r="K27" s="81"/>
      <c r="L27" s="81"/>
      <c r="M27" s="81"/>
      <c r="N27" s="81"/>
      <c r="O27" s="81"/>
      <c r="P27" s="81"/>
      <c r="Q27" s="81"/>
      <c r="R27" s="81"/>
      <c r="S27" s="81"/>
      <c r="T27" s="81"/>
      <c r="U27" s="81"/>
      <c r="V27" s="81"/>
    </row>
    <row r="28" spans="1:22">
      <c r="A28" s="76">
        <f t="shared" si="3"/>
        <v>118</v>
      </c>
      <c r="B28" s="69" t="s">
        <v>263</v>
      </c>
      <c r="D28" s="456">
        <f>-'5-CostofCap-2'!P37</f>
        <v>-838890206.95000005</v>
      </c>
      <c r="E28" s="78" t="s">
        <v>1651</v>
      </c>
      <c r="F28" s="69" t="s">
        <v>1637</v>
      </c>
      <c r="G28" s="76">
        <f t="shared" si="0"/>
        <v>118</v>
      </c>
      <c r="I28" s="81"/>
      <c r="J28" s="81"/>
      <c r="K28" s="81"/>
      <c r="L28" s="81"/>
      <c r="M28" s="81"/>
      <c r="N28" s="81"/>
      <c r="O28" s="81"/>
      <c r="P28" s="81"/>
      <c r="Q28" s="81"/>
      <c r="R28" s="81"/>
      <c r="S28" s="81"/>
      <c r="T28" s="81"/>
      <c r="U28" s="81"/>
      <c r="V28" s="81"/>
    </row>
    <row r="29" spans="1:22">
      <c r="A29" s="76">
        <f t="shared" si="3"/>
        <v>119</v>
      </c>
      <c r="D29" s="667">
        <f>-'5-CostofCap-2'!P39</f>
        <v>8166262.3200000003</v>
      </c>
      <c r="E29" s="78" t="s">
        <v>1652</v>
      </c>
      <c r="F29" s="69" t="s">
        <v>1637</v>
      </c>
      <c r="G29" s="76">
        <f t="shared" si="0"/>
        <v>119</v>
      </c>
      <c r="I29" s="81"/>
      <c r="J29" s="81"/>
      <c r="K29" s="81"/>
      <c r="L29" s="81"/>
      <c r="M29" s="81"/>
      <c r="N29" s="81"/>
      <c r="O29" s="81"/>
      <c r="P29" s="81"/>
      <c r="Q29" s="81"/>
      <c r="R29" s="81"/>
      <c r="S29" s="81"/>
      <c r="T29" s="81"/>
      <c r="U29" s="81"/>
      <c r="V29" s="81"/>
    </row>
    <row r="30" spans="1:22">
      <c r="A30" s="76">
        <f>A29+1</f>
        <v>120</v>
      </c>
      <c r="B30" s="90" t="s">
        <v>39</v>
      </c>
      <c r="D30" s="68">
        <f>SUM(D25:D29)</f>
        <v>29646672631.43</v>
      </c>
      <c r="E30" s="78" t="s">
        <v>1037</v>
      </c>
      <c r="G30" s="76">
        <f t="shared" si="0"/>
        <v>120</v>
      </c>
    </row>
    <row r="31" spans="1:22">
      <c r="B31" s="88"/>
    </row>
    <row r="36" spans="2:2">
      <c r="B36" s="89"/>
    </row>
    <row r="38" spans="2:2">
      <c r="B38" s="78"/>
    </row>
    <row r="40" spans="2:2">
      <c r="B40" s="78"/>
    </row>
  </sheetData>
  <printOptions horizontalCentered="1"/>
  <pageMargins left="1" right="1" top="1" bottom="1" header="0.5" footer="0.5"/>
  <pageSetup scale="75"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57"/>
  <sheetViews>
    <sheetView tabSelected="1" view="pageBreakPreview" topLeftCell="A4" zoomScale="82" zoomScaleNormal="70" zoomScaleSheetLayoutView="82" zoomScalePageLayoutView="55" workbookViewId="0">
      <selection activeCell="C59" activeCellId="1" sqref="L63 C59"/>
    </sheetView>
  </sheetViews>
  <sheetFormatPr defaultColWidth="8.81640625" defaultRowHeight="14.5"/>
  <cols>
    <col min="1" max="1" width="6.81640625" style="69" bestFit="1" customWidth="1"/>
    <col min="2" max="2" width="28.1796875" style="69" customWidth="1"/>
    <col min="3" max="3" width="21.453125" style="69" bestFit="1" customWidth="1"/>
    <col min="4" max="4" width="20.7265625" style="69" customWidth="1"/>
    <col min="5" max="6" width="18.81640625" style="69" bestFit="1" customWidth="1"/>
    <col min="7" max="7" width="20" style="69" customWidth="1"/>
    <col min="8" max="8" width="20.1796875" style="69" customWidth="1"/>
    <col min="9" max="9" width="19.453125" style="69" customWidth="1"/>
    <col min="10" max="10" width="21.81640625" style="69" customWidth="1"/>
    <col min="11" max="11" width="20.453125" style="69" customWidth="1"/>
    <col min="12" max="12" width="20.1796875" style="69" customWidth="1"/>
    <col min="13" max="13" width="18.54296875" style="69" bestFit="1" customWidth="1"/>
    <col min="14" max="15" width="18.81640625" style="69" bestFit="1" customWidth="1"/>
    <col min="16" max="16" width="18.81640625" style="69" customWidth="1"/>
    <col min="17" max="17" width="6.81640625" style="69" bestFit="1" customWidth="1"/>
    <col min="18" max="16384" width="8.81640625" style="69"/>
  </cols>
  <sheetData>
    <row r="1" spans="1:17">
      <c r="B1" s="90" t="s">
        <v>264</v>
      </c>
      <c r="O1" s="15"/>
      <c r="P1" s="15" t="str">
        <f>CONCATENATE("Prior Year: ",'1-BaseTRR'!$F$2)</f>
        <v>Prior Year: 2022</v>
      </c>
    </row>
    <row r="2" spans="1:17">
      <c r="B2" s="46" t="s">
        <v>193</v>
      </c>
      <c r="C2" s="91"/>
      <c r="D2" s="91"/>
      <c r="O2" s="15"/>
    </row>
    <row r="3" spans="1:17">
      <c r="B3" s="12"/>
    </row>
    <row r="4" spans="1:17">
      <c r="A4" s="76"/>
      <c r="B4" s="88" t="s">
        <v>133</v>
      </c>
      <c r="C4" s="81"/>
      <c r="D4" s="81"/>
      <c r="E4" s="81"/>
      <c r="F4" s="81"/>
      <c r="G4" s="81"/>
      <c r="H4" s="81"/>
      <c r="I4" s="81"/>
      <c r="J4" s="81"/>
      <c r="K4" s="81"/>
      <c r="L4" s="81"/>
      <c r="M4" s="81"/>
      <c r="N4" s="81"/>
      <c r="O4" s="81"/>
      <c r="P4" s="81"/>
    </row>
    <row r="5" spans="1:17">
      <c r="A5" s="76"/>
      <c r="B5" s="818" t="s">
        <v>265</v>
      </c>
      <c r="C5" s="818"/>
      <c r="D5" s="818"/>
      <c r="E5" s="818"/>
      <c r="F5" s="818"/>
      <c r="G5" s="818"/>
      <c r="H5" s="818"/>
      <c r="I5" s="818"/>
      <c r="J5" s="818"/>
      <c r="K5" s="818"/>
      <c r="L5" s="818"/>
      <c r="M5" s="818"/>
      <c r="N5" s="818"/>
      <c r="O5" s="818"/>
      <c r="P5" s="818"/>
    </row>
    <row r="6" spans="1:17">
      <c r="A6" s="76"/>
      <c r="B6" s="78"/>
      <c r="C6" s="81"/>
      <c r="D6" s="81"/>
      <c r="E6" s="81"/>
      <c r="F6" s="81"/>
      <c r="G6" s="81"/>
      <c r="H6" s="81"/>
      <c r="I6" s="81"/>
      <c r="J6" s="81"/>
      <c r="K6" s="81"/>
      <c r="L6" s="81"/>
      <c r="M6" s="81"/>
      <c r="N6" s="81"/>
      <c r="O6" s="81"/>
      <c r="P6" s="81"/>
    </row>
    <row r="7" spans="1:17">
      <c r="B7" s="12"/>
    </row>
    <row r="8" spans="1:17">
      <c r="C8" s="92" t="s">
        <v>98</v>
      </c>
      <c r="D8" s="92" t="s">
        <v>99</v>
      </c>
      <c r="E8" s="92" t="s">
        <v>100</v>
      </c>
      <c r="F8" s="92" t="s">
        <v>101</v>
      </c>
      <c r="G8" s="92" t="s">
        <v>102</v>
      </c>
      <c r="H8" s="92" t="s">
        <v>103</v>
      </c>
      <c r="I8" s="92" t="s">
        <v>104</v>
      </c>
      <c r="J8" s="92" t="s">
        <v>105</v>
      </c>
      <c r="K8" s="92" t="s">
        <v>106</v>
      </c>
      <c r="L8" s="92" t="s">
        <v>266</v>
      </c>
      <c r="M8" s="92" t="s">
        <v>267</v>
      </c>
      <c r="N8" s="92" t="s">
        <v>268</v>
      </c>
      <c r="O8" s="92" t="s">
        <v>269</v>
      </c>
      <c r="P8" s="92" t="s">
        <v>270</v>
      </c>
    </row>
    <row r="9" spans="1:17">
      <c r="C9" s="93" t="s">
        <v>271</v>
      </c>
      <c r="D9" s="94" t="s">
        <v>111</v>
      </c>
      <c r="E9" s="75" t="s">
        <v>112</v>
      </c>
      <c r="F9" s="75" t="s">
        <v>113</v>
      </c>
      <c r="G9" s="75" t="s">
        <v>114</v>
      </c>
      <c r="H9" s="75" t="s">
        <v>115</v>
      </c>
      <c r="I9" s="75" t="s">
        <v>89</v>
      </c>
      <c r="J9" s="75" t="s">
        <v>272</v>
      </c>
      <c r="K9" s="75" t="s">
        <v>117</v>
      </c>
      <c r="L9" s="75" t="s">
        <v>118</v>
      </c>
      <c r="M9" s="75" t="s">
        <v>119</v>
      </c>
      <c r="N9" s="75" t="s">
        <v>120</v>
      </c>
      <c r="O9" s="75" t="s">
        <v>121</v>
      </c>
      <c r="P9" s="75" t="s">
        <v>111</v>
      </c>
    </row>
    <row r="10" spans="1:17">
      <c r="A10" s="95"/>
      <c r="B10" s="95"/>
      <c r="C10" s="75" t="s">
        <v>273</v>
      </c>
      <c r="D10" s="75">
        <f>'1-BaseTRR'!F2-1</f>
        <v>2021</v>
      </c>
      <c r="E10" s="75">
        <f>'1-BaseTRR'!$F$2</f>
        <v>2022</v>
      </c>
      <c r="F10" s="75">
        <f>'1-BaseTRR'!$F$2</f>
        <v>2022</v>
      </c>
      <c r="G10" s="75">
        <f>'1-BaseTRR'!$F$2</f>
        <v>2022</v>
      </c>
      <c r="H10" s="75">
        <f>'1-BaseTRR'!$F$2</f>
        <v>2022</v>
      </c>
      <c r="I10" s="75">
        <f>'1-BaseTRR'!$F$2</f>
        <v>2022</v>
      </c>
      <c r="J10" s="75">
        <f>'1-BaseTRR'!$F$2</f>
        <v>2022</v>
      </c>
      <c r="K10" s="75">
        <f>'1-BaseTRR'!$F$2</f>
        <v>2022</v>
      </c>
      <c r="L10" s="75">
        <f>'1-BaseTRR'!$F$2</f>
        <v>2022</v>
      </c>
      <c r="M10" s="75">
        <f>'1-BaseTRR'!$F$2</f>
        <v>2022</v>
      </c>
      <c r="N10" s="75">
        <f>'1-BaseTRR'!$F$2</f>
        <v>2022</v>
      </c>
      <c r="O10" s="75">
        <f>'1-BaseTRR'!$F$2</f>
        <v>2022</v>
      </c>
      <c r="P10" s="75">
        <f>'1-BaseTRR'!$F$2</f>
        <v>2022</v>
      </c>
    </row>
    <row r="11" spans="1:17">
      <c r="B11" s="96" t="s">
        <v>127</v>
      </c>
      <c r="C11" s="93"/>
      <c r="D11" s="94"/>
      <c r="E11" s="75"/>
      <c r="F11" s="75"/>
      <c r="G11" s="75"/>
      <c r="H11" s="75"/>
      <c r="I11" s="75"/>
      <c r="J11" s="75"/>
      <c r="K11" s="75"/>
      <c r="L11" s="75"/>
      <c r="M11" s="75"/>
      <c r="N11" s="75"/>
      <c r="O11" s="75"/>
      <c r="P11" s="75"/>
    </row>
    <row r="12" spans="1:17">
      <c r="A12" s="13" t="s">
        <v>122</v>
      </c>
      <c r="B12" s="88" t="s">
        <v>274</v>
      </c>
      <c r="D12" s="94"/>
      <c r="E12" s="97"/>
      <c r="F12" s="97"/>
      <c r="G12" s="97"/>
      <c r="H12" s="97"/>
      <c r="I12" s="97"/>
      <c r="J12" s="97"/>
      <c r="K12" s="97"/>
      <c r="L12" s="97"/>
      <c r="M12" s="97"/>
      <c r="N12" s="97"/>
      <c r="O12" s="97"/>
      <c r="P12" s="97"/>
      <c r="Q12" s="13" t="str">
        <f>A12</f>
        <v>Line</v>
      </c>
    </row>
    <row r="13" spans="1:17">
      <c r="A13" s="76">
        <v>100</v>
      </c>
      <c r="B13" s="76"/>
      <c r="C13" s="24">
        <f>SUM(D13:P13)/13</f>
        <v>35902319269.14846</v>
      </c>
      <c r="D13" s="666">
        <v>36443675751.440002</v>
      </c>
      <c r="E13" s="661">
        <v>36443675751.440002</v>
      </c>
      <c r="F13" s="661">
        <v>37701175751.440002</v>
      </c>
      <c r="G13" s="661">
        <v>37402939854</v>
      </c>
      <c r="H13" s="661">
        <v>37802939854</v>
      </c>
      <c r="I13" s="661">
        <v>34802939854</v>
      </c>
      <c r="J13" s="661">
        <v>36302939854</v>
      </c>
      <c r="K13" s="661">
        <v>34802939854</v>
      </c>
      <c r="L13" s="661">
        <v>34802939854</v>
      </c>
      <c r="M13" s="661">
        <v>34802939854</v>
      </c>
      <c r="N13" s="661">
        <v>35152939854</v>
      </c>
      <c r="O13" s="661">
        <v>35152939854</v>
      </c>
      <c r="P13" s="661">
        <v>35115164558.610001</v>
      </c>
      <c r="Q13" s="76">
        <f>A13</f>
        <v>100</v>
      </c>
    </row>
    <row r="14" spans="1:17">
      <c r="A14" s="76"/>
      <c r="B14" s="88" t="s">
        <v>275</v>
      </c>
      <c r="C14" s="86"/>
      <c r="D14" s="86"/>
      <c r="E14" s="86"/>
      <c r="F14" s="86"/>
      <c r="G14" s="86"/>
      <c r="H14" s="86"/>
      <c r="I14" s="86"/>
      <c r="J14" s="86"/>
      <c r="K14" s="86"/>
      <c r="L14" s="86"/>
      <c r="M14" s="86"/>
      <c r="N14" s="86"/>
      <c r="O14" s="86"/>
      <c r="P14" s="86"/>
      <c r="Q14" s="76"/>
    </row>
    <row r="15" spans="1:17">
      <c r="A15" s="76">
        <f>A13+1</f>
        <v>101</v>
      </c>
      <c r="B15" s="32"/>
      <c r="C15" s="24">
        <f>SUM(D15:P15)/13</f>
        <v>0</v>
      </c>
      <c r="D15" s="51">
        <v>0</v>
      </c>
      <c r="E15" s="51">
        <v>0</v>
      </c>
      <c r="F15" s="51">
        <v>0</v>
      </c>
      <c r="G15" s="51">
        <v>0</v>
      </c>
      <c r="H15" s="51">
        <v>0</v>
      </c>
      <c r="I15" s="51">
        <v>0</v>
      </c>
      <c r="J15" s="51">
        <v>0</v>
      </c>
      <c r="K15" s="51">
        <v>0</v>
      </c>
      <c r="L15" s="51">
        <v>0</v>
      </c>
      <c r="M15" s="51">
        <v>0</v>
      </c>
      <c r="N15" s="51">
        <v>0</v>
      </c>
      <c r="O15" s="51">
        <v>0</v>
      </c>
      <c r="P15" s="51">
        <v>0</v>
      </c>
      <c r="Q15" s="76">
        <f>A15</f>
        <v>101</v>
      </c>
    </row>
    <row r="16" spans="1:17">
      <c r="A16" s="76"/>
      <c r="B16" s="88" t="s">
        <v>276</v>
      </c>
      <c r="C16" s="86"/>
      <c r="D16" s="86"/>
      <c r="E16" s="86"/>
      <c r="F16" s="86"/>
      <c r="G16" s="86"/>
      <c r="H16" s="86"/>
      <c r="I16" s="86"/>
      <c r="J16" s="86"/>
      <c r="K16" s="86"/>
      <c r="L16" s="86"/>
      <c r="M16" s="86"/>
      <c r="N16" s="86"/>
      <c r="O16" s="86"/>
      <c r="P16" s="86"/>
      <c r="Q16" s="76"/>
    </row>
    <row r="17" spans="1:17">
      <c r="A17" s="76">
        <f>A15+1</f>
        <v>102</v>
      </c>
      <c r="B17" s="90"/>
      <c r="C17" s="24">
        <f>SUM(D17:P17)/13</f>
        <v>0</v>
      </c>
      <c r="D17" s="51">
        <v>0</v>
      </c>
      <c r="E17" s="51">
        <v>0</v>
      </c>
      <c r="F17" s="51">
        <v>0</v>
      </c>
      <c r="G17" s="51">
        <v>0</v>
      </c>
      <c r="H17" s="51">
        <v>0</v>
      </c>
      <c r="I17" s="51">
        <v>0</v>
      </c>
      <c r="J17" s="51">
        <v>0</v>
      </c>
      <c r="K17" s="51">
        <v>0</v>
      </c>
      <c r="L17" s="51">
        <v>0</v>
      </c>
      <c r="M17" s="51">
        <v>0</v>
      </c>
      <c r="N17" s="51">
        <v>0</v>
      </c>
      <c r="O17" s="51">
        <v>0</v>
      </c>
      <c r="P17" s="51">
        <v>0</v>
      </c>
      <c r="Q17" s="76">
        <f>A17</f>
        <v>102</v>
      </c>
    </row>
    <row r="18" spans="1:17">
      <c r="A18" s="76"/>
      <c r="B18" s="88" t="s">
        <v>277</v>
      </c>
      <c r="C18" s="86"/>
      <c r="D18" s="86"/>
      <c r="E18" s="86"/>
      <c r="F18" s="86"/>
      <c r="G18" s="86"/>
      <c r="H18" s="86"/>
      <c r="I18" s="86"/>
      <c r="J18" s="86"/>
      <c r="K18" s="86"/>
      <c r="L18" s="86"/>
      <c r="M18" s="86"/>
      <c r="N18" s="86"/>
      <c r="O18" s="86"/>
      <c r="P18" s="86"/>
      <c r="Q18" s="76"/>
    </row>
    <row r="19" spans="1:17">
      <c r="A19" s="76">
        <f>A17+1</f>
        <v>103</v>
      </c>
      <c r="B19" s="76"/>
      <c r="C19" s="24">
        <f>SUM(D19:P19)/13</f>
        <v>0</v>
      </c>
      <c r="D19" s="51">
        <v>0</v>
      </c>
      <c r="E19" s="51">
        <v>0</v>
      </c>
      <c r="F19" s="51">
        <v>0</v>
      </c>
      <c r="G19" s="51">
        <v>0</v>
      </c>
      <c r="H19" s="51">
        <v>0</v>
      </c>
      <c r="I19" s="51">
        <v>0</v>
      </c>
      <c r="J19" s="51">
        <v>0</v>
      </c>
      <c r="K19" s="51">
        <v>0</v>
      </c>
      <c r="L19" s="51">
        <v>0</v>
      </c>
      <c r="M19" s="51">
        <v>0</v>
      </c>
      <c r="N19" s="51">
        <v>0</v>
      </c>
      <c r="O19" s="51">
        <v>0</v>
      </c>
      <c r="P19" s="51">
        <v>0</v>
      </c>
      <c r="Q19" s="76">
        <f>A19</f>
        <v>103</v>
      </c>
    </row>
    <row r="20" spans="1:17">
      <c r="A20" s="76"/>
      <c r="B20" s="88" t="s">
        <v>278</v>
      </c>
      <c r="C20" s="86"/>
      <c r="D20" s="86"/>
      <c r="E20" s="86"/>
      <c r="F20" s="86"/>
      <c r="G20" s="86"/>
      <c r="H20" s="86"/>
      <c r="I20" s="86"/>
      <c r="J20" s="86"/>
      <c r="K20" s="86"/>
      <c r="L20" s="86"/>
      <c r="M20" s="86"/>
      <c r="N20" s="86"/>
      <c r="O20" s="86"/>
      <c r="P20" s="86"/>
      <c r="Q20" s="76"/>
    </row>
    <row r="21" spans="1:17">
      <c r="A21" s="76">
        <f>A19+1</f>
        <v>104</v>
      </c>
      <c r="C21" s="24">
        <f>SUM(D21:P21)/13</f>
        <v>5194762.7938461546</v>
      </c>
      <c r="D21" s="661">
        <v>5486057.9100000001</v>
      </c>
      <c r="E21" s="661">
        <v>5437508.7199999997</v>
      </c>
      <c r="F21" s="661">
        <v>5388959.54</v>
      </c>
      <c r="G21" s="51">
        <v>5340410.3499999996</v>
      </c>
      <c r="H21" s="51">
        <v>5291861.16</v>
      </c>
      <c r="I21" s="51">
        <v>5243311.9700000007</v>
      </c>
      <c r="J21" s="51">
        <v>5194762.79</v>
      </c>
      <c r="K21" s="51">
        <v>5146213.6000000006</v>
      </c>
      <c r="L21" s="51">
        <v>5097664.42</v>
      </c>
      <c r="M21" s="51">
        <v>5049115.24</v>
      </c>
      <c r="N21" s="51">
        <v>5000566.0600000005</v>
      </c>
      <c r="O21" s="51">
        <v>4952016.87</v>
      </c>
      <c r="P21" s="51">
        <v>4903467.6900000004</v>
      </c>
      <c r="Q21" s="76">
        <f>A21</f>
        <v>104</v>
      </c>
    </row>
    <row r="22" spans="1:17">
      <c r="A22" s="76"/>
      <c r="B22" s="88"/>
      <c r="C22" s="86"/>
      <c r="D22" s="86"/>
      <c r="E22" s="86"/>
      <c r="F22" s="86"/>
      <c r="G22" s="86"/>
      <c r="H22" s="86"/>
      <c r="I22" s="86"/>
      <c r="J22" s="86"/>
      <c r="K22" s="86"/>
      <c r="L22" s="86"/>
      <c r="M22" s="86"/>
      <c r="N22" s="86"/>
      <c r="O22" s="86"/>
      <c r="P22" s="86"/>
      <c r="Q22" s="76"/>
    </row>
    <row r="23" spans="1:17">
      <c r="A23" s="76">
        <f>A21+1</f>
        <v>105</v>
      </c>
      <c r="B23" s="98"/>
      <c r="C23" s="24">
        <f>SUM(D23:P23)/13</f>
        <v>29798498.705384616</v>
      </c>
      <c r="D23" s="661">
        <v>26193407.199999996</v>
      </c>
      <c r="E23" s="661">
        <v>25988886.029999997</v>
      </c>
      <c r="F23" s="661">
        <v>29773586.27</v>
      </c>
      <c r="G23" s="51">
        <v>29533806.849999998</v>
      </c>
      <c r="H23" s="51">
        <v>29294027.41</v>
      </c>
      <c r="I23" s="51">
        <v>29051109.91</v>
      </c>
      <c r="J23" s="51">
        <v>31909258.82</v>
      </c>
      <c r="K23" s="51">
        <v>31617071.249999996</v>
      </c>
      <c r="L23" s="51">
        <v>31356562.350000001</v>
      </c>
      <c r="M23" s="51">
        <v>31080214.129999999</v>
      </c>
      <c r="N23" s="51">
        <v>30803865.879999999</v>
      </c>
      <c r="O23" s="51">
        <v>30527517.66</v>
      </c>
      <c r="P23" s="51">
        <v>30251169.41</v>
      </c>
      <c r="Q23" s="76">
        <f>A23</f>
        <v>105</v>
      </c>
    </row>
    <row r="24" spans="1:17">
      <c r="B24" s="96" t="s">
        <v>279</v>
      </c>
      <c r="C24" s="86"/>
      <c r="D24" s="86"/>
      <c r="E24" s="86"/>
      <c r="F24" s="86"/>
      <c r="G24" s="86"/>
      <c r="H24" s="86"/>
      <c r="I24" s="86"/>
      <c r="J24" s="86"/>
      <c r="K24" s="86"/>
      <c r="L24" s="86"/>
      <c r="M24" s="86"/>
      <c r="N24" s="86"/>
      <c r="O24" s="86"/>
      <c r="P24" s="86"/>
      <c r="Q24" s="76"/>
    </row>
    <row r="25" spans="1:17">
      <c r="A25" s="76">
        <f>A23+1</f>
        <v>106</v>
      </c>
      <c r="B25" s="90"/>
      <c r="C25" s="805">
        <f>SUM(D25:P25)/13</f>
        <v>147190029.55384618</v>
      </c>
      <c r="D25" s="661">
        <v>141834874.98999998</v>
      </c>
      <c r="E25" s="661">
        <v>139180836.22</v>
      </c>
      <c r="F25" s="661">
        <v>154146639.65000001</v>
      </c>
      <c r="G25" s="661">
        <v>151239652.73000002</v>
      </c>
      <c r="H25" s="661">
        <v>149023142.26000002</v>
      </c>
      <c r="I25" s="661">
        <v>145693421.56</v>
      </c>
      <c r="J25" s="661">
        <v>153951063.90000001</v>
      </c>
      <c r="K25" s="661">
        <v>148704564.48000002</v>
      </c>
      <c r="L25" s="661">
        <v>146725095.68000001</v>
      </c>
      <c r="M25" s="661">
        <v>148910950.90000001</v>
      </c>
      <c r="N25" s="661">
        <v>146556829.76999998</v>
      </c>
      <c r="O25" s="661">
        <v>144670397.46000001</v>
      </c>
      <c r="P25" s="661">
        <v>142832914.60000002</v>
      </c>
      <c r="Q25" s="76">
        <f>A25</f>
        <v>106</v>
      </c>
    </row>
    <row r="26" spans="1:17">
      <c r="A26" s="76"/>
      <c r="B26" s="96" t="s">
        <v>280</v>
      </c>
      <c r="C26" s="86"/>
      <c r="D26" s="86"/>
      <c r="E26" s="86"/>
      <c r="F26" s="86"/>
      <c r="G26" s="86"/>
      <c r="H26" s="86"/>
      <c r="I26" s="86"/>
      <c r="J26" s="86"/>
      <c r="K26" s="86"/>
      <c r="L26" s="86"/>
      <c r="M26" s="86"/>
      <c r="N26" s="86"/>
      <c r="O26" s="86"/>
      <c r="P26" s="86"/>
      <c r="Q26" s="76"/>
    </row>
    <row r="27" spans="1:17">
      <c r="A27" s="76">
        <f>A25+1</f>
        <v>107</v>
      </c>
      <c r="B27" s="98"/>
      <c r="C27" s="24">
        <f>SUM(D27:P27)/13</f>
        <v>43010823.296153851</v>
      </c>
      <c r="D27" s="51">
        <v>49489664.189999998</v>
      </c>
      <c r="E27" s="51">
        <v>48364005.690000013</v>
      </c>
      <c r="F27" s="51">
        <v>47286901.950000003</v>
      </c>
      <c r="G27" s="51">
        <v>46209798.140000001</v>
      </c>
      <c r="H27" s="51">
        <v>45132694.469999999</v>
      </c>
      <c r="I27" s="51">
        <v>44055590.719999999</v>
      </c>
      <c r="J27" s="51">
        <v>42982099.689999998</v>
      </c>
      <c r="K27" s="51">
        <v>41908608.68</v>
      </c>
      <c r="L27" s="51">
        <v>40835117.640000001</v>
      </c>
      <c r="M27" s="51">
        <v>39761626.600000001</v>
      </c>
      <c r="N27" s="51">
        <v>38688135.640000001</v>
      </c>
      <c r="O27" s="51">
        <v>37704885.43</v>
      </c>
      <c r="P27" s="51">
        <v>36721574.009999998</v>
      </c>
      <c r="Q27" s="76">
        <f>A27</f>
        <v>107</v>
      </c>
    </row>
    <row r="28" spans="1:17">
      <c r="B28" s="88" t="s">
        <v>281</v>
      </c>
      <c r="C28" s="86"/>
      <c r="D28" s="86"/>
      <c r="E28" s="86"/>
      <c r="F28" s="86"/>
      <c r="G28" s="86"/>
      <c r="H28" s="86"/>
      <c r="I28" s="86"/>
      <c r="J28" s="86"/>
      <c r="K28" s="86"/>
      <c r="L28" s="86"/>
      <c r="M28" s="86"/>
      <c r="N28" s="86"/>
      <c r="O28" s="86"/>
      <c r="P28" s="86"/>
      <c r="Q28" s="76"/>
    </row>
    <row r="29" spans="1:17">
      <c r="A29" s="76">
        <f>A27+1</f>
        <v>108</v>
      </c>
      <c r="B29" s="76"/>
      <c r="C29" s="24">
        <f>SUM(D29:P29)/13</f>
        <v>257994575</v>
      </c>
      <c r="D29" s="51">
        <v>257994575</v>
      </c>
      <c r="E29" s="51">
        <v>257994575</v>
      </c>
      <c r="F29" s="51">
        <v>257994575</v>
      </c>
      <c r="G29" s="51">
        <v>257994575</v>
      </c>
      <c r="H29" s="51">
        <v>257994575</v>
      </c>
      <c r="I29" s="51">
        <v>257994575</v>
      </c>
      <c r="J29" s="51">
        <v>257994575</v>
      </c>
      <c r="K29" s="51">
        <v>257994575</v>
      </c>
      <c r="L29" s="51">
        <v>257994575</v>
      </c>
      <c r="M29" s="51">
        <v>257994575</v>
      </c>
      <c r="N29" s="51">
        <v>257994575</v>
      </c>
      <c r="O29" s="51">
        <v>257994575</v>
      </c>
      <c r="P29" s="51">
        <v>257994575</v>
      </c>
      <c r="Q29" s="76">
        <f>A29</f>
        <v>108</v>
      </c>
    </row>
    <row r="30" spans="1:17">
      <c r="A30" s="76"/>
      <c r="B30" s="88" t="s">
        <v>1484</v>
      </c>
      <c r="C30" s="86"/>
      <c r="D30" s="86"/>
      <c r="E30" s="86"/>
      <c r="F30" s="86"/>
      <c r="G30" s="86"/>
      <c r="H30" s="86"/>
      <c r="I30" s="86"/>
      <c r="J30" s="86"/>
      <c r="K30" s="86"/>
      <c r="L30" s="86"/>
      <c r="M30" s="86"/>
      <c r="N30" s="86"/>
      <c r="O30" s="86"/>
      <c r="P30" s="86"/>
      <c r="Q30" s="76"/>
    </row>
    <row r="31" spans="1:17">
      <c r="A31" s="76">
        <f>A29+1</f>
        <v>109</v>
      </c>
      <c r="B31" s="76"/>
      <c r="C31" s="24">
        <f>SUM(D31:P31)/13</f>
        <v>-5940274.6800000006</v>
      </c>
      <c r="D31" s="51">
        <v>-5940274.6799999997</v>
      </c>
      <c r="E31" s="51">
        <v>-5940274.6799999997</v>
      </c>
      <c r="F31" s="51">
        <v>-5940274.6799999997</v>
      </c>
      <c r="G31" s="51">
        <v>-5940274.6799999997</v>
      </c>
      <c r="H31" s="51">
        <v>-5940274.6799999997</v>
      </c>
      <c r="I31" s="51">
        <v>-5940274.6799999997</v>
      </c>
      <c r="J31" s="51">
        <v>-5940274.6799999997</v>
      </c>
      <c r="K31" s="51">
        <v>-5940274.6799999997</v>
      </c>
      <c r="L31" s="51">
        <v>-5940274.6799999997</v>
      </c>
      <c r="M31" s="51">
        <v>-5940274.6799999997</v>
      </c>
      <c r="N31" s="51">
        <v>-5940274.6799999997</v>
      </c>
      <c r="O31" s="51">
        <v>-5940274.6799999997</v>
      </c>
      <c r="P31" s="51">
        <v>-5940274.6799999997</v>
      </c>
      <c r="Q31" s="76">
        <f>A31</f>
        <v>109</v>
      </c>
    </row>
    <row r="32" spans="1:17">
      <c r="A32" s="76"/>
      <c r="B32" s="88" t="s">
        <v>1244</v>
      </c>
      <c r="C32" s="86"/>
      <c r="D32" s="86"/>
      <c r="E32" s="86"/>
      <c r="F32" s="86"/>
      <c r="G32" s="86"/>
      <c r="H32" s="86"/>
      <c r="I32" s="86"/>
      <c r="J32" s="86"/>
      <c r="K32" s="86"/>
      <c r="L32" s="86"/>
      <c r="M32" s="86"/>
      <c r="N32" s="86"/>
      <c r="O32" s="86"/>
      <c r="P32" s="86"/>
      <c r="Q32" s="76"/>
    </row>
    <row r="33" spans="1:17">
      <c r="A33" s="76">
        <f>A31+1</f>
        <v>110</v>
      </c>
      <c r="B33" s="76"/>
      <c r="C33" s="24">
        <f>SUM(D33:P33)/13</f>
        <v>0</v>
      </c>
      <c r="D33" s="51">
        <v>0</v>
      </c>
      <c r="E33" s="51">
        <v>0</v>
      </c>
      <c r="F33" s="51">
        <v>0</v>
      </c>
      <c r="G33" s="51">
        <v>0</v>
      </c>
      <c r="H33" s="51">
        <v>0</v>
      </c>
      <c r="I33" s="51">
        <v>0</v>
      </c>
      <c r="J33" s="51">
        <v>0</v>
      </c>
      <c r="K33" s="51">
        <v>0</v>
      </c>
      <c r="L33" s="51">
        <v>0</v>
      </c>
      <c r="M33" s="51">
        <v>0</v>
      </c>
      <c r="N33" s="51">
        <v>0</v>
      </c>
      <c r="O33" s="51">
        <v>0</v>
      </c>
      <c r="P33" s="51">
        <v>0</v>
      </c>
      <c r="Q33" s="76">
        <f>A33</f>
        <v>110</v>
      </c>
    </row>
    <row r="34" spans="1:17">
      <c r="B34" s="88" t="s">
        <v>1638</v>
      </c>
      <c r="C34" s="531"/>
      <c r="D34" s="531"/>
      <c r="E34" s="531"/>
      <c r="F34" s="531"/>
      <c r="G34" s="531"/>
      <c r="H34" s="531"/>
      <c r="I34" s="531"/>
      <c r="J34" s="531"/>
      <c r="K34" s="531"/>
      <c r="L34" s="531"/>
      <c r="M34" s="531"/>
      <c r="N34" s="531"/>
      <c r="O34" s="531"/>
      <c r="P34" s="531"/>
      <c r="Q34" s="76"/>
    </row>
    <row r="35" spans="1:17">
      <c r="A35" s="76">
        <f>+A33+1</f>
        <v>111</v>
      </c>
      <c r="B35" s="76"/>
      <c r="C35" s="24">
        <f>SUM(D35:P35)/13</f>
        <v>27861287230.233845</v>
      </c>
      <c r="D35" s="638">
        <v>25611170422.52</v>
      </c>
      <c r="E35" s="638">
        <v>26291328878.09</v>
      </c>
      <c r="F35" s="638">
        <v>26576589489.43</v>
      </c>
      <c r="G35" s="638">
        <v>26591871822.73</v>
      </c>
      <c r="H35" s="638">
        <v>27699311934.5</v>
      </c>
      <c r="I35" s="638">
        <v>27892855625.579998</v>
      </c>
      <c r="J35" s="638">
        <v>27707788807.030003</v>
      </c>
      <c r="K35" s="638">
        <v>27984537711.73</v>
      </c>
      <c r="L35" s="638">
        <v>28181122544.68</v>
      </c>
      <c r="M35" s="638">
        <v>27973824539.839996</v>
      </c>
      <c r="N35" s="638">
        <v>29405399178.739998</v>
      </c>
      <c r="O35" s="638">
        <v>29551482161.789997</v>
      </c>
      <c r="P35" s="638">
        <v>30729450876.380001</v>
      </c>
      <c r="Q35" s="76">
        <f>A35</f>
        <v>111</v>
      </c>
    </row>
    <row r="36" spans="1:17">
      <c r="A36" s="76"/>
      <c r="B36" s="88" t="s">
        <v>282</v>
      </c>
      <c r="C36" s="86"/>
      <c r="D36" s="86"/>
      <c r="E36" s="86"/>
      <c r="F36" s="86"/>
      <c r="G36" s="86"/>
      <c r="H36" s="86"/>
      <c r="I36" s="86"/>
      <c r="J36" s="86"/>
      <c r="K36" s="86"/>
      <c r="L36" s="86"/>
      <c r="M36" s="86"/>
      <c r="N36" s="86"/>
      <c r="O36" s="86"/>
      <c r="P36" s="86"/>
      <c r="Q36" s="76"/>
    </row>
    <row r="37" spans="1:17">
      <c r="A37" s="76">
        <f>+A35+1</f>
        <v>112</v>
      </c>
      <c r="B37" s="76"/>
      <c r="C37" s="24">
        <f>SUM(D37:P37)/13</f>
        <v>382837266.72538465</v>
      </c>
      <c r="D37" s="51">
        <v>344832855.04000002</v>
      </c>
      <c r="E37" s="51">
        <v>344832855.04000002</v>
      </c>
      <c r="F37" s="51">
        <v>344832855.04000002</v>
      </c>
      <c r="G37" s="51">
        <v>344832855.04000002</v>
      </c>
      <c r="H37" s="51">
        <v>344832855.04000002</v>
      </c>
      <c r="I37" s="51">
        <v>344832855.04000002</v>
      </c>
      <c r="J37" s="51">
        <v>344832855.04000002</v>
      </c>
      <c r="K37" s="51">
        <v>344832855.04000002</v>
      </c>
      <c r="L37" s="51">
        <v>344832855.04000002</v>
      </c>
      <c r="M37" s="51">
        <v>344832855.04000002</v>
      </c>
      <c r="N37" s="51">
        <v>344832855.04000002</v>
      </c>
      <c r="O37" s="51">
        <v>344832855.04000002</v>
      </c>
      <c r="P37" s="661">
        <v>838890206.95000005</v>
      </c>
      <c r="Q37" s="76">
        <f>A37</f>
        <v>112</v>
      </c>
    </row>
    <row r="38" spans="1:17">
      <c r="A38" s="76"/>
      <c r="B38" s="88" t="s">
        <v>283</v>
      </c>
      <c r="C38" s="86"/>
      <c r="D38" s="86"/>
      <c r="E38" s="86"/>
      <c r="F38" s="86"/>
      <c r="G38" s="86"/>
      <c r="H38" s="86"/>
      <c r="I38" s="86"/>
      <c r="J38" s="86"/>
      <c r="K38" s="86"/>
      <c r="L38" s="86"/>
      <c r="M38" s="86"/>
      <c r="N38" s="86"/>
      <c r="O38" s="86"/>
      <c r="P38" s="86"/>
      <c r="Q38" s="76"/>
    </row>
    <row r="39" spans="1:17">
      <c r="A39" s="76">
        <f>A37+1</f>
        <v>113</v>
      </c>
      <c r="B39" s="76"/>
      <c r="C39" s="24">
        <f>SUM(D39:P39)/13</f>
        <v>-12295103.369999997</v>
      </c>
      <c r="D39" s="51">
        <v>-7526996.6799999997</v>
      </c>
      <c r="E39" s="51">
        <v>-7422127.1100000003</v>
      </c>
      <c r="F39" s="51">
        <v>-7317257.54</v>
      </c>
      <c r="G39" s="51">
        <v>-7212387.9699999997</v>
      </c>
      <c r="H39" s="51">
        <v>-7107518.4000000004</v>
      </c>
      <c r="I39" s="51">
        <v>-7002648.8300000001</v>
      </c>
      <c r="J39" s="51">
        <v>-12199664.620000001</v>
      </c>
      <c r="K39" s="51">
        <v>-12094795.050000001</v>
      </c>
      <c r="L39" s="51">
        <v>-11989925.48</v>
      </c>
      <c r="M39" s="51">
        <v>-24037122.84</v>
      </c>
      <c r="N39" s="51">
        <v>-23932253.27</v>
      </c>
      <c r="O39" s="51">
        <v>-23827383.699999999</v>
      </c>
      <c r="P39" s="51">
        <v>-8166262.3200000003</v>
      </c>
      <c r="Q39" s="76">
        <f>A39</f>
        <v>113</v>
      </c>
    </row>
    <row r="40" spans="1:17">
      <c r="A40" s="76"/>
      <c r="B40" s="76"/>
      <c r="C40" s="81"/>
      <c r="D40" s="81"/>
      <c r="E40" s="81"/>
      <c r="F40" s="81"/>
      <c r="G40" s="81"/>
      <c r="H40" s="81"/>
      <c r="I40" s="81"/>
      <c r="J40" s="81"/>
      <c r="K40" s="81"/>
      <c r="L40" s="81"/>
      <c r="M40" s="81"/>
      <c r="N40" s="81"/>
      <c r="O40" s="81"/>
      <c r="P40" s="81"/>
    </row>
    <row r="41" spans="1:17">
      <c r="B41" s="16" t="s">
        <v>125</v>
      </c>
    </row>
    <row r="42" spans="1:17">
      <c r="B42" s="17" t="s">
        <v>2021</v>
      </c>
      <c r="I42" s="70"/>
    </row>
    <row r="43" spans="1:17">
      <c r="B43" s="17" t="s">
        <v>2022</v>
      </c>
    </row>
    <row r="44" spans="1:17">
      <c r="B44" s="17" t="s">
        <v>2023</v>
      </c>
    </row>
    <row r="45" spans="1:17">
      <c r="B45" s="17" t="s">
        <v>2024</v>
      </c>
    </row>
    <row r="46" spans="1:17">
      <c r="B46" s="17" t="s">
        <v>2025</v>
      </c>
      <c r="C46" s="98"/>
    </row>
    <row r="47" spans="1:17">
      <c r="B47" s="17" t="s">
        <v>2026</v>
      </c>
      <c r="C47" s="98"/>
    </row>
    <row r="48" spans="1:17">
      <c r="B48" s="17" t="s">
        <v>2027</v>
      </c>
      <c r="C48" s="98"/>
    </row>
    <row r="49" spans="2:8">
      <c r="B49" s="17" t="s">
        <v>2028</v>
      </c>
      <c r="C49" s="98"/>
    </row>
    <row r="50" spans="2:8">
      <c r="B50" s="69" t="s">
        <v>1394</v>
      </c>
    </row>
    <row r="51" spans="2:8">
      <c r="B51" s="69" t="s">
        <v>1485</v>
      </c>
    </row>
    <row r="52" spans="2:8">
      <c r="B52" s="69" t="s">
        <v>1395</v>
      </c>
      <c r="H52" s="76"/>
    </row>
    <row r="53" spans="2:8">
      <c r="B53" s="69" t="s">
        <v>2029</v>
      </c>
    </row>
    <row r="54" spans="2:8">
      <c r="B54" s="69" t="s">
        <v>1396</v>
      </c>
    </row>
    <row r="55" spans="2:8">
      <c r="B55" s="69" t="s">
        <v>2030</v>
      </c>
    </row>
    <row r="56" spans="2:8">
      <c r="B56" s="69" t="s">
        <v>2031</v>
      </c>
    </row>
    <row r="57" spans="2:8">
      <c r="H57" s="448"/>
    </row>
  </sheetData>
  <mergeCells count="1">
    <mergeCell ref="B5:P5"/>
  </mergeCells>
  <printOptions horizontalCentered="1"/>
  <pageMargins left="1" right="1" top="1" bottom="1" header="0.5" footer="0.5"/>
  <pageSetup scale="35" fitToHeight="0" orientation="landscape" r:id="rId1"/>
  <headerFooter>
    <oddHeader xml:space="preserve">&amp;C&amp;"-,Bold"Pacific Gas and Electric Company
Formula Rate Model
Schedule &amp;A&amp;R&amp;8Docket No. ER19-13-000, et al- Annual Update RY2024
&amp;F
</oddHead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6484B1948D3DF418AE6D26693B16E3C" ma:contentTypeVersion="6" ma:contentTypeDescription="Create a new document." ma:contentTypeScope="" ma:versionID="fb625b1568ad56010b75bd1ad5e0c544">
  <xsd:schema xmlns:xsd="http://www.w3.org/2001/XMLSchema" xmlns:xs="http://www.w3.org/2001/XMLSchema" xmlns:p="http://schemas.microsoft.com/office/2006/metadata/properties" xmlns:ns2="97e57212-3e02-407f-8b2d-05f7d7f19b15" xmlns:ns3="e0c7f853-b085-466f-a3cc-a09637d61b9a" xmlns:ns4="000ca74d-c1c7-4d8f-83c5-7262d4568d2b" targetNamespace="http://schemas.microsoft.com/office/2006/metadata/properties" ma:root="true" ma:fieldsID="5a90fdd73bceb1764baaffcb7a3c64fa" ns2:_="" ns3:_="" ns4:_="">
    <xsd:import namespace="97e57212-3e02-407f-8b2d-05f7d7f19b15"/>
    <xsd:import namespace="e0c7f853-b085-466f-a3cc-a09637d61b9a"/>
    <xsd:import namespace="000ca74d-c1c7-4d8f-83c5-7262d4568d2b"/>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SearchProperties" minOccurs="0"/>
                <xsd:element ref="ns4:SharedWithUsers" minOccurs="0"/>
                <xsd:element ref="ns4:SharedWithDetail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7e4169e0-c5cd-4b95-9d9a-d0e3977c2104}" ma:internalName="TaxCatchAll" ma:showField="CatchAllData"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7e4169e0-c5cd-4b95-9d9a-d0e3977c2104}" ma:internalName="TaxCatchAllLabel" ma:readOnly="true" ma:showField="CatchAllDataLabel"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0c7f853-b085-466f-a3cc-a09637d61b9a"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0ca74d-c1c7-4d8f-83c5-7262d4568d2b"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b06c99b3-cd83-43e5-b4c1-d62f316c1e37" ContentTypeId="0x0101" PreviousValue="false" LastSyncTimeStamp="2020-01-27T23:41:31.003Z"/>
</file>

<file path=customXml/itemProps1.xml><?xml version="1.0" encoding="utf-8"?>
<ds:datastoreItem xmlns:ds="http://schemas.openxmlformats.org/officeDocument/2006/customXml" ds:itemID="{1FD4CBE4-58C8-40B6-AB6E-602FB3E1C042}">
  <ds:schemaRefs>
    <ds:schemaRef ds:uri="http://schemas.microsoft.com/sharepoint/v3/contenttype/forms"/>
  </ds:schemaRefs>
</ds:datastoreItem>
</file>

<file path=customXml/itemProps2.xml><?xml version="1.0" encoding="utf-8"?>
<ds:datastoreItem xmlns:ds="http://schemas.openxmlformats.org/officeDocument/2006/customXml" ds:itemID="{BE8CDF2E-51A9-4EE3-9FB5-853DE92D28AB}">
  <ds:schemaRefs>
    <ds:schemaRef ds:uri="http://schemas.openxmlformats.org/package/2006/metadata/core-properties"/>
    <ds:schemaRef ds:uri="http://purl.org/dc/elements/1.1/"/>
    <ds:schemaRef ds:uri="http://schemas.microsoft.com/office/2006/metadata/properties"/>
    <ds:schemaRef ds:uri="000ca74d-c1c7-4d8f-83c5-7262d4568d2b"/>
    <ds:schemaRef ds:uri="http://purl.org/dc/terms/"/>
    <ds:schemaRef ds:uri="http://schemas.microsoft.com/office/2006/documentManagement/types"/>
    <ds:schemaRef ds:uri="http://purl.org/dc/dcmitype/"/>
    <ds:schemaRef ds:uri="http://schemas.microsoft.com/office/infopath/2007/PartnerControls"/>
    <ds:schemaRef ds:uri="e0c7f853-b085-466f-a3cc-a09637d61b9a"/>
    <ds:schemaRef ds:uri="97e57212-3e02-407f-8b2d-05f7d7f19b15"/>
    <ds:schemaRef ds:uri="http://www.w3.org/XML/1998/namespace"/>
  </ds:schemaRefs>
</ds:datastoreItem>
</file>

<file path=customXml/itemProps3.xml><?xml version="1.0" encoding="utf-8"?>
<ds:datastoreItem xmlns:ds="http://schemas.openxmlformats.org/officeDocument/2006/customXml" ds:itemID="{3BDABF16-A453-4BEF-A8E1-32480A9AA4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0c7f853-b085-466f-a3cc-a09637d61b9a"/>
    <ds:schemaRef ds:uri="000ca74d-c1c7-4d8f-83c5-7262d4568d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B19714F-5950-4818-916E-3D44F8A99FE9}">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38</vt:i4>
      </vt:variant>
      <vt:variant>
        <vt:lpstr>Named Ranges</vt:lpstr>
      </vt:variant>
      <vt:variant>
        <vt:i4>35</vt:i4>
      </vt:variant>
    </vt:vector>
  </HeadingPairs>
  <TitlesOfParts>
    <vt:vector size="73" baseType="lpstr">
      <vt:lpstr>Cover Page</vt:lpstr>
      <vt:lpstr>ToC</vt:lpstr>
      <vt:lpstr>Formatting and References</vt:lpstr>
      <vt:lpstr>1-BaseTRR</vt:lpstr>
      <vt:lpstr>2-ITRR</vt:lpstr>
      <vt:lpstr>3-True-upTRR</vt:lpstr>
      <vt:lpstr>4-ATA</vt:lpstr>
      <vt:lpstr>5-CostofCap-1</vt:lpstr>
      <vt:lpstr>5-CostofCap-2</vt:lpstr>
      <vt:lpstr>5-CostofCap-3</vt:lpstr>
      <vt:lpstr>5-CostofCap-4</vt:lpstr>
      <vt:lpstr>6-PlantJurisdiction</vt:lpstr>
      <vt:lpstr>7-PlantInService</vt:lpstr>
      <vt:lpstr>8-AbandonedPlant</vt:lpstr>
      <vt:lpstr>9-PlantAdditions</vt:lpstr>
      <vt:lpstr>10-AccDep</vt:lpstr>
      <vt:lpstr>11-Depreciation</vt:lpstr>
      <vt:lpstr>12-DepRates</vt:lpstr>
      <vt:lpstr>13-WorkCap</vt:lpstr>
      <vt:lpstr>14-ADIT</vt:lpstr>
      <vt:lpstr>15-NUC</vt:lpstr>
      <vt:lpstr>16-UnfundedReserves</vt:lpstr>
      <vt:lpstr>17-RegAssets-1</vt:lpstr>
      <vt:lpstr>17-RegAssets-2</vt:lpstr>
      <vt:lpstr>17-RegAssets-3</vt:lpstr>
      <vt:lpstr>18-OandM</vt:lpstr>
      <vt:lpstr>19-AandG</vt:lpstr>
      <vt:lpstr>20-RevenueCredits</vt:lpstr>
      <vt:lpstr>21-NPandS</vt:lpstr>
      <vt:lpstr>22-TaxRates</vt:lpstr>
      <vt:lpstr>23-RetailSGTax</vt:lpstr>
      <vt:lpstr>24-Allocators</vt:lpstr>
      <vt:lpstr>25-RFandUFactors</vt:lpstr>
      <vt:lpstr>26-WholesaleTRRs</vt:lpstr>
      <vt:lpstr>27-WholesaleRates</vt:lpstr>
      <vt:lpstr>28-GrossLoad</vt:lpstr>
      <vt:lpstr>29-RetailRates-1</vt:lpstr>
      <vt:lpstr>29-RetailRates-2</vt:lpstr>
      <vt:lpstr>'10-AccDep'!Print_Area</vt:lpstr>
      <vt:lpstr>'13-WorkCap'!Print_Area</vt:lpstr>
      <vt:lpstr>'14-ADIT'!Print_Area</vt:lpstr>
      <vt:lpstr>'15-NUC'!Print_Area</vt:lpstr>
      <vt:lpstr>'17-RegAssets-1'!Print_Area</vt:lpstr>
      <vt:lpstr>'18-OandM'!Print_Area</vt:lpstr>
      <vt:lpstr>'19-AandG'!Print_Area</vt:lpstr>
      <vt:lpstr>'20-RevenueCredits'!Print_Area</vt:lpstr>
      <vt:lpstr>'21-NPandS'!Print_Area</vt:lpstr>
      <vt:lpstr>'22-TaxRates'!Print_Area</vt:lpstr>
      <vt:lpstr>'23-RetailSGTax'!Print_Area</vt:lpstr>
      <vt:lpstr>'24-Allocators'!Print_Area</vt:lpstr>
      <vt:lpstr>'25-RFandUFactors'!Print_Area</vt:lpstr>
      <vt:lpstr>'26-WholesaleTRRs'!Print_Area</vt:lpstr>
      <vt:lpstr>'28-GrossLoad'!Print_Area</vt:lpstr>
      <vt:lpstr>'2-ITRR'!Print_Area</vt:lpstr>
      <vt:lpstr>'3-True-upTRR'!Print_Area</vt:lpstr>
      <vt:lpstr>'4-ATA'!Print_Area</vt:lpstr>
      <vt:lpstr>'5-CostofCap-1'!Print_Area</vt:lpstr>
      <vt:lpstr>'5-CostofCap-2'!Print_Area</vt:lpstr>
      <vt:lpstr>'5-CostofCap-3'!Print_Area</vt:lpstr>
      <vt:lpstr>'5-CostofCap-4'!Print_Area</vt:lpstr>
      <vt:lpstr>'6-PlantJurisdiction'!Print_Area</vt:lpstr>
      <vt:lpstr>'7-PlantInService'!Print_Area</vt:lpstr>
      <vt:lpstr>'8-AbandonedPlant'!Print_Area</vt:lpstr>
      <vt:lpstr>'Cover Page'!Print_Area</vt:lpstr>
      <vt:lpstr>'10-AccDep'!Print_Titles</vt:lpstr>
      <vt:lpstr>'11-Depreciation'!Print_Titles</vt:lpstr>
      <vt:lpstr>'13-WorkCap'!Print_Titles</vt:lpstr>
      <vt:lpstr>'14-ADIT'!Print_Titles</vt:lpstr>
      <vt:lpstr>'1-BaseTRR'!Print_Titles</vt:lpstr>
      <vt:lpstr>'3-True-upTRR'!Print_Titles</vt:lpstr>
      <vt:lpstr>'4-ATA'!Print_Titles</vt:lpstr>
      <vt:lpstr>'7-PlantInService'!Print_Titles</vt:lpstr>
      <vt:lpstr>'9-PlantAdditions'!Print_Titles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modified xsi:type="dcterms:W3CDTF">2023-11-30T22:30:52Z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geRecordCategory">
    <vt:lpwstr/>
  </property>
  <property fmtid="{D5CDD505-2E9C-101B-9397-08002B2CF9AE}" pid="3" name="ContentTypeId">
    <vt:lpwstr>0x01010006484B1948D3DF418AE6D26693B16E3C</vt:lpwstr>
  </property>
  <property fmtid="{D5CDD505-2E9C-101B-9397-08002B2CF9AE}" pid="4" name="MSIP_Label_746d2a3f-4d51-44da-b226-f025675a294d_Enabled">
    <vt:lpwstr>true</vt:lpwstr>
  </property>
  <property fmtid="{D5CDD505-2E9C-101B-9397-08002B2CF9AE}" pid="5" name="MSIP_Label_746d2a3f-4d51-44da-b226-f025675a294d_SetDate">
    <vt:lpwstr>2023-11-22T00:14:12Z</vt:lpwstr>
  </property>
  <property fmtid="{D5CDD505-2E9C-101B-9397-08002B2CF9AE}" pid="6" name="MSIP_Label_746d2a3f-4d51-44da-b226-f025675a294d_Method">
    <vt:lpwstr>Privileged</vt:lpwstr>
  </property>
  <property fmtid="{D5CDD505-2E9C-101B-9397-08002B2CF9AE}" pid="7" name="MSIP_Label_746d2a3f-4d51-44da-b226-f025675a294d_Name">
    <vt:lpwstr>Public (No Markings)</vt:lpwstr>
  </property>
  <property fmtid="{D5CDD505-2E9C-101B-9397-08002B2CF9AE}" pid="8" name="MSIP_Label_746d2a3f-4d51-44da-b226-f025675a294d_SiteId">
    <vt:lpwstr>44ae661a-ece6-41aa-bc96-7c2c85a08941</vt:lpwstr>
  </property>
  <property fmtid="{D5CDD505-2E9C-101B-9397-08002B2CF9AE}" pid="9" name="MSIP_Label_746d2a3f-4d51-44da-b226-f025675a294d_ActionId">
    <vt:lpwstr>1ffbb320-08d1-41a9-8d45-4dfa50aae166</vt:lpwstr>
  </property>
  <property fmtid="{D5CDD505-2E9C-101B-9397-08002B2CF9AE}" pid="10" name="MSIP_Label_746d2a3f-4d51-44da-b226-f025675a294d_ContentBits">
    <vt:lpwstr>0</vt:lpwstr>
  </property>
</Properties>
</file>